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adria\Documents\Prosjekter\DnD\"/>
    </mc:Choice>
  </mc:AlternateContent>
  <xr:revisionPtr revIDLastSave="0" documentId="13_ncr:1_{4EDF4178-D67F-440A-8BA1-3A15B508012F}" xr6:coauthVersionLast="47" xr6:coauthVersionMax="47" xr10:uidLastSave="{00000000-0000-0000-0000-000000000000}"/>
  <bookViews>
    <workbookView xWindow="-108" yWindow="-108" windowWidth="23256" windowHeight="12576" tabRatio="703" activeTab="4" xr2:uid="{00000000-000D-0000-FFFF-FFFF00000000}"/>
  </bookViews>
  <sheets>
    <sheet name="Data_Raw" sheetId="1" r:id="rId1"/>
    <sheet name="Data_Raw_workable" sheetId="7" r:id="rId2"/>
    <sheet name="Character_selector" sheetId="5" r:id="rId3"/>
    <sheet name="Combat2" sheetId="17" r:id="rId4"/>
    <sheet name="Sheet1" sheetId="9" r:id="rId5"/>
  </sheets>
  <definedNames>
    <definedName name="_xlchart.v1.0" hidden="1">Combat2!$AI$7:$AJ$14</definedName>
    <definedName name="_xlchart.v1.1" hidden="1">Combat2!$AK$6</definedName>
    <definedName name="_xlchart.v1.2" hidden="1">Combat2!$AK$7:$AK$14</definedName>
    <definedName name="_xlcn.WorksheetConnection_Combatstatisticstheothersideversion1.xlsxTable11" hidden="1">Table1[]</definedName>
    <definedName name="Angatparul_TK">Character_selector!$F$24</definedName>
    <definedName name="Arthus_TK">Character_selector!$I$24</definedName>
    <definedName name="Bylo_TK">Character_selector!$L$24</definedName>
    <definedName name="Ciri_Ruple_TK">Character_selector!$O$24</definedName>
    <definedName name="Current_TK" comment="The current token">INDIRECT(Character_selector!$AD$24)</definedName>
    <definedName name="Dmg_taken_char_input">OFFSET(Combat2!$CS$16:$CV$16,Character_selector!$AF$5,0,1,4)</definedName>
    <definedName name="Everyone_TK">Character_selector!$C$24</definedName>
    <definedName name="Sev_TK">Character_selector!$R$24</definedName>
    <definedName name="Slicer_Character_name">#N/A</definedName>
    <definedName name="Venythria_TK">Character_selector!$U$24</definedName>
    <definedName name="WeaponChartInput">OFFSET(Combat2!$BY$7,0,0,COUNT(Combat2!$BY$7:$BY$46),1)</definedName>
    <definedName name="WeaponChartInput2">OFFSET(Combat2!$BX$7,0,0,COUNT(Combat2!$BV$7:$BV$46),1)</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Main_Raw" connection="WorksheetConnection_Combat statistics the otherside (version 1).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5" l="1"/>
  <c r="C13" i="5"/>
  <c r="C14" i="5"/>
  <c r="C15" i="5"/>
  <c r="AC24" i="5"/>
  <c r="AC7" i="5"/>
  <c r="C18" i="5"/>
  <c r="C19" i="5"/>
  <c r="C20" i="5"/>
  <c r="C21" i="5"/>
  <c r="C22" i="5"/>
  <c r="C17" i="5"/>
  <c r="C11" i="5"/>
  <c r="C9" i="5"/>
  <c r="C8" i="5"/>
  <c r="AD27" i="5"/>
  <c r="AC31" i="5"/>
  <c r="AC26" i="5"/>
  <c r="AC33" i="5"/>
  <c r="AD33" i="5"/>
  <c r="AC34" i="5"/>
  <c r="AD34" i="5"/>
  <c r="AD32" i="5"/>
  <c r="AC32" i="5"/>
  <c r="AC28" i="5"/>
  <c r="AD28" i="5"/>
  <c r="AC29" i="5"/>
  <c r="AD29" i="5"/>
  <c r="AC30" i="5"/>
  <c r="AD30" i="5"/>
  <c r="AC27" i="5"/>
  <c r="AI6" i="5"/>
  <c r="AI7" i="5"/>
  <c r="AI8" i="5"/>
  <c r="AI9" i="5"/>
  <c r="AI10" i="5"/>
  <c r="AI11" i="5"/>
  <c r="AI12" i="5"/>
  <c r="AC23" i="5"/>
  <c r="DE12" i="17" a="1"/>
  <c r="DE12" i="17" s="1"/>
  <c r="DE10" i="17" a="1"/>
  <c r="DE10" i="17" s="1"/>
  <c r="DE7" i="17" a="1"/>
  <c r="DE7" i="17" s="1"/>
  <c r="DE8" i="17" a="1"/>
  <c r="DE8" i="17" s="1"/>
  <c r="DE9" i="17" a="1"/>
  <c r="DE9" i="17" s="1"/>
  <c r="DE11" i="17" a="1"/>
  <c r="DE11" i="17" s="1"/>
  <c r="DE6" i="17" a="1"/>
  <c r="DE6" i="17" s="1"/>
  <c r="FE12" i="17"/>
  <c r="FE11" i="17"/>
  <c r="FE10" i="17"/>
  <c r="FE9" i="17"/>
  <c r="FE8" i="17"/>
  <c r="FE7" i="17"/>
  <c r="FE6" i="17"/>
  <c r="AK14" i="17"/>
  <c r="AG28" i="5" l="1"/>
  <c r="AG31" i="5"/>
  <c r="AG27" i="5"/>
  <c r="AF5" i="5"/>
  <c r="EK5" i="17"/>
  <c r="DN12" i="17"/>
  <c r="EV12" i="17"/>
  <c r="EV11" i="17"/>
  <c r="EV10" i="17"/>
  <c r="EV9" i="17"/>
  <c r="EV8" i="17"/>
  <c r="EV7" i="17"/>
  <c r="EV6" i="17"/>
  <c r="EI11" i="17"/>
  <c r="EI10" i="17"/>
  <c r="EI9" i="17"/>
  <c r="EI8" i="17"/>
  <c r="EI6" i="17"/>
  <c r="EI7" i="17"/>
  <c r="EI5" i="17"/>
  <c r="CO44" i="17"/>
  <c r="CO43" i="17"/>
  <c r="CO42" i="17"/>
  <c r="CO41" i="17"/>
  <c r="CO40" i="17"/>
  <c r="CO39" i="17"/>
  <c r="CO38" i="17"/>
  <c r="CO33" i="17"/>
  <c r="CO32" i="17"/>
  <c r="CO31" i="17"/>
  <c r="CO30" i="17"/>
  <c r="CO29" i="17"/>
  <c r="CO28" i="17"/>
  <c r="CO27" i="17"/>
  <c r="CO22" i="17"/>
  <c r="CO21" i="17"/>
  <c r="CO20" i="17"/>
  <c r="CO19" i="17"/>
  <c r="CO18" i="17"/>
  <c r="CO17" i="17"/>
  <c r="CO16" i="17"/>
  <c r="CO11" i="17"/>
  <c r="CO5" i="17"/>
  <c r="AD24" i="5" l="1"/>
  <c r="AD23" i="5"/>
  <c r="AD7" i="5"/>
  <c r="AD11" i="5"/>
  <c r="AD17" i="5"/>
  <c r="AD21" i="5"/>
  <c r="AD9" i="5"/>
  <c r="AD19" i="5"/>
  <c r="AD5" i="5"/>
  <c r="AD6" i="5"/>
  <c r="AD10" i="5"/>
  <c r="AD20" i="5"/>
  <c r="AD8" i="5"/>
  <c r="AD13" i="5"/>
  <c r="AD18" i="5"/>
  <c r="AD22" i="5"/>
  <c r="AD14" i="5"/>
  <c r="AD15" i="5"/>
  <c r="FF6" i="17"/>
  <c r="EW6" i="17"/>
  <c r="DN6" i="17"/>
  <c r="CT6" i="17"/>
  <c r="CV5" i="17"/>
  <c r="CV11" i="17"/>
  <c r="CU5" i="17"/>
  <c r="CU6" i="17"/>
  <c r="CU7" i="17"/>
  <c r="CU8" i="17"/>
  <c r="CU9" i="17"/>
  <c r="CU10" i="17"/>
  <c r="CU11" i="17"/>
  <c r="CT5" i="17"/>
  <c r="CT7" i="17"/>
  <c r="CT8" i="17"/>
  <c r="CT9" i="17"/>
  <c r="CT10" i="17"/>
  <c r="CT11" i="17"/>
  <c r="CS5" i="17"/>
  <c r="CS6" i="17"/>
  <c r="CS7" i="17"/>
  <c r="CS8" i="17"/>
  <c r="CS9" i="17"/>
  <c r="CS10" i="17"/>
  <c r="CS11" i="17"/>
  <c r="CP41" i="17"/>
  <c r="CP39" i="17"/>
  <c r="CP38" i="17"/>
  <c r="CP44" i="17"/>
  <c r="CP43" i="17"/>
  <c r="CP40" i="17"/>
  <c r="CP42" i="17"/>
  <c r="CP28" i="17"/>
  <c r="CP30" i="17"/>
  <c r="CP32" i="17"/>
  <c r="CP27" i="17"/>
  <c r="CP29" i="17"/>
  <c r="CP31" i="17"/>
  <c r="CP33" i="17"/>
  <c r="BO7" i="17"/>
  <c r="BO97" i="17"/>
  <c r="BO98" i="17"/>
  <c r="BO99" i="17"/>
  <c r="BO100" i="17"/>
  <c r="BO101" i="17"/>
  <c r="BO72" i="17"/>
  <c r="BO73" i="17"/>
  <c r="BO74" i="17"/>
  <c r="BO75" i="17"/>
  <c r="BO76" i="17"/>
  <c r="BO77" i="17"/>
  <c r="BO78" i="17"/>
  <c r="BO79" i="17"/>
  <c r="BO80" i="17"/>
  <c r="BO81" i="17"/>
  <c r="BO82" i="17"/>
  <c r="BO83" i="17"/>
  <c r="BO84" i="17"/>
  <c r="BO85" i="17"/>
  <c r="BO86" i="17"/>
  <c r="BO87" i="17"/>
  <c r="BO88" i="17"/>
  <c r="BO89" i="17"/>
  <c r="BO90" i="17"/>
  <c r="BO91" i="17"/>
  <c r="BO92" i="17"/>
  <c r="BO93" i="17"/>
  <c r="BO94" i="17"/>
  <c r="BO95" i="17"/>
  <c r="BO96" i="17"/>
  <c r="BO71" i="17"/>
  <c r="BO45" i="17"/>
  <c r="BO46" i="17"/>
  <c r="BO47" i="17"/>
  <c r="BO48" i="17"/>
  <c r="BO49" i="17"/>
  <c r="BO50" i="17"/>
  <c r="BO51" i="17"/>
  <c r="BO52" i="17"/>
  <c r="BO53" i="17"/>
  <c r="BO54" i="17"/>
  <c r="BO55" i="17"/>
  <c r="BO56" i="17"/>
  <c r="BO57" i="17"/>
  <c r="BO58" i="17"/>
  <c r="BO59" i="17"/>
  <c r="BO60" i="17"/>
  <c r="BO61" i="17"/>
  <c r="BO62" i="17"/>
  <c r="BO63" i="17"/>
  <c r="BO64" i="17"/>
  <c r="BO65" i="17"/>
  <c r="BO66" i="17"/>
  <c r="BO67" i="17"/>
  <c r="BO68" i="17"/>
  <c r="BO69" i="17"/>
  <c r="BO70" i="17"/>
  <c r="BO44" i="17"/>
  <c r="BO43" i="17"/>
  <c r="BO16" i="17"/>
  <c r="BO17" i="17"/>
  <c r="BO18" i="17"/>
  <c r="BO19" i="17"/>
  <c r="BO20" i="17"/>
  <c r="BO21" i="17"/>
  <c r="BO22" i="17"/>
  <c r="BO23" i="17"/>
  <c r="BO24" i="17"/>
  <c r="BO25" i="17"/>
  <c r="BO26" i="17"/>
  <c r="BO27" i="17"/>
  <c r="BO28" i="17"/>
  <c r="BO29" i="17"/>
  <c r="BO30" i="17"/>
  <c r="BO31" i="17"/>
  <c r="BO32" i="17"/>
  <c r="BO33" i="17"/>
  <c r="BO34" i="17"/>
  <c r="BO35" i="17"/>
  <c r="BO36" i="17"/>
  <c r="BO37" i="17"/>
  <c r="BO38" i="17"/>
  <c r="BO39" i="17"/>
  <c r="BO40" i="17"/>
  <c r="BO41" i="17"/>
  <c r="BO42" i="17"/>
  <c r="BO8" i="17"/>
  <c r="BO9" i="17"/>
  <c r="BO10" i="17"/>
  <c r="BO11" i="17"/>
  <c r="BO12" i="17"/>
  <c r="BO13" i="17"/>
  <c r="BO14" i="17"/>
  <c r="BO15" i="17"/>
  <c r="AW11" i="17"/>
  <c r="CO7" i="17"/>
  <c r="CO10" i="17"/>
  <c r="CO9" i="17"/>
  <c r="CO8" i="17"/>
  <c r="CO6" i="17"/>
  <c r="AK9" i="17"/>
  <c r="AZ7" i="17"/>
  <c r="L11" i="17"/>
  <c r="AK8" i="17"/>
  <c r="AZ11" i="17"/>
  <c r="AK10" i="17"/>
  <c r="L10" i="17"/>
  <c r="L6" i="17"/>
  <c r="L7" i="17"/>
  <c r="AK11" i="17"/>
  <c r="AZ8" i="17"/>
  <c r="AZ9" i="17"/>
  <c r="L12" i="17"/>
  <c r="AK12" i="17"/>
  <c r="AK13" i="17"/>
  <c r="AZ10" i="17"/>
  <c r="L9" i="17"/>
  <c r="L8" i="17"/>
  <c r="AK7" i="17"/>
  <c r="AH10" i="17" l="1"/>
  <c r="AH11" i="17" s="1"/>
  <c r="DN8" i="17"/>
  <c r="DN10" i="17"/>
  <c r="DN11" i="17"/>
  <c r="DN9" i="17"/>
  <c r="DN7" i="17"/>
  <c r="DM2" i="17"/>
  <c r="DQ18" i="17" s="1"/>
  <c r="DO18" i="17" s="1"/>
  <c r="CS16" i="17"/>
  <c r="CT16" i="17"/>
  <c r="EJ5" i="17"/>
  <c r="CS12" i="17"/>
  <c r="CU12" i="17"/>
  <c r="CT12" i="17"/>
  <c r="CV16" i="17"/>
  <c r="CV6" i="17"/>
  <c r="CV17" i="17" s="1"/>
  <c r="CV8" i="17"/>
  <c r="CV19" i="17" s="1"/>
  <c r="CV9" i="17"/>
  <c r="CV20" i="17" s="1"/>
  <c r="CV10" i="17"/>
  <c r="CV21" i="17" s="1"/>
  <c r="CV7" i="17"/>
  <c r="CV18" i="17" s="1"/>
  <c r="CU16" i="17"/>
  <c r="CP16" i="17"/>
  <c r="CP18" i="17"/>
  <c r="CP22" i="17"/>
  <c r="CP20" i="17"/>
  <c r="CP17" i="17"/>
  <c r="CP19" i="17"/>
  <c r="CP21" i="17"/>
  <c r="CP5" i="17"/>
  <c r="CP6" i="17"/>
  <c r="CP8" i="17"/>
  <c r="CP9" i="17"/>
  <c r="CP10" i="17"/>
  <c r="CP11" i="17"/>
  <c r="CP7" i="17"/>
  <c r="BQ7" i="17" a="1"/>
  <c r="BR10" i="17" s="1"/>
  <c r="AH7" i="17"/>
  <c r="AH8" i="17" s="1"/>
  <c r="AC22" i="5"/>
  <c r="CS21" i="17" l="1"/>
  <c r="CS19" i="17"/>
  <c r="DQ7" i="17"/>
  <c r="DQ22" i="17"/>
  <c r="DR10" i="17"/>
  <c r="DP20" i="17"/>
  <c r="DR7" i="17"/>
  <c r="DQ19" i="17"/>
  <c r="DO19" i="17" s="1"/>
  <c r="DT23" i="17"/>
  <c r="DQ9" i="17"/>
  <c r="DT19" i="17"/>
  <c r="DR11" i="17"/>
  <c r="DP24" i="17"/>
  <c r="DT22" i="17"/>
  <c r="DQ10" i="17"/>
  <c r="DQ12" i="17"/>
  <c r="DQ23" i="17"/>
  <c r="DP21" i="17"/>
  <c r="DT18" i="17"/>
  <c r="DQ8" i="17"/>
  <c r="DR9" i="17"/>
  <c r="DQ6" i="17"/>
  <c r="DP18" i="17"/>
  <c r="DQ21" i="17"/>
  <c r="DP23" i="17"/>
  <c r="DP19" i="17"/>
  <c r="DT21" i="17"/>
  <c r="DR8" i="17"/>
  <c r="DQ11" i="17"/>
  <c r="DR12" i="17"/>
  <c r="DR6" i="17"/>
  <c r="DQ24" i="17"/>
  <c r="DQ20" i="17"/>
  <c r="DP22" i="17"/>
  <c r="DT20" i="17"/>
  <c r="DR18" i="17"/>
  <c r="CU19" i="17"/>
  <c r="CV12" i="17"/>
  <c r="CS18" i="17"/>
  <c r="CT20" i="17"/>
  <c r="CS20" i="17"/>
  <c r="CU20" i="17"/>
  <c r="CU21" i="17"/>
  <c r="CU17" i="17"/>
  <c r="CT21" i="17"/>
  <c r="CU18" i="17"/>
  <c r="CS17" i="17"/>
  <c r="CT17" i="17"/>
  <c r="CT18" i="17"/>
  <c r="CT19" i="17"/>
  <c r="BR45" i="17"/>
  <c r="BR49" i="17"/>
  <c r="BR53" i="17"/>
  <c r="BR57" i="17"/>
  <c r="BR61" i="17"/>
  <c r="BR65" i="17"/>
  <c r="BR69" i="17"/>
  <c r="BR44" i="17"/>
  <c r="BR56" i="17"/>
  <c r="BR64" i="17"/>
  <c r="BR46" i="17"/>
  <c r="BR50" i="17"/>
  <c r="BR54" i="17"/>
  <c r="BR58" i="17"/>
  <c r="BR62" i="17"/>
  <c r="BR66" i="17"/>
  <c r="BR70" i="17"/>
  <c r="BR48" i="17"/>
  <c r="BR47" i="17"/>
  <c r="BR51" i="17"/>
  <c r="BR55" i="17"/>
  <c r="BR59" i="17"/>
  <c r="BR63" i="17"/>
  <c r="BR67" i="17"/>
  <c r="BR43" i="17"/>
  <c r="BR52" i="17"/>
  <c r="BR60" i="17"/>
  <c r="BR68" i="17"/>
  <c r="BR8" i="17"/>
  <c r="BR12" i="17"/>
  <c r="BR11" i="17"/>
  <c r="BQ7" i="17"/>
  <c r="BR7" i="17" s="1"/>
  <c r="BP7" i="17" s="1"/>
  <c r="BR9" i="17"/>
  <c r="BR24" i="17"/>
  <c r="BR29" i="17"/>
  <c r="BR34" i="17"/>
  <c r="BR40" i="17"/>
  <c r="BR38" i="17"/>
  <c r="BR25" i="17"/>
  <c r="BR32" i="17"/>
  <c r="BR37" i="17"/>
  <c r="BR30" i="17"/>
  <c r="BR42" i="17"/>
  <c r="BR36" i="17"/>
  <c r="BR41" i="17"/>
  <c r="BR35" i="17"/>
  <c r="BR39" i="17"/>
  <c r="BR28" i="17"/>
  <c r="BR33" i="17"/>
  <c r="BR27" i="17"/>
  <c r="BR26" i="17"/>
  <c r="BR31" i="17"/>
  <c r="BR21" i="17"/>
  <c r="BR19" i="17"/>
  <c r="BR22" i="17"/>
  <c r="BR20" i="17"/>
  <c r="BR23" i="17"/>
  <c r="BR18" i="17"/>
  <c r="BR16" i="17"/>
  <c r="BR17" i="17"/>
  <c r="BR15" i="17"/>
  <c r="BR13" i="17"/>
  <c r="BR14" i="17"/>
  <c r="AC6" i="5"/>
  <c r="AC8" i="5"/>
  <c r="AC9" i="5"/>
  <c r="AC10" i="5"/>
  <c r="AC11" i="5"/>
  <c r="AC13" i="5"/>
  <c r="AC14" i="5"/>
  <c r="AC15" i="5"/>
  <c r="AC17" i="5"/>
  <c r="AC18" i="5"/>
  <c r="AC19" i="5"/>
  <c r="AC20" i="5"/>
  <c r="AC21" i="5"/>
  <c r="AC5" i="5"/>
  <c r="DW6" i="17" l="1"/>
  <c r="DV6" i="17" s="1" a="1"/>
  <c r="DV6" i="17" s="1"/>
  <c r="DW9" i="17"/>
  <c r="DV9" i="17" s="1" a="1"/>
  <c r="DV9" i="17" s="1"/>
  <c r="DW8" i="17"/>
  <c r="DV8" i="17" s="1" a="1"/>
  <c r="DV8" i="17" s="1"/>
  <c r="DW10" i="17"/>
  <c r="DV10" i="17" s="1" a="1"/>
  <c r="DV10" i="17" s="1"/>
  <c r="DW7" i="17"/>
  <c r="DV7" i="17" s="1" a="1"/>
  <c r="DV7" i="17" s="1"/>
  <c r="DY14" i="17"/>
  <c r="DX14" i="17" s="1" a="1"/>
  <c r="DX14" i="17" s="1"/>
  <c r="DY15" i="17"/>
  <c r="DX15" i="17" s="1" a="1"/>
  <c r="DX15" i="17" s="1"/>
  <c r="DY18" i="17"/>
  <c r="DX18" i="17" s="1" a="1"/>
  <c r="DX18" i="17" s="1"/>
  <c r="DY17" i="17"/>
  <c r="DX17" i="17" s="1" a="1"/>
  <c r="DX17" i="17" s="1"/>
  <c r="DY16" i="17"/>
  <c r="DX16" i="17" s="1" a="1"/>
  <c r="DX16" i="17" s="1"/>
  <c r="DO20" i="17"/>
  <c r="DO21" i="17" s="1"/>
  <c r="DO22" i="17" s="1"/>
  <c r="DO23" i="17" s="1"/>
  <c r="DR23" i="17" s="1"/>
  <c r="DP6" i="17"/>
  <c r="DS6" i="17" s="1"/>
  <c r="DR19" i="17"/>
  <c r="BP8" i="17"/>
  <c r="DO24" i="17" l="1"/>
  <c r="DR21" i="17"/>
  <c r="DP7" i="17"/>
  <c r="DS7" i="17" s="1"/>
  <c r="DR20" i="17"/>
  <c r="BP9" i="17"/>
  <c r="BP10" i="17" s="1"/>
  <c r="DP8" i="17" l="1"/>
  <c r="DS8" i="17" s="1"/>
  <c r="DR22" i="17"/>
  <c r="DR24" i="17"/>
  <c r="BP11" i="17"/>
  <c r="BV7" i="17" s="1"/>
  <c r="DP9" i="17" l="1"/>
  <c r="DP10" i="17" s="1"/>
  <c r="DS10" i="17" s="1"/>
  <c r="BU7" i="17"/>
  <c r="BP12" i="17"/>
  <c r="DP11" i="17" l="1"/>
  <c r="DS11" i="17" s="1"/>
  <c r="DS9" i="17"/>
  <c r="BP13" i="17"/>
  <c r="DP12" i="17" l="1"/>
  <c r="DS12" i="17" s="1"/>
  <c r="DZ6" i="17" s="1"/>
  <c r="BP14" i="17"/>
  <c r="DY6" i="17" l="1"/>
  <c r="BP15" i="17"/>
  <c r="BP16" i="17" l="1"/>
  <c r="BP17" i="17" l="1"/>
  <c r="BV8" i="17" s="1"/>
  <c r="BP18" i="17" l="1"/>
  <c r="BP19" i="17" l="1"/>
  <c r="BP20" i="17" s="1"/>
  <c r="BP21" i="17" s="1"/>
  <c r="BP22" i="17" s="1"/>
  <c r="BP23" i="17" s="1"/>
  <c r="BP24" i="17" s="1"/>
  <c r="BP25" i="17" s="1"/>
  <c r="BP26" i="17" l="1"/>
  <c r="BP27" i="17" l="1"/>
  <c r="BP28" i="17" s="1"/>
  <c r="BP29" i="17" s="1"/>
  <c r="BP30" i="17" s="1"/>
  <c r="BP31" i="17" s="1"/>
  <c r="BP32" i="17" s="1"/>
  <c r="BP33" i="17" s="1"/>
  <c r="BP34" i="17" s="1"/>
  <c r="BP35" i="17" s="1"/>
  <c r="BP36" i="17" s="1"/>
  <c r="BP37" i="17" s="1"/>
  <c r="BP38" i="17" s="1"/>
  <c r="BP39" i="17" s="1"/>
  <c r="BP40" i="17" s="1"/>
  <c r="BP41" i="17" s="1"/>
  <c r="BP42" i="17" s="1"/>
  <c r="BP43" i="17" s="1"/>
  <c r="BP44" i="17" s="1"/>
  <c r="BP45" i="17" s="1"/>
  <c r="BP46" i="17" s="1"/>
  <c r="BP47" i="17" s="1"/>
  <c r="BP48" i="17" s="1"/>
  <c r="BP49" i="17" s="1"/>
  <c r="BP50" i="17" s="1"/>
  <c r="BP51" i="17" s="1"/>
  <c r="BP52" i="17" s="1"/>
  <c r="BP53" i="17" s="1"/>
  <c r="BP54" i="17" s="1"/>
  <c r="BP55" i="17" s="1"/>
  <c r="BP56" i="17" s="1"/>
  <c r="BP57" i="17" s="1"/>
  <c r="BP58" i="17" s="1"/>
  <c r="BP59" i="17" s="1"/>
  <c r="BP60" i="17" s="1"/>
  <c r="BP61" i="17" s="1"/>
  <c r="BP62" i="17" s="1"/>
  <c r="BP63" i="17" s="1"/>
  <c r="BP64" i="17" s="1"/>
  <c r="BP65" i="17" s="1"/>
  <c r="BP66" i="17" s="1"/>
  <c r="BP67" i="17" s="1"/>
  <c r="BP68" i="17" s="1"/>
  <c r="BP69" i="17" s="1"/>
  <c r="BP70" i="17" s="1"/>
  <c r="BV9" i="17" l="1"/>
  <c r="BU8" i="17"/>
  <c r="BU9" i="17"/>
  <c r="BV10" i="17"/>
  <c r="BV12" i="17"/>
  <c r="BU10" i="17"/>
  <c r="BV17" i="17"/>
  <c r="BV11" i="17"/>
  <c r="BV18" i="17"/>
  <c r="BV13" i="17"/>
  <c r="BU15" i="17"/>
  <c r="BV16" i="17"/>
  <c r="BU11" i="17"/>
  <c r="BV14" i="17"/>
  <c r="BU12" i="17"/>
  <c r="BV19" i="17"/>
  <c r="BV15" i="17"/>
  <c r="BU16" i="17"/>
  <c r="BU18" i="17"/>
  <c r="BU44" i="17"/>
  <c r="BU25" i="17"/>
  <c r="BU27" i="17"/>
  <c r="BV45" i="17"/>
  <c r="BU33" i="17"/>
  <c r="BV20" i="17"/>
  <c r="BV21" i="17"/>
  <c r="BV22" i="17"/>
  <c r="BV44" i="17"/>
  <c r="BU36" i="17"/>
  <c r="BU45" i="17"/>
  <c r="BV30" i="17"/>
  <c r="BV27" i="17"/>
  <c r="BV25" i="17"/>
  <c r="BU23" i="17"/>
  <c r="BU38" i="17"/>
  <c r="BV33" i="17"/>
  <c r="BU26" i="17"/>
  <c r="BU37" i="17"/>
  <c r="BV31" i="17"/>
  <c r="BV46" i="17"/>
  <c r="BU34" i="17"/>
  <c r="BV40" i="17"/>
  <c r="BU35" i="17"/>
  <c r="BV23" i="17"/>
  <c r="BU21" i="17"/>
  <c r="BU19" i="17"/>
  <c r="BV41" i="17"/>
  <c r="BU24" i="17"/>
  <c r="BU20" i="17"/>
  <c r="BV32" i="17"/>
  <c r="BU30" i="17"/>
  <c r="BV43" i="17"/>
  <c r="BV39" i="17"/>
  <c r="BV37" i="17"/>
  <c r="BU32" i="17"/>
  <c r="BU42" i="17"/>
  <c r="BU43" i="17"/>
  <c r="BU41" i="17"/>
  <c r="BV24" i="17"/>
  <c r="BV34" i="17"/>
  <c r="BV26" i="17"/>
  <c r="BV29" i="17"/>
  <c r="BU28" i="17"/>
  <c r="BV36" i="17"/>
  <c r="BV42" i="17"/>
  <c r="BV38" i="17"/>
  <c r="BU46" i="17"/>
  <c r="BU29" i="17"/>
  <c r="BV35" i="17"/>
  <c r="BU22" i="17"/>
  <c r="BV28" i="17"/>
  <c r="BU31" i="17"/>
  <c r="BU40" i="17"/>
  <c r="BU39" i="17"/>
  <c r="BU14" i="17"/>
  <c r="BU13" i="17"/>
  <c r="BU17" i="17"/>
  <c r="BY11" i="17" l="1"/>
  <c r="BX11" i="17" s="1"/>
  <c r="BY10" i="17"/>
  <c r="BX10" i="17" s="1"/>
  <c r="BY7" i="17"/>
  <c r="BX7" i="17" s="1"/>
  <c r="BY8" i="17"/>
  <c r="BX8" i="17" s="1"/>
  <c r="BY9" i="17"/>
  <c r="BX9"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F42A34-9E14-43ED-814B-22478EED63A9}"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1DA39FF-272A-4343-9895-259986A40E30}" name="WorksheetConnection_Combat statistics the otherside (version 1).xlsx!Table1" type="102" refreshedVersion="7" minRefreshableVersion="5">
    <extLst>
      <ext xmlns:x15="http://schemas.microsoft.com/office/spreadsheetml/2010/11/main" uri="{DE250136-89BD-433C-8126-D09CA5730AF9}">
        <x15:connection id="Table1">
          <x15:rangePr sourceName="_xlcn.WorksheetConnection_Combatstatisticstheothersideversion1.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<sst xmlns="http://schemas.openxmlformats.org/spreadsheetml/2006/main" count="3711" uniqueCount="423">
  <si>
    <t>Session</t>
  </si>
  <si>
    <t>Turn</t>
  </si>
  <si>
    <t>Character name</t>
  </si>
  <si>
    <t>Ctype</t>
  </si>
  <si>
    <t>Movement</t>
  </si>
  <si>
    <t>Movment direction</t>
  </si>
  <si>
    <t>Action</t>
  </si>
  <si>
    <t>Attack roll modifyer</t>
  </si>
  <si>
    <t>Name</t>
  </si>
  <si>
    <t xml:space="preserve">Target </t>
  </si>
  <si>
    <t>Hit/miss</t>
  </si>
  <si>
    <t>Dmg</t>
  </si>
  <si>
    <t>Dmgd type</t>
  </si>
  <si>
    <t>Healing</t>
  </si>
  <si>
    <t>S</t>
  </si>
  <si>
    <t>Kills</t>
  </si>
  <si>
    <t>Action 2</t>
  </si>
  <si>
    <t>Dmg 2</t>
  </si>
  <si>
    <t>Dmg type 2</t>
  </si>
  <si>
    <t>DmgType</t>
  </si>
  <si>
    <t>Location</t>
  </si>
  <si>
    <t>Mother</t>
  </si>
  <si>
    <t>Ram</t>
  </si>
  <si>
    <t>Bylo</t>
  </si>
  <si>
    <t>Shild-bash</t>
  </si>
  <si>
    <t>Bludgening</t>
  </si>
  <si>
    <t>Angatparul</t>
  </si>
  <si>
    <t>Mother's lair</t>
  </si>
  <si>
    <t>Bonus Action</t>
  </si>
  <si>
    <t>N</t>
  </si>
  <si>
    <t>Zone of truth</t>
  </si>
  <si>
    <t>Sev</t>
  </si>
  <si>
    <t>E-N</t>
  </si>
  <si>
    <t>Graple</t>
  </si>
  <si>
    <t>Ciri Ruple</t>
  </si>
  <si>
    <t>Monk unarmed stricke</t>
  </si>
  <si>
    <t>mother</t>
  </si>
  <si>
    <t>Pike</t>
  </si>
  <si>
    <t>Piercing</t>
  </si>
  <si>
    <t>Reclessattack</t>
  </si>
  <si>
    <t>?</t>
  </si>
  <si>
    <t>Electric shot</t>
  </si>
  <si>
    <t>Necrotic</t>
  </si>
  <si>
    <t>Electic shot</t>
  </si>
  <si>
    <t>Sky</t>
  </si>
  <si>
    <t>Rage</t>
  </si>
  <si>
    <t>Curewounds</t>
  </si>
  <si>
    <t>Curewounds lvl2</t>
  </si>
  <si>
    <t>Daunting roar</t>
  </si>
  <si>
    <t>Thretened</t>
  </si>
  <si>
    <t>Rain does 22necdmg</t>
  </si>
  <si>
    <t>Notes</t>
  </si>
  <si>
    <t>Random-Rock</t>
  </si>
  <si>
    <t>Monk unarmed</t>
  </si>
  <si>
    <t>Fury of blows</t>
  </si>
  <si>
    <t>Monk unarmed stricke x2</t>
  </si>
  <si>
    <t>Monk unarmed x2</t>
  </si>
  <si>
    <t>Disengaded</t>
  </si>
  <si>
    <t>Summon spear/sword</t>
  </si>
  <si>
    <t>Sword</t>
  </si>
  <si>
    <t>Everyone</t>
  </si>
  <si>
    <t>Slashing</t>
  </si>
  <si>
    <t>19 (10 to me)</t>
  </si>
  <si>
    <t>Disappere and reappare</t>
  </si>
  <si>
    <t>Aid</t>
  </si>
  <si>
    <t>Healing-word</t>
  </si>
  <si>
    <t>Brace-up</t>
  </si>
  <si>
    <t>4 necrotic to sev from ground stuff</t>
  </si>
  <si>
    <t>Ready sword</t>
  </si>
  <si>
    <t>Claw</t>
  </si>
  <si>
    <t>Dig-deep</t>
  </si>
  <si>
    <t>S-W</t>
  </si>
  <si>
    <t>Spear</t>
  </si>
  <si>
    <t>Break-free</t>
  </si>
  <si>
    <t>Throw-knif</t>
  </si>
  <si>
    <t>S-E</t>
  </si>
  <si>
    <t>Disengade</t>
  </si>
  <si>
    <t>Scythe</t>
  </si>
  <si>
    <t>Blood</t>
  </si>
  <si>
    <t>Legendary action: hits sev, ciri</t>
  </si>
  <si>
    <t>takes slashing from running up to her</t>
  </si>
  <si>
    <t>Blugening</t>
  </si>
  <si>
    <t>everyone</t>
  </si>
  <si>
    <t>3 (sev=necrotic)</t>
  </si>
  <si>
    <t>Crowbar</t>
  </si>
  <si>
    <t>Legendary action: break dance -15 to me and sev</t>
  </si>
  <si>
    <t>Ciri</t>
  </si>
  <si>
    <t>Ciri, Bylo, Sev</t>
  </si>
  <si>
    <t>Knuckles x2</t>
  </si>
  <si>
    <t>Modifyer</t>
  </si>
  <si>
    <t>noface</t>
  </si>
  <si>
    <t>Noface</t>
  </si>
  <si>
    <t>Knuckles</t>
  </si>
  <si>
    <t>Noface creature</t>
  </si>
  <si>
    <t>Pircing</t>
  </si>
  <si>
    <t>Crit</t>
  </si>
  <si>
    <t>bylo</t>
  </si>
  <si>
    <t>Arthus</t>
  </si>
  <si>
    <t>Halberd</t>
  </si>
  <si>
    <t>First town</t>
  </si>
  <si>
    <t>Guardian</t>
  </si>
  <si>
    <t>Gun</t>
  </si>
  <si>
    <t>Venythria</t>
  </si>
  <si>
    <t>Monk Unarmed Strike</t>
  </si>
  <si>
    <t>Stick and move</t>
  </si>
  <si>
    <t>Opportunity</t>
  </si>
  <si>
    <t>Hatchet</t>
  </si>
  <si>
    <t>Slashin</t>
  </si>
  <si>
    <t>Dash</t>
  </si>
  <si>
    <t>Plaguedoc</t>
  </si>
  <si>
    <t>Deadeye</t>
  </si>
  <si>
    <t>Vandal</t>
  </si>
  <si>
    <t>Mon Unarmed Strike</t>
  </si>
  <si>
    <t>Plauge</t>
  </si>
  <si>
    <t>Punch</t>
  </si>
  <si>
    <t>Flintlock</t>
  </si>
  <si>
    <t>Bash</t>
  </si>
  <si>
    <t>Devine smite</t>
  </si>
  <si>
    <t>Plaugedoc</t>
  </si>
  <si>
    <t>Vandel</t>
  </si>
  <si>
    <t>Climb</t>
  </si>
  <si>
    <t>Six kills so far</t>
  </si>
  <si>
    <t>Speak</t>
  </si>
  <si>
    <t>Force</t>
  </si>
  <si>
    <t>Spiritual weapon</t>
  </si>
  <si>
    <t>Angat</t>
  </si>
  <si>
    <t>Hatchet/shield</t>
  </si>
  <si>
    <t>Separate attack</t>
  </si>
  <si>
    <t>Percing</t>
  </si>
  <si>
    <t>Radiant</t>
  </si>
  <si>
    <t>Divine ….</t>
  </si>
  <si>
    <t>Gunblade</t>
  </si>
  <si>
    <t>GB bullets</t>
  </si>
  <si>
    <t>Nofacecreature</t>
  </si>
  <si>
    <t xml:space="preserve">Monk unarmed strike </t>
  </si>
  <si>
    <t>Crite</t>
  </si>
  <si>
    <t>Healing word</t>
  </si>
  <si>
    <t>Venythri</t>
  </si>
  <si>
    <t>Knucles</t>
  </si>
  <si>
    <t>No</t>
  </si>
  <si>
    <t>Slap</t>
  </si>
  <si>
    <t>big</t>
  </si>
  <si>
    <t>Ground spikes</t>
  </si>
  <si>
    <t>Slaps</t>
  </si>
  <si>
    <t>Flintlcok</t>
  </si>
  <si>
    <t>Kid</t>
  </si>
  <si>
    <t>Big</t>
  </si>
  <si>
    <t>sev</t>
  </si>
  <si>
    <t>Angat, ciri, arthus</t>
  </si>
  <si>
    <t>Javalin</t>
  </si>
  <si>
    <t>gun</t>
  </si>
  <si>
    <t>piercing</t>
  </si>
  <si>
    <t>Child</t>
  </si>
  <si>
    <t>Snap</t>
  </si>
  <si>
    <t>Rage, Surprise</t>
  </si>
  <si>
    <t xml:space="preserve">Surprise </t>
  </si>
  <si>
    <t>Slash</t>
  </si>
  <si>
    <t>Hatched</t>
  </si>
  <si>
    <t>Greatclub</t>
  </si>
  <si>
    <t xml:space="preserve">Bludgening </t>
  </si>
  <si>
    <t>Spirit</t>
  </si>
  <si>
    <t>Surprise</t>
  </si>
  <si>
    <t>Statue</t>
  </si>
  <si>
    <t>Influct wounds</t>
  </si>
  <si>
    <t xml:space="preserve">Halberd </t>
  </si>
  <si>
    <t>Bling knuckles</t>
  </si>
  <si>
    <t>Bird</t>
  </si>
  <si>
    <t>Heymaker</t>
  </si>
  <si>
    <t>Jelly</t>
  </si>
  <si>
    <t>Jelly, quadraped</t>
  </si>
  <si>
    <t>Bottle</t>
  </si>
  <si>
    <t>Quadraped</t>
  </si>
  <si>
    <t xml:space="preserve"> </t>
  </si>
  <si>
    <t>knuckles</t>
  </si>
  <si>
    <t>Opertunity</t>
  </si>
  <si>
    <t>Monk unarmed strick</t>
  </si>
  <si>
    <t>Self, bird, jelly</t>
  </si>
  <si>
    <t>Inflict wounds</t>
  </si>
  <si>
    <t>Character data base</t>
  </si>
  <si>
    <t>Class</t>
  </si>
  <si>
    <t>Race</t>
  </si>
  <si>
    <t>Lvl</t>
  </si>
  <si>
    <t>Barbarian</t>
  </si>
  <si>
    <t>Bugbear</t>
  </si>
  <si>
    <t>Hight</t>
  </si>
  <si>
    <t xml:space="preserve">Weight </t>
  </si>
  <si>
    <t>age</t>
  </si>
  <si>
    <t>Bio</t>
  </si>
  <si>
    <t>Characters</t>
  </si>
  <si>
    <t>Row Labels</t>
  </si>
  <si>
    <t>(blank)</t>
  </si>
  <si>
    <t>Grand Total</t>
  </si>
  <si>
    <t xml:space="preserve">Character </t>
  </si>
  <si>
    <t>Info</t>
  </si>
  <si>
    <t>Weight</t>
  </si>
  <si>
    <t>Age</t>
  </si>
  <si>
    <t>Fighter</t>
  </si>
  <si>
    <t>Cleric</t>
  </si>
  <si>
    <t>Leonin</t>
  </si>
  <si>
    <t>Ability score</t>
  </si>
  <si>
    <t>Dexterity</t>
  </si>
  <si>
    <t>Strength</t>
  </si>
  <si>
    <t>Constitution</t>
  </si>
  <si>
    <t>Intelligence</t>
  </si>
  <si>
    <t>Wisdom</t>
  </si>
  <si>
    <t>Charisma</t>
  </si>
  <si>
    <t>Ac</t>
  </si>
  <si>
    <t>Speed</t>
  </si>
  <si>
    <t>Hp</t>
  </si>
  <si>
    <t>Combat</t>
  </si>
  <si>
    <t>Paladin</t>
  </si>
  <si>
    <t>Warforged</t>
  </si>
  <si>
    <t>Monk</t>
  </si>
  <si>
    <t>Kobold</t>
  </si>
  <si>
    <t>Gunslinger</t>
  </si>
  <si>
    <t>Tabaxi</t>
  </si>
  <si>
    <t>Dynamic character info based on slicer</t>
  </si>
  <si>
    <t>pivot table slicer</t>
  </si>
  <si>
    <t>List of playable characters</t>
  </si>
  <si>
    <t>Sum of Total Dmg</t>
  </si>
  <si>
    <t>Dmg Type</t>
  </si>
  <si>
    <t>sum of Dmg for type</t>
  </si>
  <si>
    <t>Physical</t>
  </si>
  <si>
    <t>Magical</t>
  </si>
  <si>
    <t>Genera</t>
  </si>
  <si>
    <t>Decons lair</t>
  </si>
  <si>
    <t>X</t>
  </si>
  <si>
    <t>Y</t>
  </si>
  <si>
    <t>Sum of Dmg</t>
  </si>
  <si>
    <t>Sum of Dmg 2</t>
  </si>
  <si>
    <t>Total</t>
  </si>
  <si>
    <t>Images (BG, Token)</t>
  </si>
  <si>
    <t>Angatparul_BG</t>
  </si>
  <si>
    <t>Angatparul_TK</t>
  </si>
  <si>
    <t>Arthus_BG</t>
  </si>
  <si>
    <t>Arthus_TK</t>
  </si>
  <si>
    <t>AAA</t>
  </si>
  <si>
    <t>Target 2</t>
  </si>
  <si>
    <t>Darton</t>
  </si>
  <si>
    <t>3' 3''</t>
  </si>
  <si>
    <t>7' 7''</t>
  </si>
  <si>
    <t>6' 8''</t>
  </si>
  <si>
    <t>Ciri_Ruple_TK</t>
  </si>
  <si>
    <t>Bylo_TK</t>
  </si>
  <si>
    <t>Dmg 3</t>
  </si>
  <si>
    <t>Dmg 4</t>
  </si>
  <si>
    <t>Dmg 5</t>
  </si>
  <si>
    <t>Dmg  6</t>
  </si>
  <si>
    <t>Dmg type</t>
  </si>
  <si>
    <t>Modifyer 2</t>
  </si>
  <si>
    <t>Dmg type 3</t>
  </si>
  <si>
    <t>Dmg type 4</t>
  </si>
  <si>
    <t>Healing 2</t>
  </si>
  <si>
    <t>Kills 2</t>
  </si>
  <si>
    <t>Target 3</t>
  </si>
  <si>
    <t>Modifyer 3</t>
  </si>
  <si>
    <t>Hit/miss 3</t>
  </si>
  <si>
    <t>Dmg type 5</t>
  </si>
  <si>
    <t>Dmg type 6</t>
  </si>
  <si>
    <t>Healing 3</t>
  </si>
  <si>
    <t>Kills 3</t>
  </si>
  <si>
    <t>Hit/miss 2</t>
  </si>
  <si>
    <t>Sum of Dmg 3</t>
  </si>
  <si>
    <t>Sum of Dmg 4</t>
  </si>
  <si>
    <t>Action 3</t>
  </si>
  <si>
    <t>Sum of Dmg  6</t>
  </si>
  <si>
    <t>Sum dmg</t>
  </si>
  <si>
    <t xml:space="preserve">Action </t>
  </si>
  <si>
    <t>Sum of Dmg 5</t>
  </si>
  <si>
    <t>Dmg Location</t>
  </si>
  <si>
    <t>x</t>
  </si>
  <si>
    <t>Dmg Taken</t>
  </si>
  <si>
    <t>Deacon</t>
  </si>
  <si>
    <t>Scepter</t>
  </si>
  <si>
    <t>Secred Weapon</t>
  </si>
  <si>
    <t>Shield of faith</t>
  </si>
  <si>
    <t>rage</t>
  </si>
  <si>
    <t>Deacon's chambers</t>
  </si>
  <si>
    <t>dark energy eruption</t>
  </si>
  <si>
    <t>Divine smite</t>
  </si>
  <si>
    <t>Dig Deep</t>
  </si>
  <si>
    <t>Candle</t>
  </si>
  <si>
    <t>Angatparul, sev, ciri</t>
  </si>
  <si>
    <t>Hand spawn</t>
  </si>
  <si>
    <t>Black lightning</t>
  </si>
  <si>
    <t>Secred weapon</t>
  </si>
  <si>
    <t>One,Two, Floor</t>
  </si>
  <si>
    <t>Bling</t>
  </si>
  <si>
    <t>Me pike hit 7 piercing</t>
  </si>
  <si>
    <t>Fire bolt</t>
  </si>
  <si>
    <t>Monk unarmed strice</t>
  </si>
  <si>
    <t>Haling word</t>
  </si>
  <si>
    <t>Necrotc</t>
  </si>
  <si>
    <t>finger point</t>
  </si>
  <si>
    <t>Finger poit</t>
  </si>
  <si>
    <t>Fire breath</t>
  </si>
  <si>
    <t>Fire</t>
  </si>
  <si>
    <t>Me pike hit 14 piercing</t>
  </si>
  <si>
    <t>Monk unarmed strike</t>
  </si>
  <si>
    <t xml:space="preserve">shicle </t>
  </si>
  <si>
    <t xml:space="preserve">Curewounds </t>
  </si>
  <si>
    <t>Plus 8 healing self and +? Healing self</t>
  </si>
  <si>
    <t>Halber</t>
  </si>
  <si>
    <t xml:space="preserve">secred </t>
  </si>
  <si>
    <t>Bling kncuckles</t>
  </si>
  <si>
    <t>radiant</t>
  </si>
  <si>
    <t xml:space="preserve">Prayer of healing </t>
  </si>
  <si>
    <t>Angatparul, ciri, arthus</t>
  </si>
  <si>
    <t>Total dmg</t>
  </si>
  <si>
    <t>Character</t>
  </si>
  <si>
    <t xml:space="preserve">Dmg Type </t>
  </si>
  <si>
    <t>Dmg Type 2</t>
  </si>
  <si>
    <t>Dmg Type 3</t>
  </si>
  <si>
    <t>Dmg Type 4</t>
  </si>
  <si>
    <t>Dmg Type 5</t>
  </si>
  <si>
    <t>Dmg Type 6</t>
  </si>
  <si>
    <t>Bludgeoning</t>
  </si>
  <si>
    <t>Dmg Weapon</t>
  </si>
  <si>
    <t>Dmg Location prep table</t>
  </si>
  <si>
    <t>Complete weapon list</t>
  </si>
  <si>
    <t>Two</t>
  </si>
  <si>
    <t>Three</t>
  </si>
  <si>
    <t>Unique weapon list</t>
  </si>
  <si>
    <t>Characters complete</t>
  </si>
  <si>
    <t>Dmg pre weapon</t>
  </si>
  <si>
    <t>uniqe weapon identifier</t>
  </si>
  <si>
    <t>Weapon</t>
  </si>
  <si>
    <t>Top 5 dmgs</t>
  </si>
  <si>
    <t>Top 5 weapons</t>
  </si>
  <si>
    <t>Summary weapon dmg</t>
  </si>
  <si>
    <t>Total Dmg taken</t>
  </si>
  <si>
    <t>Grand total</t>
  </si>
  <si>
    <t>With character selector</t>
  </si>
  <si>
    <t>% of total</t>
  </si>
  <si>
    <t>(All)</t>
  </si>
  <si>
    <t>Dmg taken from allies</t>
  </si>
  <si>
    <t>Dmg taken from Bosses</t>
  </si>
  <si>
    <t>Dmg taken from Enemies</t>
  </si>
  <si>
    <t>Enemies</t>
  </si>
  <si>
    <t>Bosses</t>
  </si>
  <si>
    <t>Allies</t>
  </si>
  <si>
    <t>What character</t>
  </si>
  <si>
    <t>Dmg taken total</t>
  </si>
  <si>
    <t>Dmg resoult O'verview</t>
  </si>
  <si>
    <t>Dmg resoult Overview Per cent</t>
  </si>
  <si>
    <t>TextBox ref</t>
  </si>
  <si>
    <t>All</t>
  </si>
  <si>
    <t>KDA &amp; crits</t>
  </si>
  <si>
    <t>Column Labels</t>
  </si>
  <si>
    <t>Sum of Kills</t>
  </si>
  <si>
    <t>Sum of Kills 2</t>
  </si>
  <si>
    <t>Sum of Kills 3</t>
  </si>
  <si>
    <t>Faints</t>
  </si>
  <si>
    <t xml:space="preserve">Total </t>
  </si>
  <si>
    <t>TextBox</t>
  </si>
  <si>
    <t>Crits</t>
  </si>
  <si>
    <t>Sum of Healing</t>
  </si>
  <si>
    <t>Top 5 healing targets chart source</t>
  </si>
  <si>
    <t>what characterto extract</t>
  </si>
  <si>
    <t>Healing self bar input</t>
  </si>
  <si>
    <t>Top 5 index</t>
  </si>
  <si>
    <t>Self Index</t>
  </si>
  <si>
    <t>Everyones healing Recived</t>
  </si>
  <si>
    <t>Sum of Healing 2</t>
  </si>
  <si>
    <t>Sum of Healing 3</t>
  </si>
  <si>
    <t>Healing Total</t>
  </si>
  <si>
    <t>exept selected character</t>
  </si>
  <si>
    <t>Memory fragments</t>
  </si>
  <si>
    <t>Liberation</t>
  </si>
  <si>
    <t>N/a</t>
  </si>
  <si>
    <t>Rush</t>
  </si>
  <si>
    <t>Soulswap</t>
  </si>
  <si>
    <t>Unknown</t>
  </si>
  <si>
    <t>Mother's Fragments</t>
  </si>
  <si>
    <t>Personal Fragments</t>
  </si>
  <si>
    <t>Sev_TK</t>
  </si>
  <si>
    <t>Venythria_TK</t>
  </si>
  <si>
    <t>Bylo_BG</t>
  </si>
  <si>
    <t>Ciri_Ruple_BG</t>
  </si>
  <si>
    <t>Sev_BG</t>
  </si>
  <si>
    <t>Venythria_BG</t>
  </si>
  <si>
    <t>List form</t>
  </si>
  <si>
    <t>Crit 2</t>
  </si>
  <si>
    <t>Crit 3</t>
  </si>
  <si>
    <t>Sacred Weapon</t>
  </si>
  <si>
    <t xml:space="preserve">Candle </t>
  </si>
  <si>
    <t>reaction</t>
  </si>
  <si>
    <t>Free Fighter</t>
  </si>
  <si>
    <t>Dark energy eruption</t>
  </si>
  <si>
    <t>Prayer of healing</t>
  </si>
  <si>
    <t>Sickle</t>
  </si>
  <si>
    <t>Sum of Crit 3</t>
  </si>
  <si>
    <t>Sum of Crit</t>
  </si>
  <si>
    <t>Sum of Crit 2</t>
  </si>
  <si>
    <t>Shield bash</t>
  </si>
  <si>
    <t>Throw knife</t>
  </si>
  <si>
    <t>Dig deep</t>
  </si>
  <si>
    <t>Flintlock pistol</t>
  </si>
  <si>
    <t>Random rock</t>
  </si>
  <si>
    <t>Repent</t>
  </si>
  <si>
    <t>Bloodied but unborrrowed</t>
  </si>
  <si>
    <t>Feared</t>
  </si>
  <si>
    <t>Spray N Pray</t>
  </si>
  <si>
    <t>Peck</t>
  </si>
  <si>
    <t>Manifest a broken maid</t>
  </si>
  <si>
    <t>Child fragment</t>
  </si>
  <si>
    <t>Free fighter</t>
  </si>
  <si>
    <t>Mothers Blessing</t>
  </si>
  <si>
    <t>Revenge</t>
  </si>
  <si>
    <t>Revivify</t>
  </si>
  <si>
    <t>Big Quadraped</t>
  </si>
  <si>
    <t>Warhammer</t>
  </si>
  <si>
    <t>Beacon of hope</t>
  </si>
  <si>
    <t>Child fragment 4</t>
  </si>
  <si>
    <t>Child fragment 2</t>
  </si>
  <si>
    <t>2 Str</t>
  </si>
  <si>
    <t>1/3</t>
  </si>
  <si>
    <t xml:space="preserve">Class </t>
  </si>
  <si>
    <t xml:space="preserve">Race </t>
  </si>
  <si>
    <t>Everyone_TK</t>
  </si>
  <si>
    <t>Cool</t>
  </si>
  <si>
    <t xml:space="preserve">Mixed </t>
  </si>
  <si>
    <t>Dream Team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</si>
</sst>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 #,##0.00_-;_-* &quot;-&quot;??_-;_-@_-"/>
    <numFmt numFmtId="164" formatCode="[$-F400]h:mm:ss\ AM/PM"/>
    <numFmt numFmtId="165" formatCode="0.0"/>
  </numFmts>
  <fonts count="8" x14ac:knownFonts="1">
    <font>
      <sz val="11"/>
      <color theme="1"/>
      <name val="Calibri"/>
      <family val="2"/>
      <scheme val="minor"/>
    </font>
    <font>
      <b/>
      <sz val="11"/>
      <color theme="1"/>
      <name val="Calibri"/>
      <family val="2"/>
      <scheme val="minor"/>
    </font>
    <font>
      <b/>
      <sz val="11"/>
      <color theme="0"/>
      <name val="Calibri"/>
      <family val="2"/>
      <scheme val="minor"/>
    </font>
    <font>
      <sz val="11"/>
      <color rgb="FF000000"/>
      <name val="Arial"/>
      <family val="2"/>
    </font>
    <font>
      <sz val="11"/>
      <color theme="1"/>
      <name val="Calibri"/>
      <family val="2"/>
      <scheme val="minor"/>
    </font>
    <font>
      <sz val="10"/>
      <color rgb="FF0A0101"/>
      <name val="Arial"/>
      <family val="2"/>
    </font>
    <font>
      <sz val="8"/>
      <name val="Calibri"/>
      <family val="2"/>
      <scheme val="minor"/>
    </font>
    <font>
      <u/>
      <sz val="11"/>
      <color theme="1"/>
      <name val="Calibri"/>
      <family val="2"/>
      <scheme val="minor"/>
    </font>
  </fonts>
  <fills count="6">
    <fill>
      <patternFill patternType="none"/>
    </fill>
    <fill>
      <patternFill patternType="gray125"/>
    </fill>
    <fill>
      <patternFill patternType="solid">
        <fgColor theme="4" tint="-0.249977111117893"/>
        <bgColor indexed="64"/>
      </patternFill>
    </fill>
    <fill>
      <patternFill patternType="solid">
        <fgColor theme="1"/>
        <bgColor indexed="64"/>
      </patternFill>
    </fill>
    <fill>
      <patternFill patternType="solid">
        <fgColor rgb="FF232423"/>
        <bgColor indexed="64"/>
      </patternFill>
    </fill>
    <fill>
      <patternFill patternType="solid">
        <fgColor theme="4" tint="0.79998168889431442"/>
        <bgColor theme="4" tint="0.79998168889431442"/>
      </patternFill>
    </fill>
  </fills>
  <borders count="6">
    <border>
      <left/>
      <right/>
      <top/>
      <bottom/>
      <diagonal/>
    </border>
    <border>
      <left style="thin">
        <color indexed="64"/>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theme="4" tint="0.39997558519241921"/>
      </bottom>
      <diagonal/>
    </border>
  </borders>
  <cellStyleXfs count="3">
    <xf numFmtId="0" fontId="0" fillId="0" borderId="0"/>
    <xf numFmtId="43" fontId="4" fillId="0" borderId="0" applyFont="0" applyFill="0" applyBorder="0" applyAlignment="0" applyProtection="0"/>
    <xf numFmtId="9" fontId="4" fillId="0" borderId="0" applyFont="0" applyFill="0" applyBorder="0" applyAlignment="0" applyProtection="0"/>
  </cellStyleXfs>
  <cellXfs count="35">
    <xf numFmtId="0" fontId="0" fillId="0" borderId="0" xfId="0"/>
    <xf numFmtId="0" fontId="0" fillId="0" borderId="0" xfId="0" applyFont="1"/>
    <xf numFmtId="0" fontId="1" fillId="0" borderId="0" xfId="0" applyFont="1"/>
    <xf numFmtId="14" fontId="0" fillId="0" borderId="0" xfId="0" applyNumberFormat="1"/>
    <xf numFmtId="0" fontId="0" fillId="0" borderId="0" xfId="0" pivotButton="1"/>
    <xf numFmtId="0" fontId="0" fillId="0" borderId="0" xfId="0" applyNumberFormat="1"/>
    <xf numFmtId="0" fontId="0" fillId="2" borderId="0" xfId="0" applyFill="1"/>
    <xf numFmtId="0" fontId="0" fillId="0" borderId="0" xfId="0" applyAlignment="1">
      <alignment horizontal="left"/>
    </xf>
    <xf numFmtId="0" fontId="0" fillId="3" borderId="0" xfId="0" applyFill="1"/>
    <xf numFmtId="0" fontId="0" fillId="4" borderId="0" xfId="0" applyFill="1"/>
    <xf numFmtId="0" fontId="0" fillId="0" borderId="0" xfId="0" applyFont="1" applyAlignment="1">
      <alignment horizontal="left"/>
    </xf>
    <xf numFmtId="0" fontId="0" fillId="0" borderId="1" xfId="0" applyBorder="1"/>
    <xf numFmtId="0" fontId="0" fillId="0" borderId="1" xfId="0" pivotButton="1" applyBorder="1"/>
    <xf numFmtId="0" fontId="0" fillId="0" borderId="1" xfId="0" applyBorder="1" applyAlignment="1">
      <alignment horizontal="left"/>
    </xf>
    <xf numFmtId="21" fontId="0" fillId="0" borderId="0" xfId="0" applyNumberFormat="1"/>
    <xf numFmtId="0" fontId="0" fillId="5" borderId="2" xfId="0" applyFont="1" applyFill="1" applyBorder="1"/>
    <xf numFmtId="0" fontId="0" fillId="5" borderId="3" xfId="0" applyFont="1" applyFill="1" applyBorder="1"/>
    <xf numFmtId="0" fontId="0" fillId="5" borderId="4" xfId="0" applyFont="1" applyFill="1" applyBorder="1"/>
    <xf numFmtId="0" fontId="0" fillId="0" borderId="2" xfId="0" applyFont="1" applyBorder="1"/>
    <xf numFmtId="0" fontId="0" fillId="0" borderId="3" xfId="0" applyFont="1" applyBorder="1"/>
    <xf numFmtId="0" fontId="2" fillId="2" borderId="2" xfId="0" applyFont="1" applyFill="1" applyBorder="1"/>
    <xf numFmtId="0" fontId="2" fillId="2" borderId="3" xfId="0" applyFont="1" applyFill="1" applyBorder="1"/>
    <xf numFmtId="0" fontId="2" fillId="2" borderId="4" xfId="0" applyFont="1" applyFill="1" applyBorder="1"/>
    <xf numFmtId="0" fontId="3" fillId="0" borderId="0" xfId="0" applyFont="1"/>
    <xf numFmtId="0" fontId="5" fillId="0" borderId="0" xfId="0" applyFont="1"/>
    <xf numFmtId="0" fontId="1" fillId="5" borderId="5" xfId="0" applyFont="1" applyFill="1" applyBorder="1"/>
    <xf numFmtId="9" fontId="0" fillId="0" borderId="0" xfId="2" applyFont="1"/>
    <xf numFmtId="43" fontId="0" fillId="0" borderId="0" xfId="1" applyFont="1"/>
    <xf numFmtId="9" fontId="0" fillId="0" borderId="0" xfId="0" applyNumberFormat="1"/>
    <xf numFmtId="0" fontId="0" fillId="0" borderId="0" xfId="0" quotePrefix="1"/>
    <xf numFmtId="164" fontId="0" fillId="0" borderId="0" xfId="0" applyNumberFormat="1"/>
    <xf numFmtId="0" fontId="7" fillId="0" borderId="0" xfId="0" applyFont="1"/>
    <xf numFmtId="49" fontId="1" fillId="0" borderId="0" xfId="0" applyNumberFormat="1" applyFont="1"/>
    <xf numFmtId="165" fontId="0" fillId="0" borderId="0" xfId="0" applyNumberFormat="1" applyFont="1"/>
    <xf numFmtId="165" fontId="0" fillId="0" borderId="0" xfId="0" applyNumberFormat="1"/>
  </cellXfs>
  <cellStyles count="3">
    <cellStyle name="Comma" xfId="1" builtinId="3"/>
    <cellStyle name="Normal" xfId="0" builtinId="0"/>
    <cellStyle name="Percent" xfId="2" builtinId="5"/>
  </cellStyles>
  <dxfs count="139">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numFmt numFmtId="19" formatCode="dd/mm/yyyy"/>
    </dxf>
    <dxf>
      <font>
        <b/>
        <i val="0"/>
        <strike val="0"/>
        <condense val="0"/>
        <extend val="0"/>
        <outline val="0"/>
        <shadow val="0"/>
        <u val="none"/>
        <vertAlign val="baseline"/>
        <sz val="11"/>
        <color theme="1"/>
        <name val="Calibri"/>
        <family val="2"/>
        <scheme val="minor"/>
      </font>
    </dxf>
    <dxf>
      <fill>
        <patternFill>
          <bgColor rgb="FF232423"/>
        </patternFill>
      </fill>
      <border diagonalUp="0" diagonalDown="0">
        <left/>
        <right/>
        <top/>
        <bottom/>
        <vertical/>
        <horizontal/>
      </border>
    </dxf>
  </dxfs>
  <tableStyles count="1" defaultTableStyle="TableStyleMedium2" defaultPivotStyle="PivotStyleLight16">
    <tableStyle name="Slicer Style 1" pivot="0" table="0" count="6" xr9:uid="{9F1B6321-466A-479C-847F-E36EFC82FBC2}">
      <tableStyleElement type="wholeTable" dxfId="138"/>
    </tableStyle>
  </tableStyles>
  <colors>
    <mruColors>
      <color rgb="FFBB4340"/>
      <color rgb="FFFF7700"/>
      <color rgb="FF8D8F8D"/>
      <color rgb="FF434443"/>
      <color rgb="FF516077"/>
      <color rgb="FFFFFF85"/>
      <color rgb="FF232423"/>
      <color rgb="FFABABAB"/>
      <color rgb="FFA40707"/>
      <color rgb="FF599AD5"/>
    </mruColors>
  </colors>
  <extLst>
    <ext xmlns:x14="http://schemas.microsoft.com/office/spreadsheetml/2009/9/main" uri="{46F421CA-312F-682f-3DD2-61675219B42D}">
      <x14:dxfs count="5">
        <dxf>
          <font>
            <color rgb="FFDEDBDA"/>
          </font>
          <fill>
            <patternFill>
              <bgColor rgb="FFBB4340"/>
            </patternFill>
          </fill>
        </dxf>
        <dxf>
          <fill>
            <patternFill>
              <bgColor rgb="FFA40707"/>
            </patternFill>
          </fill>
        </dxf>
        <dxf>
          <fill>
            <patternFill>
              <bgColor rgb="FFBB4340"/>
            </patternFill>
          </fill>
        </dxf>
        <dxf>
          <font>
            <color rgb="FFBCBBB9"/>
          </font>
          <fill>
            <patternFill>
              <bgColor rgb="FF434443"/>
            </patternFill>
          </fill>
          <border diagonalUp="0" diagonalDown="0">
            <left/>
            <right/>
            <top/>
            <bottom/>
            <vertical/>
            <horizontal/>
          </border>
        </dxf>
        <dxf>
          <fill>
            <patternFill>
              <bgColor rgb="FF8D8F8D"/>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4"/>
            <x14:slicerStyleElement type="selectedItemWithData" dxfId="3"/>
            <x14:slicerStyleElement type="selectedItemWithNo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powerPivotData" Target="model/item.data"/><Relationship Id="rId18"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customXml" Target="../customXml/item7.xml"/><Relationship Id="rId7" Type="http://schemas.microsoft.com/office/2007/relationships/slicerCache" Target="slicerCaches/slicerCache1.xml"/><Relationship Id="rId12" Type="http://schemas.openxmlformats.org/officeDocument/2006/relationships/sheetMetadata" Target="metadata.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24" Type="http://schemas.openxmlformats.org/officeDocument/2006/relationships/customXml" Target="../customXml/item10.xml"/><Relationship Id="rId5" Type="http://schemas.openxmlformats.org/officeDocument/2006/relationships/worksheet" Target="worksheets/sheet5.xml"/><Relationship Id="rId15" Type="http://schemas.openxmlformats.org/officeDocument/2006/relationships/customXml" Target="../customXml/item1.xml"/><Relationship Id="rId23" Type="http://schemas.openxmlformats.org/officeDocument/2006/relationships/customXml" Target="../customXml/item9.xml"/><Relationship Id="rId10" Type="http://schemas.openxmlformats.org/officeDocument/2006/relationships/styles" Target="styles.xml"/><Relationship Id="rId19"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alcChain" Target="calcChain.xml"/><Relationship Id="rId22" Type="http://schemas.openxmlformats.org/officeDocument/2006/relationships/customXml" Target="../customXml/item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13.PNG"/><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2225" cap="rnd">
            <a:solidFill>
              <a:schemeClr val="bg1"/>
            </a:solidFill>
            <a:round/>
          </a:ln>
          <a:effectLst/>
        </c:spPr>
        <c:marker>
          <c:spPr>
            <a:solidFill>
              <a:schemeClr val="bg1">
                <a:lumMod val="75000"/>
              </a:schemeClr>
            </a:solidFill>
            <a:ln w="9525">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2225" cap="rnd">
            <a:solidFill>
              <a:schemeClr val="bg1"/>
            </a:solidFill>
            <a:round/>
          </a:ln>
          <a:effectLst/>
        </c:spPr>
        <c:marker>
          <c:spPr>
            <a:solidFill>
              <a:schemeClr val="bg1">
                <a:lumMod val="75000"/>
              </a:schemeClr>
            </a:solidFill>
            <a:ln w="9525">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2225" cap="rnd">
            <a:solidFill>
              <a:schemeClr val="bg1"/>
            </a:solidFill>
            <a:round/>
          </a:ln>
          <a:effectLst/>
        </c:spPr>
        <c:marker>
          <c:spPr>
            <a:solidFill>
              <a:schemeClr val="bg1">
                <a:lumMod val="75000"/>
              </a:schemeClr>
            </a:solidFill>
            <a:ln w="9525">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2225" cap="rnd">
            <a:solidFill>
              <a:schemeClr val="bg1"/>
            </a:solidFill>
            <a:round/>
          </a:ln>
          <a:effectLst/>
        </c:spPr>
        <c:marker>
          <c:spPr>
            <a:solidFill>
              <a:schemeClr val="bg1">
                <a:lumMod val="75000"/>
              </a:schemeClr>
            </a:solidFill>
            <a:ln w="9525">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2225" cap="rnd">
            <a:solidFill>
              <a:schemeClr val="bg1"/>
            </a:solidFill>
            <a:round/>
          </a:ln>
          <a:effectLst/>
        </c:spPr>
        <c:marker>
          <c:spPr>
            <a:solidFill>
              <a:schemeClr val="bg1">
                <a:lumMod val="75000"/>
              </a:schemeClr>
            </a:solidFill>
            <a:ln w="9525">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2225" cap="rnd">
            <a:solidFill>
              <a:schemeClr val="bg1"/>
            </a:solidFill>
            <a:round/>
          </a:ln>
          <a:effectLst/>
        </c:spPr>
        <c:marker>
          <c:spPr>
            <a:solidFill>
              <a:schemeClr val="bg1">
                <a:lumMod val="75000"/>
              </a:schemeClr>
            </a:solidFill>
            <a:ln w="9525">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2225" cap="rnd">
            <a:solidFill>
              <a:srgbClr val="A40707"/>
            </a:solidFill>
            <a:round/>
          </a:ln>
          <a:effectLst/>
        </c:spPr>
        <c:marker>
          <c:symbol val="circle"/>
          <c:size val="18"/>
          <c:spPr>
            <a:solidFill>
              <a:srgbClr val="A40707"/>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ABABAB"/>
                  </a:solidFill>
                  <a:latin typeface="+mn-lt"/>
                  <a:ea typeface="+mn-ea"/>
                  <a:cs typeface="+mn-cs"/>
                </a:defRPr>
              </a:pPr>
              <a:endParaRPr lang="en-150"/>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2225" cap="rnd">
            <a:solidFill>
              <a:srgbClr val="A40707"/>
            </a:solidFill>
            <a:round/>
          </a:ln>
          <a:effectLst/>
        </c:spPr>
        <c:marker>
          <c:symbol val="circle"/>
          <c:size val="18"/>
          <c:spPr>
            <a:solidFill>
              <a:srgbClr val="A40707"/>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ABABAB"/>
                  </a:solidFill>
                  <a:latin typeface="+mn-lt"/>
                  <a:ea typeface="+mn-ea"/>
                  <a:cs typeface="+mn-cs"/>
                </a:defRPr>
              </a:pPr>
              <a:endParaRPr lang="en-150"/>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2225" cap="rnd">
            <a:solidFill>
              <a:srgbClr val="A40707"/>
            </a:solidFill>
            <a:round/>
          </a:ln>
          <a:effectLst/>
        </c:spPr>
        <c:marker>
          <c:symbol val="circle"/>
          <c:size val="18"/>
          <c:spPr>
            <a:solidFill>
              <a:srgbClr val="A40707"/>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ABABAB"/>
                  </a:solidFill>
                  <a:latin typeface="+mn-lt"/>
                  <a:ea typeface="+mn-ea"/>
                  <a:cs typeface="+mn-cs"/>
                </a:defRPr>
              </a:pPr>
              <a:endParaRPr lang="en-150"/>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2225" cap="rnd">
            <a:solidFill>
              <a:srgbClr val="A40707"/>
            </a:solidFill>
            <a:round/>
          </a:ln>
          <a:effectLst/>
        </c:spPr>
        <c:marker>
          <c:symbol val="circle"/>
          <c:size val="18"/>
          <c:spPr>
            <a:solidFill>
              <a:srgbClr val="A40707"/>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ABABAB"/>
                  </a:solidFill>
                  <a:latin typeface="+mn-lt"/>
                  <a:ea typeface="+mn-ea"/>
                  <a:cs typeface="+mn-cs"/>
                </a:defRPr>
              </a:pPr>
              <a:endParaRPr lang="en-150"/>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2225" cap="rnd">
            <a:solidFill>
              <a:srgbClr val="A40707"/>
            </a:solidFill>
            <a:round/>
          </a:ln>
          <a:effectLst/>
        </c:spPr>
        <c:marker>
          <c:symbol val="circle"/>
          <c:size val="18"/>
          <c:spPr>
            <a:solidFill>
              <a:srgbClr val="A40707"/>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ABABAB"/>
                  </a:solidFill>
                  <a:latin typeface="+mn-lt"/>
                  <a:ea typeface="+mn-ea"/>
                  <a:cs typeface="+mn-cs"/>
                </a:defRPr>
              </a:pPr>
              <a:endParaRPr lang="en-150"/>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763618892507079E-2"/>
          <c:y val="6.9505389809357943E-2"/>
          <c:w val="0.87753018372703417"/>
          <c:h val="0.78593712169477814"/>
        </c:manualLayout>
      </c:layout>
      <c:lineChart>
        <c:grouping val="standard"/>
        <c:varyColors val="0"/>
        <c:ser>
          <c:idx val="0"/>
          <c:order val="0"/>
          <c:tx>
            <c:strRef>
              <c:f>Combat2!$L$5</c:f>
              <c:strCache>
                <c:ptCount val="1"/>
                <c:pt idx="0">
                  <c:v>Total dmg</c:v>
                </c:pt>
              </c:strCache>
            </c:strRef>
          </c:tx>
          <c:spPr>
            <a:ln w="22225" cap="rnd">
              <a:solidFill>
                <a:srgbClr val="A40707"/>
              </a:solidFill>
              <a:round/>
            </a:ln>
            <a:effectLst/>
          </c:spPr>
          <c:marker>
            <c:symbol val="circle"/>
            <c:size val="18"/>
            <c:spPr>
              <a:solidFill>
                <a:srgbClr val="A40707"/>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ABABAB"/>
                    </a:solidFill>
                    <a:latin typeface="+mn-lt"/>
                    <a:ea typeface="+mn-ea"/>
                    <a:cs typeface="+mn-cs"/>
                  </a:defRPr>
                </a:pPr>
                <a:endParaRPr lang="en-150"/>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Combat2!$K$6:$K$12</c:f>
              <c:strCache>
                <c:ptCount val="7"/>
                <c:pt idx="0">
                  <c:v>Angatparul</c:v>
                </c:pt>
                <c:pt idx="1">
                  <c:v>Arthus</c:v>
                </c:pt>
                <c:pt idx="2">
                  <c:v>Bylo</c:v>
                </c:pt>
                <c:pt idx="3">
                  <c:v>Ciri Ruple</c:v>
                </c:pt>
                <c:pt idx="4">
                  <c:v>Sev</c:v>
                </c:pt>
                <c:pt idx="5">
                  <c:v>Venythria</c:v>
                </c:pt>
                <c:pt idx="6">
                  <c:v>Total</c:v>
                </c:pt>
              </c:strCache>
            </c:strRef>
          </c:cat>
          <c:val>
            <c:numRef>
              <c:f>Combat2!$L$6:$L$11</c:f>
              <c:numCache>
                <c:formatCode>General</c:formatCode>
                <c:ptCount val="6"/>
                <c:pt idx="0">
                  <c:v>745</c:v>
                </c:pt>
                <c:pt idx="1">
                  <c:v>388</c:v>
                </c:pt>
                <c:pt idx="2">
                  <c:v>210</c:v>
                </c:pt>
                <c:pt idx="3">
                  <c:v>438</c:v>
                </c:pt>
                <c:pt idx="4">
                  <c:v>522</c:v>
                </c:pt>
                <c:pt idx="5">
                  <c:v>519</c:v>
                </c:pt>
              </c:numCache>
            </c:numRef>
          </c:val>
          <c:smooth val="1"/>
          <c:extLst>
            <c:ext xmlns:c16="http://schemas.microsoft.com/office/drawing/2014/chart" uri="{C3380CC4-5D6E-409C-BE32-E72D297353CC}">
              <c16:uniqueId val="{00000000-BA2B-4394-AFC1-AE1BAF134709}"/>
            </c:ext>
          </c:extLst>
        </c:ser>
        <c:dLbls>
          <c:showLegendKey val="0"/>
          <c:showVal val="0"/>
          <c:showCatName val="0"/>
          <c:showSerName val="0"/>
          <c:showPercent val="0"/>
          <c:showBubbleSize val="0"/>
        </c:dLbls>
        <c:marker val="1"/>
        <c:smooth val="0"/>
        <c:axId val="793441632"/>
        <c:axId val="670153968"/>
      </c:lineChart>
      <c:catAx>
        <c:axId val="7934416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150"/>
          </a:p>
        </c:txPr>
        <c:crossAx val="670153968"/>
        <c:crosses val="autoZero"/>
        <c:auto val="1"/>
        <c:lblAlgn val="ctr"/>
        <c:lblOffset val="100"/>
        <c:noMultiLvlLbl val="0"/>
      </c:catAx>
      <c:valAx>
        <c:axId val="670153968"/>
        <c:scaling>
          <c:orientation val="minMax"/>
        </c:scaling>
        <c:delete val="1"/>
        <c:axPos val="l"/>
        <c:majorGridlines>
          <c:spPr>
            <a:ln w="9525" cap="flat" cmpd="sng" algn="ctr">
              <a:solidFill>
                <a:srgbClr val="ABABAB">
                  <a:alpha val="51000"/>
                </a:srgbClr>
              </a:solidFill>
              <a:round/>
            </a:ln>
            <a:effectLst/>
          </c:spPr>
        </c:majorGridlines>
        <c:numFmt formatCode="General" sourceLinked="1"/>
        <c:majorTickMark val="none"/>
        <c:minorTickMark val="none"/>
        <c:tickLblPos val="nextTo"/>
        <c:crossAx val="79344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32423"/>
    </a:solidFill>
    <a:ln w="9525" cap="flat" cmpd="sng" algn="ctr">
      <a:noFill/>
      <a:round/>
    </a:ln>
    <a:effectLst/>
  </c:spPr>
  <c:txPr>
    <a:bodyPr/>
    <a:lstStyle/>
    <a:p>
      <a:pPr>
        <a:defRPr/>
      </a:pPr>
      <a:endParaRPr lang="en-150"/>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spPr>
            <a:solidFill>
              <a:srgbClr val="C00000"/>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150"/>
              </a:p>
            </c:txPr>
            <c:dLblPos val="ctr"/>
            <c:showLegendKey val="0"/>
            <c:showVal val="0"/>
            <c:showCatName val="0"/>
            <c:showSerName val="0"/>
            <c:showPercent val="0"/>
            <c:showBubbleSize val="1"/>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Combat2!$AX$7:$AX$15</c:f>
              <c:numCache>
                <c:formatCode>General</c:formatCode>
                <c:ptCount val="9"/>
                <c:pt idx="0">
                  <c:v>1.5</c:v>
                </c:pt>
                <c:pt idx="1">
                  <c:v>2</c:v>
                </c:pt>
                <c:pt idx="2">
                  <c:v>8.5</c:v>
                </c:pt>
                <c:pt idx="3">
                  <c:v>8</c:v>
                </c:pt>
              </c:numCache>
            </c:numRef>
          </c:xVal>
          <c:yVal>
            <c:numRef>
              <c:f>Combat2!$AY$7:$AY$15</c:f>
              <c:numCache>
                <c:formatCode>General</c:formatCode>
                <c:ptCount val="9"/>
                <c:pt idx="0">
                  <c:v>8.6999999999999993</c:v>
                </c:pt>
                <c:pt idx="1">
                  <c:v>7.5</c:v>
                </c:pt>
                <c:pt idx="2">
                  <c:v>6</c:v>
                </c:pt>
                <c:pt idx="3">
                  <c:v>1.5</c:v>
                </c:pt>
              </c:numCache>
            </c:numRef>
          </c:yVal>
          <c:bubbleSize>
            <c:numRef>
              <c:f>Combat2!$AZ$7:$AZ$15</c:f>
              <c:numCache>
                <c:formatCode>General</c:formatCode>
                <c:ptCount val="9"/>
                <c:pt idx="0">
                  <c:v>451</c:v>
                </c:pt>
                <c:pt idx="1">
                  <c:v>1455</c:v>
                </c:pt>
                <c:pt idx="2">
                  <c:v>526</c:v>
                </c:pt>
                <c:pt idx="3">
                  <c:v>390</c:v>
                </c:pt>
                <c:pt idx="4">
                  <c:v>0</c:v>
                </c:pt>
              </c:numCache>
            </c:numRef>
          </c:bubbleSize>
          <c:bubble3D val="0"/>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1-3B32-4919-8784-85470CDB9A01}"/>
            </c:ext>
          </c:extLst>
        </c:ser>
        <c:dLbls>
          <c:dLblPos val="ctr"/>
          <c:showLegendKey val="0"/>
          <c:showVal val="1"/>
          <c:showCatName val="0"/>
          <c:showSerName val="0"/>
          <c:showPercent val="0"/>
          <c:showBubbleSize val="0"/>
        </c:dLbls>
        <c:bubbleScale val="75"/>
        <c:showNegBubbles val="0"/>
        <c:axId val="340178032"/>
        <c:axId val="340178360"/>
      </c:bubbleChart>
      <c:valAx>
        <c:axId val="340178032"/>
        <c:scaling>
          <c:orientation val="minMax"/>
          <c:max val="10"/>
          <c:min val="0"/>
        </c:scaling>
        <c:delete val="1"/>
        <c:axPos val="b"/>
        <c:numFmt formatCode="General" sourceLinked="1"/>
        <c:majorTickMark val="none"/>
        <c:minorTickMark val="none"/>
        <c:tickLblPos val="nextTo"/>
        <c:crossAx val="340178360"/>
        <c:crosses val="autoZero"/>
        <c:crossBetween val="midCat"/>
      </c:valAx>
      <c:valAx>
        <c:axId val="340178360"/>
        <c:scaling>
          <c:orientation val="minMax"/>
          <c:max val="10"/>
          <c:min val="0"/>
        </c:scaling>
        <c:delete val="1"/>
        <c:axPos val="l"/>
        <c:numFmt formatCode="General" sourceLinked="1"/>
        <c:majorTickMark val="none"/>
        <c:minorTickMark val="none"/>
        <c:tickLblPos val="nextTo"/>
        <c:crossAx val="340178032"/>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srcRect/>
      <a:stretch>
        <a:fillRect/>
      </a:stretch>
    </a:blipFill>
    <a:ln w="12700" cap="flat" cmpd="sng" algn="ctr">
      <a:noFill/>
      <a:round/>
    </a:ln>
    <a:effectLst/>
  </c:spPr>
  <c:txPr>
    <a:bodyPr/>
    <a:lstStyle/>
    <a:p>
      <a:pPr>
        <a:defRPr/>
      </a:pPr>
      <a:endParaRPr lang="en-150"/>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Combat2!$BY$6</c:f>
              <c:strCache>
                <c:ptCount val="1"/>
                <c:pt idx="0">
                  <c:v>Top 5 dmgs</c:v>
                </c:pt>
              </c:strCache>
            </c:strRef>
          </c:tx>
          <c:spPr>
            <a:solidFill>
              <a:srgbClr val="BB4340"/>
            </a:solidFill>
            <a:ln>
              <a:noFill/>
            </a:ln>
            <a:effectLst/>
          </c:spPr>
          <c:invertIfNegative val="0"/>
          <c:dLbls>
            <c:spPr>
              <a:noFill/>
              <a:ln>
                <a:noFill/>
              </a:ln>
              <a:effectLst/>
            </c:spPr>
            <c:txPr>
              <a:bodyPr rot="0" spcFirstLastPara="1" vertOverflow="overflow" horzOverflow="overflow" vert="horz" wrap="square" lIns="72000" anchor="ctr" anchorCtr="1">
                <a:spAutoFit/>
              </a:bodyPr>
              <a:lstStyle/>
              <a:p>
                <a:pPr>
                  <a:defRPr sz="700" b="0" i="0" u="none" strike="noStrike" kern="1200" baseline="0">
                    <a:solidFill>
                      <a:schemeClr val="bg1"/>
                    </a:solidFill>
                    <a:latin typeface="+mn-lt"/>
                    <a:ea typeface="+mn-ea"/>
                    <a:cs typeface="+mn-cs"/>
                  </a:defRPr>
                </a:pPr>
                <a:endParaRPr lang="en-150"/>
              </a:p>
            </c:txPr>
            <c:dLblPos val="inEnd"/>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[0]!WeaponChartInput2</c:f>
              <c:strCache>
                <c:ptCount val="5"/>
                <c:pt idx="0">
                  <c:v>Pike</c:v>
                </c:pt>
                <c:pt idx="1">
                  <c:v>Monk unarmed strike</c:v>
                </c:pt>
                <c:pt idx="2">
                  <c:v>Halberd</c:v>
                </c:pt>
                <c:pt idx="3">
                  <c:v>Vandal</c:v>
                </c:pt>
                <c:pt idx="4">
                  <c:v>Guardian</c:v>
                </c:pt>
              </c:strCache>
            </c:strRef>
          </c:cat>
          <c:val>
            <c:numRef>
              <c:f>[0]!WeaponChartInput</c:f>
              <c:numCache>
                <c:formatCode>General</c:formatCode>
                <c:ptCount val="5"/>
                <c:pt idx="0">
                  <c:v>523</c:v>
                </c:pt>
                <c:pt idx="1">
                  <c:v>358</c:v>
                </c:pt>
                <c:pt idx="2">
                  <c:v>323</c:v>
                </c:pt>
                <c:pt idx="3">
                  <c:v>257</c:v>
                </c:pt>
                <c:pt idx="4">
                  <c:v>226</c:v>
                </c:pt>
              </c:numCache>
            </c:numRef>
          </c:val>
          <c:extLst>
            <c:ext xmlns:c16="http://schemas.microsoft.com/office/drawing/2014/chart" uri="{C3380CC4-5D6E-409C-BE32-E72D297353CC}">
              <c16:uniqueId val="{00000000-7DC9-4491-948B-F4A0368325D2}"/>
            </c:ext>
          </c:extLst>
        </c:ser>
        <c:dLbls>
          <c:showLegendKey val="0"/>
          <c:showVal val="0"/>
          <c:showCatName val="0"/>
          <c:showSerName val="0"/>
          <c:showPercent val="0"/>
          <c:showBubbleSize val="0"/>
        </c:dLbls>
        <c:gapWidth val="10"/>
        <c:axId val="2126510152"/>
        <c:axId val="2126514416"/>
      </c:barChart>
      <c:catAx>
        <c:axId val="2126510152"/>
        <c:scaling>
          <c:orientation val="minMax"/>
        </c:scaling>
        <c:delete val="1"/>
        <c:axPos val="b"/>
        <c:numFmt formatCode="General" sourceLinked="1"/>
        <c:majorTickMark val="none"/>
        <c:minorTickMark val="none"/>
        <c:tickLblPos val="nextTo"/>
        <c:crossAx val="2126514416"/>
        <c:crosses val="autoZero"/>
        <c:auto val="1"/>
        <c:lblAlgn val="ctr"/>
        <c:lblOffset val="100"/>
        <c:noMultiLvlLbl val="0"/>
      </c:catAx>
      <c:valAx>
        <c:axId val="2126514416"/>
        <c:scaling>
          <c:orientation val="minMax"/>
        </c:scaling>
        <c:delete val="1"/>
        <c:axPos val="l"/>
        <c:numFmt formatCode="General" sourceLinked="1"/>
        <c:majorTickMark val="none"/>
        <c:minorTickMark val="none"/>
        <c:tickLblPos val="nextTo"/>
        <c:crossAx val="212651015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a:solidFill>
            <a:schemeClr val="bg1"/>
          </a:solidFill>
        </a:defRPr>
      </a:pPr>
      <a:endParaRPr lang="en-150"/>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519168812225428E-2"/>
          <c:y val="4.2018578075496485E-2"/>
          <c:w val="0.95848083118777461"/>
          <c:h val="0.91596256995725034"/>
        </c:manualLayout>
      </c:layout>
      <c:barChart>
        <c:barDir val="bar"/>
        <c:grouping val="clustered"/>
        <c:varyColors val="0"/>
        <c:ser>
          <c:idx val="0"/>
          <c:order val="0"/>
          <c:tx>
            <c:strRef>
              <c:f>Combat2!$CR$5</c:f>
              <c:strCache>
                <c:ptCount val="1"/>
                <c:pt idx="0">
                  <c:v>Angatparul</c:v>
                </c:pt>
              </c:strCache>
            </c:strRef>
          </c:tx>
          <c:spPr>
            <a:solidFill>
              <a:srgbClr val="BB4340"/>
            </a:solidFill>
            <a:ln>
              <a:noFill/>
            </a:ln>
            <a:effectLst/>
          </c:spPr>
          <c:invertIfNegative val="0"/>
          <c:cat>
            <c:strRef>
              <c:f>Combat2!$CS$4:$CV$4</c:f>
              <c:strCache>
                <c:ptCount val="4"/>
                <c:pt idx="0">
                  <c:v>Bosses</c:v>
                </c:pt>
                <c:pt idx="1">
                  <c:v>Enemies</c:v>
                </c:pt>
                <c:pt idx="2">
                  <c:v>Allies</c:v>
                </c:pt>
                <c:pt idx="3">
                  <c:v>Total</c:v>
                </c:pt>
              </c:strCache>
            </c:strRef>
          </c:cat>
          <c:val>
            <c:numRef>
              <c:f>[0]!Dmg_taken_char_input</c:f>
              <c:numCache>
                <c:formatCode>0%</c:formatCode>
                <c:ptCount val="4"/>
                <c:pt idx="0">
                  <c:v>1</c:v>
                </c:pt>
                <c:pt idx="1">
                  <c:v>1</c:v>
                </c:pt>
                <c:pt idx="2">
                  <c:v>1</c:v>
                </c:pt>
                <c:pt idx="3">
                  <c:v>1</c:v>
                </c:pt>
              </c:numCache>
            </c:numRef>
          </c:val>
          <c:extLst>
            <c:ext xmlns:c16="http://schemas.microsoft.com/office/drawing/2014/chart" uri="{C3380CC4-5D6E-409C-BE32-E72D297353CC}">
              <c16:uniqueId val="{00000000-C20B-4CF9-AD66-52EB6C496CD9}"/>
            </c:ext>
          </c:extLst>
        </c:ser>
        <c:dLbls>
          <c:showLegendKey val="0"/>
          <c:showVal val="0"/>
          <c:showCatName val="0"/>
          <c:showSerName val="0"/>
          <c:showPercent val="0"/>
          <c:showBubbleSize val="0"/>
        </c:dLbls>
        <c:gapWidth val="190"/>
        <c:overlap val="-100"/>
        <c:axId val="661708480"/>
        <c:axId val="661708808"/>
      </c:barChart>
      <c:catAx>
        <c:axId val="661708480"/>
        <c:scaling>
          <c:orientation val="minMax"/>
        </c:scaling>
        <c:delete val="1"/>
        <c:axPos val="l"/>
        <c:numFmt formatCode="General" sourceLinked="1"/>
        <c:majorTickMark val="out"/>
        <c:minorTickMark val="none"/>
        <c:tickLblPos val="nextTo"/>
        <c:crossAx val="661708808"/>
        <c:crosses val="autoZero"/>
        <c:auto val="1"/>
        <c:lblAlgn val="ctr"/>
        <c:lblOffset val="100"/>
        <c:noMultiLvlLbl val="0"/>
      </c:catAx>
      <c:valAx>
        <c:axId val="661708808"/>
        <c:scaling>
          <c:orientation val="minMax"/>
          <c:max val="1"/>
          <c:min val="0"/>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150"/>
          </a:p>
        </c:txPr>
        <c:crossAx val="66170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150"/>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519168812225428E-2"/>
          <c:y val="4.2018578075496485E-2"/>
          <c:w val="0.95848083118777461"/>
          <c:h val="0.91596256995725034"/>
        </c:manualLayout>
      </c:layout>
      <c:barChart>
        <c:barDir val="bar"/>
        <c:grouping val="clustered"/>
        <c:varyColors val="0"/>
        <c:ser>
          <c:idx val="0"/>
          <c:order val="0"/>
          <c:tx>
            <c:strRef>
              <c:f>Combat2!$CR$5</c:f>
              <c:strCache>
                <c:ptCount val="1"/>
                <c:pt idx="0">
                  <c:v>Angatparul</c:v>
                </c:pt>
              </c:strCache>
            </c:strRef>
          </c:tx>
          <c:spPr>
            <a:noFill/>
            <a:ln>
              <a:noFill/>
            </a:ln>
            <a:effectLst/>
          </c:spPr>
          <c:invertIfNegative val="0"/>
          <c:dLbls>
            <c:dLbl>
              <c:idx val="0"/>
              <c:layout>
                <c:manualLayout>
                  <c:x val="-2.271258613402425E-2"/>
                  <c:y val="-6.6426554721360125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14401388888888889"/>
                      <c:h val="6.5387789857763487E-2"/>
                    </c:manualLayout>
                  </c15:layout>
                </c:ext>
                <c:ext xmlns:c16="http://schemas.microsoft.com/office/drawing/2014/chart" uri="{C3380CC4-5D6E-409C-BE32-E72D297353CC}">
                  <c16:uniqueId val="{00000002-598C-4043-AB85-27DC4FBAACEE}"/>
                </c:ext>
              </c:extLst>
            </c:dLbl>
            <c:dLbl>
              <c:idx val="1"/>
              <c:layout>
                <c:manualLayout>
                  <c:x val="-1.1356516617555096E-2"/>
                  <c:y val="-3.3213277360679455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14401388888888889"/>
                      <c:h val="6.5387789857763487E-2"/>
                    </c:manualLayout>
                  </c15:layout>
                </c:ext>
                <c:ext xmlns:c16="http://schemas.microsoft.com/office/drawing/2014/chart" uri="{C3380CC4-5D6E-409C-BE32-E72D297353CC}">
                  <c16:uniqueId val="{00000003-598C-4043-AB85-27DC4FBAACEE}"/>
                </c:ext>
              </c:extLst>
            </c:dLbl>
            <c:dLbl>
              <c:idx val="2"/>
              <c:layout>
                <c:manualLayout>
                  <c:x val="-1.1356516617555096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14401388888888889"/>
                      <c:h val="6.5387789857763487E-2"/>
                    </c:manualLayout>
                  </c15:layout>
                </c:ext>
                <c:ext xmlns:c16="http://schemas.microsoft.com/office/drawing/2014/chart" uri="{C3380CC4-5D6E-409C-BE32-E72D297353CC}">
                  <c16:uniqueId val="{00000004-598C-4043-AB85-27DC4FBAACEE}"/>
                </c:ext>
              </c:extLst>
            </c:dLbl>
            <c:dLbl>
              <c:idx val="3"/>
              <c:layout>
                <c:manualLayout>
                  <c:x val="-1.5141972478841826E-2"/>
                  <c:y val="-6.6426554721359058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14401388888888889"/>
                      <c:h val="6.5387789857763487E-2"/>
                    </c:manualLayout>
                  </c15:layout>
                </c:ext>
                <c:ext xmlns:c16="http://schemas.microsoft.com/office/drawing/2014/chart" uri="{C3380CC4-5D6E-409C-BE32-E72D297353CC}">
                  <c16:uniqueId val="{00000005-598C-4043-AB85-27DC4FBAACEE}"/>
                </c:ext>
              </c:extLst>
            </c:dLbl>
            <c:spPr>
              <a:solidFill>
                <a:schemeClr val="bg1">
                  <a:lumMod val="75000"/>
                </a:schemeClr>
              </a:solidFill>
              <a:ln>
                <a:noFill/>
              </a:ln>
              <a:effectLst>
                <a:outerShdw blurRad="63500" sx="102000" sy="102000" algn="ctr" rotWithShape="0">
                  <a:prstClr val="black">
                    <a:alpha val="40000"/>
                  </a:prstClr>
                </a:outerShdw>
              </a:effectLst>
            </c:spPr>
            <c:txPr>
              <a:bodyPr rot="0" spcFirstLastPara="1" vertOverflow="clip" horzOverflow="clip" vert="horz" wrap="none" lIns="36000" tIns="18288" rIns="36576" bIns="18288" anchor="ctr" anchorCtr="1">
                <a:noAutofit/>
              </a:bodyPr>
              <a:lstStyle/>
              <a:p>
                <a:pPr>
                  <a:defRPr sz="1200" b="0" i="0" u="none" strike="noStrike" kern="1200" baseline="0">
                    <a:solidFill>
                      <a:schemeClr val="dk1">
                        <a:lumMod val="65000"/>
                        <a:lumOff val="35000"/>
                      </a:schemeClr>
                    </a:solidFill>
                    <a:latin typeface="+mn-lt"/>
                    <a:ea typeface="+mn-ea"/>
                    <a:cs typeface="+mn-cs"/>
                  </a:defRPr>
                </a:pPr>
                <a:endParaRPr lang="en-150"/>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Combat2!$CS$4:$CV$4</c:f>
              <c:strCache>
                <c:ptCount val="4"/>
                <c:pt idx="0">
                  <c:v>Bosses</c:v>
                </c:pt>
                <c:pt idx="1">
                  <c:v>Enemies</c:v>
                </c:pt>
                <c:pt idx="2">
                  <c:v>Allies</c:v>
                </c:pt>
                <c:pt idx="3">
                  <c:v>Total</c:v>
                </c:pt>
              </c:strCache>
            </c:strRef>
          </c:cat>
          <c:val>
            <c:numRef>
              <c:f>[0]!Dmg_taken_char_input</c:f>
              <c:numCache>
                <c:formatCode>0%</c:formatCode>
                <c:ptCount val="4"/>
                <c:pt idx="0">
                  <c:v>1</c:v>
                </c:pt>
                <c:pt idx="1">
                  <c:v>1</c:v>
                </c:pt>
                <c:pt idx="2">
                  <c:v>1</c:v>
                </c:pt>
                <c:pt idx="3">
                  <c:v>1</c:v>
                </c:pt>
              </c:numCache>
            </c:numRef>
          </c:val>
          <c:extLst>
            <c:ext xmlns:c16="http://schemas.microsoft.com/office/drawing/2014/chart" uri="{C3380CC4-5D6E-409C-BE32-E72D297353CC}">
              <c16:uniqueId val="{00000000-598C-4043-AB85-27DC4FBAACEE}"/>
            </c:ext>
          </c:extLst>
        </c:ser>
        <c:dLbls>
          <c:dLblPos val="outEnd"/>
          <c:showLegendKey val="0"/>
          <c:showVal val="1"/>
          <c:showCatName val="0"/>
          <c:showSerName val="0"/>
          <c:showPercent val="0"/>
          <c:showBubbleSize val="0"/>
        </c:dLbls>
        <c:gapWidth val="190"/>
        <c:overlap val="-100"/>
        <c:axId val="661708480"/>
        <c:axId val="661708808"/>
      </c:barChart>
      <c:catAx>
        <c:axId val="661708480"/>
        <c:scaling>
          <c:orientation val="minMax"/>
        </c:scaling>
        <c:delete val="1"/>
        <c:axPos val="l"/>
        <c:numFmt formatCode="General" sourceLinked="1"/>
        <c:majorTickMark val="out"/>
        <c:minorTickMark val="none"/>
        <c:tickLblPos val="nextTo"/>
        <c:crossAx val="661708808"/>
        <c:crosses val="autoZero"/>
        <c:auto val="1"/>
        <c:lblAlgn val="ctr"/>
        <c:lblOffset val="100"/>
        <c:noMultiLvlLbl val="0"/>
      </c:catAx>
      <c:valAx>
        <c:axId val="661708808"/>
        <c:scaling>
          <c:orientation val="minMax"/>
          <c:max val="1"/>
          <c:min val="0"/>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150"/>
          </a:p>
        </c:txPr>
        <c:crossAx val="66170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150"/>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785388127853878E-2"/>
          <c:y val="5.4661756066082867E-2"/>
          <c:w val="0.87442922374429222"/>
          <c:h val="0.88104247566353866"/>
        </c:manualLayout>
      </c:layout>
      <c:barChart>
        <c:barDir val="bar"/>
        <c:grouping val="clustered"/>
        <c:varyColors val="0"/>
        <c:ser>
          <c:idx val="0"/>
          <c:order val="0"/>
          <c:spPr>
            <a:solidFill>
              <a:schemeClr val="accent6">
                <a:lumMod val="60000"/>
                <a:lumOff val="40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150"/>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Combat2!$DV$6:$DV$10</c:f>
              <c:strCache>
                <c:ptCount val="5"/>
                <c:pt idx="0">
                  <c:v>Angatparul</c:v>
                </c:pt>
                <c:pt idx="1">
                  <c:v>Bylo</c:v>
                </c:pt>
                <c:pt idx="2">
                  <c:v>Arthus</c:v>
                </c:pt>
                <c:pt idx="3">
                  <c:v>Ciri Ruple</c:v>
                </c:pt>
                <c:pt idx="4">
                  <c:v>Sev</c:v>
                </c:pt>
              </c:strCache>
            </c:strRef>
          </c:cat>
          <c:val>
            <c:numRef>
              <c:f>Combat2!$DW$6:$DW$10</c:f>
              <c:numCache>
                <c:formatCode>General</c:formatCode>
                <c:ptCount val="5"/>
                <c:pt idx="0">
                  <c:v>173</c:v>
                </c:pt>
                <c:pt idx="1">
                  <c:v>147</c:v>
                </c:pt>
                <c:pt idx="2">
                  <c:v>86</c:v>
                </c:pt>
                <c:pt idx="3">
                  <c:v>62</c:v>
                </c:pt>
                <c:pt idx="4">
                  <c:v>59</c:v>
                </c:pt>
              </c:numCache>
            </c:numRef>
          </c:val>
          <c:extLst>
            <c:ext xmlns:c16="http://schemas.microsoft.com/office/drawing/2014/chart" uri="{C3380CC4-5D6E-409C-BE32-E72D297353CC}">
              <c16:uniqueId val="{00000000-5E3C-4AE3-B1FB-8F7AF8C1F68B}"/>
            </c:ext>
          </c:extLst>
        </c:ser>
        <c:dLbls>
          <c:showLegendKey val="0"/>
          <c:showVal val="0"/>
          <c:showCatName val="0"/>
          <c:showSerName val="0"/>
          <c:showPercent val="0"/>
          <c:showBubbleSize val="0"/>
        </c:dLbls>
        <c:gapWidth val="182"/>
        <c:axId val="665998176"/>
        <c:axId val="665992600"/>
      </c:barChart>
      <c:catAx>
        <c:axId val="665998176"/>
        <c:scaling>
          <c:orientation val="minMax"/>
        </c:scaling>
        <c:delete val="1"/>
        <c:axPos val="l"/>
        <c:numFmt formatCode="General" sourceLinked="1"/>
        <c:majorTickMark val="out"/>
        <c:minorTickMark val="none"/>
        <c:tickLblPos val="nextTo"/>
        <c:crossAx val="665992600"/>
        <c:crosses val="autoZero"/>
        <c:auto val="1"/>
        <c:lblAlgn val="ctr"/>
        <c:lblOffset val="100"/>
        <c:noMultiLvlLbl val="0"/>
      </c:catAx>
      <c:valAx>
        <c:axId val="665992600"/>
        <c:scaling>
          <c:orientation val="minMax"/>
        </c:scaling>
        <c:delete val="1"/>
        <c:axPos val="b"/>
        <c:numFmt formatCode="General" sourceLinked="1"/>
        <c:majorTickMark val="out"/>
        <c:minorTickMark val="none"/>
        <c:tickLblPos val="nextTo"/>
        <c:crossAx val="66599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150"/>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plotSurface>
          <cx:spPr>
            <a:ln>
              <a:noFill/>
            </a:ln>
          </cx:spPr>
        </cx:plotSurface>
        <cx:series layoutId="sunburst" uniqueId="{CAF43526-677D-4AAA-8970-61E904D8028E}">
          <cx:tx>
            <cx:txData>
              <cx:f>_xlchart.v1.1</cx:f>
              <cx:v>sum of Dmg for type</cx:v>
            </cx:txData>
          </cx:tx>
          <cx:spPr>
            <a:ln w="3175">
              <a:noFill/>
            </a:ln>
          </cx:spPr>
          <cx:dataPt idx="0">
            <cx:spPr>
              <a:solidFill>
                <a:srgbClr val="A40707"/>
              </a:solidFill>
            </cx:spPr>
          </cx:dataPt>
          <cx:dataPt idx="1">
            <cx:spPr>
              <a:solidFill>
                <a:srgbClr val="E7E6E6">
                  <a:lumMod val="25000"/>
                </a:srgbClr>
              </a:solidFill>
            </cx:spPr>
          </cx:dataPt>
          <cx:dataPt idx="2">
            <cx:spPr>
              <a:solidFill>
                <a:srgbClr val="E7E6E6">
                  <a:lumMod val="90000"/>
                </a:srgbClr>
              </a:solidFill>
            </cx:spPr>
          </cx:dataPt>
          <cx:dataPt idx="3">
            <cx:spPr>
              <a:solidFill>
                <a:srgbClr val="E7E6E6">
                  <a:lumMod val="50000"/>
                </a:srgbClr>
              </a:solidFill>
            </cx:spPr>
          </cx:dataPt>
          <cx:dataPt idx="4">
            <cx:spPr>
              <a:solidFill>
                <a:srgbClr val="0070C0"/>
              </a:solidFill>
              <a:ln>
                <a:noFill/>
              </a:ln>
            </cx:spPr>
          </cx:dataPt>
          <cx:dataPt idx="5">
            <cx:spPr>
              <a:solidFill>
                <a:srgbClr val="FF0000"/>
              </a:solidFill>
            </cx:spPr>
          </cx:dataPt>
          <cx:dataPt idx="6">
            <cx:spPr>
              <a:solidFill>
                <a:srgbClr val="232423"/>
              </a:solidFill>
              <a:ln>
                <a:noFill/>
              </a:ln>
            </cx:spPr>
          </cx:dataPt>
          <cx:dataPt idx="7">
            <cx:spPr>
              <a:solidFill>
                <a:srgbClr val="FFFF85"/>
              </a:solidFill>
            </cx:spPr>
          </cx:dataPt>
          <cx:dataPt idx="9">
            <cx:spPr>
              <a:solidFill>
                <a:srgbClr val="FF7700"/>
              </a:solidFill>
            </cx:spPr>
          </cx:dataPt>
          <cx:dataLabels pos="ctr">
            <cx:visibility seriesName="0" categoryName="1" value="0"/>
          </cx:dataLabels>
          <cx:dataId val="0"/>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19.png"/><Relationship Id="rId3" Type="http://schemas.microsoft.com/office/2014/relationships/chartEx" Target="../charts/chartEx1.xml"/><Relationship Id="rId7" Type="http://schemas.openxmlformats.org/officeDocument/2006/relationships/image" Target="../media/image14.emf"/><Relationship Id="rId12" Type="http://schemas.openxmlformats.org/officeDocument/2006/relationships/image" Target="../media/image6.png"/><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6.xml"/><Relationship Id="rId11" Type="http://schemas.openxmlformats.org/officeDocument/2006/relationships/image" Target="../media/image18.png"/><Relationship Id="rId5" Type="http://schemas.openxmlformats.org/officeDocument/2006/relationships/chart" Target="../charts/chart5.xml"/><Relationship Id="rId10" Type="http://schemas.openxmlformats.org/officeDocument/2006/relationships/image" Target="../media/image17.png"/><Relationship Id="rId4" Type="http://schemas.openxmlformats.org/officeDocument/2006/relationships/chart" Target="../charts/chart4.xml"/><Relationship Id="rId9" Type="http://schemas.openxmlformats.org/officeDocument/2006/relationships/image" Target="../media/image1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0.emf"/></Relationships>
</file>

<file path=xl/drawings/drawing1.xml><?xml version="1.0" encoding="utf-8"?>
<xdr:wsDr xmlns:xdr="http://schemas.openxmlformats.org/drawingml/2006/spreadsheetDrawing" xmlns:a="http://schemas.openxmlformats.org/drawingml/2006/main">
  <xdr:twoCellAnchor editAs="oneCell">
    <xdr:from>
      <xdr:col>4</xdr:col>
      <xdr:colOff>30479</xdr:colOff>
      <xdr:row>23</xdr:row>
      <xdr:rowOff>13436</xdr:rowOff>
    </xdr:from>
    <xdr:to>
      <xdr:col>4</xdr:col>
      <xdr:colOff>861458</xdr:colOff>
      <xdr:row>23</xdr:row>
      <xdr:rowOff>784860</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4439" y="4219676"/>
          <a:ext cx="830979" cy="771424"/>
        </a:xfrm>
        <a:prstGeom prst="rect">
          <a:avLst/>
        </a:prstGeom>
      </xdr:spPr>
    </xdr:pic>
    <xdr:clientData/>
  </xdr:twoCellAnchor>
  <xdr:twoCellAnchor>
    <xdr:from>
      <xdr:col>5</xdr:col>
      <xdr:colOff>45718</xdr:colOff>
      <xdr:row>23</xdr:row>
      <xdr:rowOff>586</xdr:rowOff>
    </xdr:from>
    <xdr:to>
      <xdr:col>5</xdr:col>
      <xdr:colOff>855718</xdr:colOff>
      <xdr:row>24</xdr:row>
      <xdr:rowOff>2866</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51183" y="4206826"/>
          <a:ext cx="810000" cy="811172"/>
        </a:xfrm>
        <a:prstGeom prst="rect">
          <a:avLst/>
        </a:prstGeom>
      </xdr:spPr>
    </xdr:pic>
    <xdr:clientData/>
  </xdr:twoCellAnchor>
  <xdr:twoCellAnchor editAs="oneCell">
    <xdr:from>
      <xdr:col>11</xdr:col>
      <xdr:colOff>53340</xdr:colOff>
      <xdr:row>23</xdr:row>
      <xdr:rowOff>1760</xdr:rowOff>
    </xdr:from>
    <xdr:to>
      <xdr:col>11</xdr:col>
      <xdr:colOff>863340</xdr:colOff>
      <xdr:row>24</xdr:row>
      <xdr:rowOff>2868</xdr:rowOff>
    </xdr:to>
    <xdr:pic>
      <xdr:nvPicPr>
        <xdr:cNvPr id="7" name="Picture 6" descr="Image">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53600" y="4208000"/>
          <a:ext cx="810000" cy="8088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45720</xdr:colOff>
      <xdr:row>23</xdr:row>
      <xdr:rowOff>1755</xdr:rowOff>
    </xdr:from>
    <xdr:to>
      <xdr:col>14</xdr:col>
      <xdr:colOff>854535</xdr:colOff>
      <xdr:row>24</xdr:row>
      <xdr:rowOff>2863</xdr:rowOff>
    </xdr:to>
    <xdr:pic>
      <xdr:nvPicPr>
        <xdr:cNvPr id="9" name="Picture 8" descr="Image">
          <a:extLst>
            <a:ext uri="{FF2B5EF4-FFF2-40B4-BE49-F238E27FC236}">
              <a16:creationId xmlns:a16="http://schemas.microsoft.com/office/drawing/2014/main" id="{00000000-0008-0000-0200-000009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442938" y="4207995"/>
          <a:ext cx="808815" cy="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46307</xdr:colOff>
      <xdr:row>22</xdr:row>
      <xdr:rowOff>181123</xdr:rowOff>
    </xdr:from>
    <xdr:to>
      <xdr:col>8</xdr:col>
      <xdr:colOff>855087</xdr:colOff>
      <xdr:row>24</xdr:row>
      <xdr:rowOff>523</xdr:rowOff>
    </xdr:to>
    <xdr:pic>
      <xdr:nvPicPr>
        <xdr:cNvPr id="10" name="Picture 9" descr="Image">
          <a:extLst>
            <a:ext uri="{FF2B5EF4-FFF2-40B4-BE49-F238E27FC236}">
              <a16:creationId xmlns:a16="http://schemas.microsoft.com/office/drawing/2014/main" id="{00000000-0008-0000-0200-00000A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562036" y="4204483"/>
          <a:ext cx="808780" cy="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45720</xdr:colOff>
      <xdr:row>23</xdr:row>
      <xdr:rowOff>7620</xdr:rowOff>
    </xdr:from>
    <xdr:to>
      <xdr:col>17</xdr:col>
      <xdr:colOff>855720</xdr:colOff>
      <xdr:row>24</xdr:row>
      <xdr:rowOff>9900</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a:stretch>
          <a:fillRect/>
        </a:stretch>
      </xdr:blipFill>
      <xdr:spPr>
        <a:xfrm>
          <a:off x="11841480" y="4213860"/>
          <a:ext cx="810000" cy="810000"/>
        </a:xfrm>
        <a:prstGeom prst="rect">
          <a:avLst/>
        </a:prstGeom>
      </xdr:spPr>
    </xdr:pic>
    <xdr:clientData/>
  </xdr:twoCellAnchor>
  <xdr:twoCellAnchor editAs="oneCell">
    <xdr:from>
      <xdr:col>2</xdr:col>
      <xdr:colOff>453268</xdr:colOff>
      <xdr:row>23</xdr:row>
      <xdr:rowOff>28523</xdr:rowOff>
    </xdr:from>
    <xdr:to>
      <xdr:col>2</xdr:col>
      <xdr:colOff>814162</xdr:colOff>
      <xdr:row>23</xdr:row>
      <xdr:rowOff>388523</xdr:rowOff>
    </xdr:to>
    <xdr:pic>
      <xdr:nvPicPr>
        <xdr:cNvPr id="13" name="Picture 12" descr="Image">
          <a:extLst>
            <a:ext uri="{FF2B5EF4-FFF2-40B4-BE49-F238E27FC236}">
              <a16:creationId xmlns:a16="http://schemas.microsoft.com/office/drawing/2014/main" id="{00000000-0008-0000-0200-00000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579248" y="4234763"/>
          <a:ext cx="360894"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106394</xdr:colOff>
      <xdr:row>23</xdr:row>
      <xdr:rowOff>117543</xdr:rowOff>
    </xdr:from>
    <xdr:to>
      <xdr:col>2</xdr:col>
      <xdr:colOff>466388</xdr:colOff>
      <xdr:row>23</xdr:row>
      <xdr:rowOff>476799</xdr:rowOff>
    </xdr:to>
    <xdr:pic>
      <xdr:nvPicPr>
        <xdr:cNvPr id="14" name="Picture 13" descr="Image">
          <a:extLst>
            <a:ext uri="{FF2B5EF4-FFF2-40B4-BE49-F238E27FC236}">
              <a16:creationId xmlns:a16="http://schemas.microsoft.com/office/drawing/2014/main" id="{00000000-0008-0000-0200-00000E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232374" y="4323783"/>
          <a:ext cx="359994" cy="3592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329519</xdr:colOff>
      <xdr:row>23</xdr:row>
      <xdr:rowOff>188456</xdr:rowOff>
    </xdr:from>
    <xdr:to>
      <xdr:col>2</xdr:col>
      <xdr:colOff>689519</xdr:colOff>
      <xdr:row>23</xdr:row>
      <xdr:rowOff>546598</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6"/>
        <a:stretch>
          <a:fillRect/>
        </a:stretch>
      </xdr:blipFill>
      <xdr:spPr>
        <a:xfrm>
          <a:off x="2455499" y="4394696"/>
          <a:ext cx="360000" cy="358142"/>
        </a:xfrm>
        <a:prstGeom prst="rect">
          <a:avLst/>
        </a:prstGeom>
      </xdr:spPr>
    </xdr:pic>
    <xdr:clientData/>
  </xdr:twoCellAnchor>
  <xdr:twoCellAnchor>
    <xdr:from>
      <xdr:col>2</xdr:col>
      <xdr:colOff>51595</xdr:colOff>
      <xdr:row>23</xdr:row>
      <xdr:rowOff>412438</xdr:rowOff>
    </xdr:from>
    <xdr:to>
      <xdr:col>2</xdr:col>
      <xdr:colOff>411595</xdr:colOff>
      <xdr:row>23</xdr:row>
      <xdr:rowOff>772438</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77575" y="4618678"/>
          <a:ext cx="360000" cy="360000"/>
        </a:xfrm>
        <a:prstGeom prst="rect">
          <a:avLst/>
        </a:prstGeom>
      </xdr:spPr>
    </xdr:pic>
    <xdr:clientData/>
  </xdr:twoCellAnchor>
  <xdr:twoCellAnchor editAs="oneCell">
    <xdr:from>
      <xdr:col>2</xdr:col>
      <xdr:colOff>420288</xdr:colOff>
      <xdr:row>23</xdr:row>
      <xdr:rowOff>417715</xdr:rowOff>
    </xdr:from>
    <xdr:to>
      <xdr:col>2</xdr:col>
      <xdr:colOff>779746</xdr:colOff>
      <xdr:row>23</xdr:row>
      <xdr:rowOff>777715</xdr:rowOff>
    </xdr:to>
    <xdr:pic>
      <xdr:nvPicPr>
        <xdr:cNvPr id="12" name="Picture 11" descr="Image">
          <a:extLst>
            <a:ext uri="{FF2B5EF4-FFF2-40B4-BE49-F238E27FC236}">
              <a16:creationId xmlns:a16="http://schemas.microsoft.com/office/drawing/2014/main" id="{00000000-0008-0000-0200-00000C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546268" y="4623955"/>
          <a:ext cx="359458"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63501</xdr:colOff>
      <xdr:row>23</xdr:row>
      <xdr:rowOff>5080</xdr:rowOff>
    </xdr:from>
    <xdr:to>
      <xdr:col>20</xdr:col>
      <xdr:colOff>876040</xdr:colOff>
      <xdr:row>24</xdr:row>
      <xdr:rowOff>17520</xdr:rowOff>
    </xdr:to>
    <xdr:pic>
      <xdr:nvPicPr>
        <xdr:cNvPr id="2" name="Picture 1" descr="Image">
          <a:extLst>
            <a:ext uri="{FF2B5EF4-FFF2-40B4-BE49-F238E27FC236}">
              <a16:creationId xmlns:a16="http://schemas.microsoft.com/office/drawing/2014/main" id="{BECCFE37-662C-4147-A2B9-180628D92CEE}"/>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6987521" y="4211320"/>
          <a:ext cx="812539" cy="820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99061</xdr:colOff>
      <xdr:row>23</xdr:row>
      <xdr:rowOff>21590</xdr:rowOff>
    </xdr:from>
    <xdr:to>
      <xdr:col>2</xdr:col>
      <xdr:colOff>480395</xdr:colOff>
      <xdr:row>23</xdr:row>
      <xdr:rowOff>394510</xdr:rowOff>
    </xdr:to>
    <xdr:pic>
      <xdr:nvPicPr>
        <xdr:cNvPr id="20" name="Picture 19" descr="Image">
          <a:extLst>
            <a:ext uri="{FF2B5EF4-FFF2-40B4-BE49-F238E27FC236}">
              <a16:creationId xmlns:a16="http://schemas.microsoft.com/office/drawing/2014/main" id="{2F525704-D923-40E9-95C2-5A3C6B7196C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225041" y="4227830"/>
          <a:ext cx="381334" cy="372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453268</xdr:colOff>
      <xdr:row>23</xdr:row>
      <xdr:rowOff>28523</xdr:rowOff>
    </xdr:from>
    <xdr:to>
      <xdr:col>2</xdr:col>
      <xdr:colOff>821782</xdr:colOff>
      <xdr:row>23</xdr:row>
      <xdr:rowOff>401223</xdr:rowOff>
    </xdr:to>
    <xdr:pic>
      <xdr:nvPicPr>
        <xdr:cNvPr id="21" name="Picture 20" descr="Image">
          <a:extLst>
            <a:ext uri="{FF2B5EF4-FFF2-40B4-BE49-F238E27FC236}">
              <a16:creationId xmlns:a16="http://schemas.microsoft.com/office/drawing/2014/main" id="{A653A27B-172F-4439-935B-FCE5FE439A3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579248" y="4234763"/>
          <a:ext cx="368514" cy="37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59404</xdr:colOff>
      <xdr:row>23</xdr:row>
      <xdr:rowOff>210253</xdr:rowOff>
    </xdr:from>
    <xdr:to>
      <xdr:col>2</xdr:col>
      <xdr:colOff>433368</xdr:colOff>
      <xdr:row>23</xdr:row>
      <xdr:rowOff>574589</xdr:rowOff>
    </xdr:to>
    <xdr:pic>
      <xdr:nvPicPr>
        <xdr:cNvPr id="22" name="Picture 21" descr="Image">
          <a:extLst>
            <a:ext uri="{FF2B5EF4-FFF2-40B4-BE49-F238E27FC236}">
              <a16:creationId xmlns:a16="http://schemas.microsoft.com/office/drawing/2014/main" id="{9D06586F-B086-4B46-8E08-0B89C9BF38DA}"/>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185384" y="4416493"/>
          <a:ext cx="373964" cy="36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329519</xdr:colOff>
      <xdr:row>23</xdr:row>
      <xdr:rowOff>188456</xdr:rowOff>
    </xdr:from>
    <xdr:to>
      <xdr:col>2</xdr:col>
      <xdr:colOff>689519</xdr:colOff>
      <xdr:row>23</xdr:row>
      <xdr:rowOff>546598</xdr:rowOff>
    </xdr:to>
    <xdr:pic>
      <xdr:nvPicPr>
        <xdr:cNvPr id="23" name="Picture 22">
          <a:extLst>
            <a:ext uri="{FF2B5EF4-FFF2-40B4-BE49-F238E27FC236}">
              <a16:creationId xmlns:a16="http://schemas.microsoft.com/office/drawing/2014/main" id="{E64BBE83-19E5-4BA2-8F53-DF08EAA06C73}"/>
            </a:ext>
          </a:extLst>
        </xdr:cNvPr>
        <xdr:cNvPicPr>
          <a:picLocks noChangeAspect="1"/>
        </xdr:cNvPicPr>
      </xdr:nvPicPr>
      <xdr:blipFill>
        <a:blip xmlns:r="http://schemas.openxmlformats.org/officeDocument/2006/relationships" r:embed="rId6"/>
        <a:stretch>
          <a:fillRect/>
        </a:stretch>
      </xdr:blipFill>
      <xdr:spPr>
        <a:xfrm>
          <a:off x="2455499" y="4394696"/>
          <a:ext cx="360000" cy="358142"/>
        </a:xfrm>
        <a:prstGeom prst="rect">
          <a:avLst/>
        </a:prstGeom>
      </xdr:spPr>
    </xdr:pic>
    <xdr:clientData/>
  </xdr:twoCellAnchor>
  <xdr:twoCellAnchor>
    <xdr:from>
      <xdr:col>2</xdr:col>
      <xdr:colOff>51595</xdr:colOff>
      <xdr:row>23</xdr:row>
      <xdr:rowOff>412438</xdr:rowOff>
    </xdr:from>
    <xdr:to>
      <xdr:col>2</xdr:col>
      <xdr:colOff>411595</xdr:colOff>
      <xdr:row>23</xdr:row>
      <xdr:rowOff>772438</xdr:rowOff>
    </xdr:to>
    <xdr:pic>
      <xdr:nvPicPr>
        <xdr:cNvPr id="24" name="Picture 23">
          <a:extLst>
            <a:ext uri="{FF2B5EF4-FFF2-40B4-BE49-F238E27FC236}">
              <a16:creationId xmlns:a16="http://schemas.microsoft.com/office/drawing/2014/main" id="{1635427C-A2F2-423A-BDCF-F441EC38929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77575" y="4618678"/>
          <a:ext cx="360000" cy="360000"/>
        </a:xfrm>
        <a:prstGeom prst="rect">
          <a:avLst/>
        </a:prstGeom>
      </xdr:spPr>
    </xdr:pic>
    <xdr:clientData/>
  </xdr:twoCellAnchor>
  <xdr:twoCellAnchor editAs="oneCell">
    <xdr:from>
      <xdr:col>2</xdr:col>
      <xdr:colOff>420288</xdr:colOff>
      <xdr:row>23</xdr:row>
      <xdr:rowOff>417715</xdr:rowOff>
    </xdr:from>
    <xdr:to>
      <xdr:col>2</xdr:col>
      <xdr:colOff>782286</xdr:colOff>
      <xdr:row>23</xdr:row>
      <xdr:rowOff>785335</xdr:rowOff>
    </xdr:to>
    <xdr:pic>
      <xdr:nvPicPr>
        <xdr:cNvPr id="25" name="Picture 24" descr="Image">
          <a:extLst>
            <a:ext uri="{FF2B5EF4-FFF2-40B4-BE49-F238E27FC236}">
              <a16:creationId xmlns:a16="http://schemas.microsoft.com/office/drawing/2014/main" id="{8DBB5299-6D7C-46C5-8A43-89AF0C16C676}"/>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546268" y="4623955"/>
          <a:ext cx="361998" cy="367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14</xdr:row>
      <xdr:rowOff>0</xdr:rowOff>
    </xdr:from>
    <xdr:to>
      <xdr:col>3</xdr:col>
      <xdr:colOff>861983</xdr:colOff>
      <xdr:row>20</xdr:row>
      <xdr:rowOff>54141</xdr:rowOff>
    </xdr:to>
    <xdr:graphicFrame macro="">
      <xdr:nvGraphicFramePr>
        <xdr:cNvPr id="5" name="Dmg_given_Chart">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93127</xdr:colOff>
      <xdr:row>0</xdr:row>
      <xdr:rowOff>82326</xdr:rowOff>
    </xdr:from>
    <xdr:to>
      <xdr:col>22</xdr:col>
      <xdr:colOff>552823</xdr:colOff>
      <xdr:row>36</xdr:row>
      <xdr:rowOff>7620</xdr:rowOff>
    </xdr:to>
    <xdr:sp macro="" textlink="">
      <xdr:nvSpPr>
        <xdr:cNvPr id="3" name="Rectangle: Rounded Corners 2">
          <a:extLst>
            <a:ext uri="{FF2B5EF4-FFF2-40B4-BE49-F238E27FC236}">
              <a16:creationId xmlns:a16="http://schemas.microsoft.com/office/drawing/2014/main" id="{00000000-0008-0000-0400-000003000000}"/>
            </a:ext>
          </a:extLst>
        </xdr:cNvPr>
        <xdr:cNvSpPr/>
      </xdr:nvSpPr>
      <xdr:spPr>
        <a:xfrm>
          <a:off x="93127" y="82326"/>
          <a:ext cx="13870896" cy="6508974"/>
        </a:xfrm>
        <a:prstGeom prst="roundRect">
          <a:avLst>
            <a:gd name="adj" fmla="val 8065"/>
          </a:avLst>
        </a:prstGeom>
        <a:solidFill>
          <a:srgbClr val="A40707"/>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170970</xdr:colOff>
      <xdr:row>0</xdr:row>
      <xdr:rowOff>89051</xdr:rowOff>
    </xdr:from>
    <xdr:to>
      <xdr:col>22</xdr:col>
      <xdr:colOff>605266</xdr:colOff>
      <xdr:row>36</xdr:row>
      <xdr:rowOff>7620</xdr:rowOff>
    </xdr:to>
    <xdr:sp macro="" textlink="">
      <xdr:nvSpPr>
        <xdr:cNvPr id="4" name="Rectangle: Rounded Corners 3">
          <a:extLst>
            <a:ext uri="{FF2B5EF4-FFF2-40B4-BE49-F238E27FC236}">
              <a16:creationId xmlns:a16="http://schemas.microsoft.com/office/drawing/2014/main" id="{00000000-0008-0000-0400-000004000000}"/>
            </a:ext>
          </a:extLst>
        </xdr:cNvPr>
        <xdr:cNvSpPr/>
      </xdr:nvSpPr>
      <xdr:spPr>
        <a:xfrm>
          <a:off x="170970" y="89051"/>
          <a:ext cx="13845496" cy="6502249"/>
        </a:xfrm>
        <a:prstGeom prst="roundRect">
          <a:avLst>
            <a:gd name="adj" fmla="val 8065"/>
          </a:avLst>
        </a:prstGeom>
        <a:gradFill flip="none" rotWithShape="1">
          <a:gsLst>
            <a:gs pos="0">
              <a:srgbClr val="423C44"/>
            </a:gs>
            <a:gs pos="24000">
              <a:srgbClr val="262326"/>
            </a:gs>
            <a:gs pos="100000">
              <a:srgbClr val="0A0908"/>
            </a:gs>
          </a:gsLst>
          <a:lin ang="13500000" scaled="1"/>
          <a:tileRect/>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406398</xdr:colOff>
      <xdr:row>1</xdr:row>
      <xdr:rowOff>137467</xdr:rowOff>
    </xdr:from>
    <xdr:to>
      <xdr:col>8</xdr:col>
      <xdr:colOff>567765</xdr:colOff>
      <xdr:row>7</xdr:row>
      <xdr:rowOff>37353</xdr:rowOff>
    </xdr:to>
    <xdr:sp macro="" textlink="">
      <xdr:nvSpPr>
        <xdr:cNvPr id="86" name="TextBox 85">
          <a:extLst>
            <a:ext uri="{FF2B5EF4-FFF2-40B4-BE49-F238E27FC236}">
              <a16:creationId xmlns:a16="http://schemas.microsoft.com/office/drawing/2014/main" id="{00000000-0008-0000-0400-000056000000}"/>
            </a:ext>
          </a:extLst>
        </xdr:cNvPr>
        <xdr:cNvSpPr txBox="1"/>
      </xdr:nvSpPr>
      <xdr:spPr>
        <a:xfrm>
          <a:off x="406398" y="316761"/>
          <a:ext cx="5062073" cy="975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u="sng">
              <a:ln>
                <a:noFill/>
              </a:ln>
              <a:solidFill>
                <a:srgbClr val="ABABAB"/>
              </a:solidFill>
            </a:rPr>
            <a:t>DnD Statistics,</a:t>
          </a:r>
          <a:r>
            <a:rPr lang="en-GB" sz="2400" u="sng" baseline="0">
              <a:ln>
                <a:noFill/>
              </a:ln>
              <a:solidFill>
                <a:srgbClr val="ABABAB"/>
              </a:solidFill>
            </a:rPr>
            <a:t> Othercide campaign</a:t>
          </a:r>
          <a:endParaRPr lang="en-GB" sz="2400" u="sng">
            <a:ln>
              <a:noFill/>
            </a:ln>
            <a:solidFill>
              <a:srgbClr val="ABABAB"/>
            </a:solidFill>
          </a:endParaRPr>
        </a:p>
        <a:p>
          <a:endParaRPr lang="en-GB" sz="1100">
            <a:ln>
              <a:noFill/>
            </a:ln>
            <a:solidFill>
              <a:srgbClr val="ABABAB"/>
            </a:solidFill>
          </a:endParaRPr>
        </a:p>
      </xdr:txBody>
    </xdr:sp>
    <xdr:clientData/>
  </xdr:twoCellAnchor>
  <xdr:twoCellAnchor>
    <xdr:from>
      <xdr:col>0</xdr:col>
      <xdr:colOff>45721</xdr:colOff>
      <xdr:row>11</xdr:row>
      <xdr:rowOff>113909</xdr:rowOff>
    </xdr:from>
    <xdr:to>
      <xdr:col>7</xdr:col>
      <xdr:colOff>251461</xdr:colOff>
      <xdr:row>35</xdr:row>
      <xdr:rowOff>137160</xdr:rowOff>
    </xdr:to>
    <xdr:grpSp>
      <xdr:nvGrpSpPr>
        <xdr:cNvPr id="11" name="Offence Group">
          <a:extLst>
            <a:ext uri="{FF2B5EF4-FFF2-40B4-BE49-F238E27FC236}">
              <a16:creationId xmlns:a16="http://schemas.microsoft.com/office/drawing/2014/main" id="{00000000-0008-0000-0400-00000B000000}"/>
            </a:ext>
          </a:extLst>
        </xdr:cNvPr>
        <xdr:cNvGrpSpPr/>
      </xdr:nvGrpSpPr>
      <xdr:grpSpPr>
        <a:xfrm>
          <a:off x="45721" y="2125589"/>
          <a:ext cx="4472940" cy="4412371"/>
          <a:chOff x="6710680" y="141500"/>
          <a:chExt cx="4763994" cy="4704820"/>
        </a:xfrm>
      </xdr:grpSpPr>
      <xdr:grpSp>
        <xdr:nvGrpSpPr>
          <xdr:cNvPr id="82" name="Group 81">
            <a:extLst>
              <a:ext uri="{FF2B5EF4-FFF2-40B4-BE49-F238E27FC236}">
                <a16:creationId xmlns:a16="http://schemas.microsoft.com/office/drawing/2014/main" id="{00000000-0008-0000-0400-000052000000}"/>
              </a:ext>
            </a:extLst>
          </xdr:cNvPr>
          <xdr:cNvGrpSpPr/>
        </xdr:nvGrpSpPr>
        <xdr:grpSpPr>
          <a:xfrm>
            <a:off x="7174744" y="141500"/>
            <a:ext cx="4299930" cy="4570038"/>
            <a:chOff x="7234478" y="155993"/>
            <a:chExt cx="3824960" cy="3964577"/>
          </a:xfrm>
        </xdr:grpSpPr>
        <xdr:sp macro="" textlink="">
          <xdr:nvSpPr>
            <xdr:cNvPr id="38" name="Rectangle: Rounded Corners 37">
              <a:extLst>
                <a:ext uri="{FF2B5EF4-FFF2-40B4-BE49-F238E27FC236}">
                  <a16:creationId xmlns:a16="http://schemas.microsoft.com/office/drawing/2014/main" id="{00000000-0008-0000-0400-000026000000}"/>
                </a:ext>
              </a:extLst>
            </xdr:cNvPr>
            <xdr:cNvSpPr/>
          </xdr:nvSpPr>
          <xdr:spPr>
            <a:xfrm>
              <a:off x="7234478" y="182280"/>
              <a:ext cx="3657639" cy="3938290"/>
            </a:xfrm>
            <a:prstGeom prst="roundRect">
              <a:avLst>
                <a:gd name="adj" fmla="val 5733"/>
              </a:avLst>
            </a:prstGeom>
            <a:solidFill>
              <a:srgbClr val="232423"/>
            </a:solidFill>
            <a:ln w="19050">
              <a:solidFill>
                <a:srgbClr val="BB434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sp macro="" textlink="">
          <xdr:nvSpPr>
            <xdr:cNvPr id="41" name="TextBox 40">
              <a:extLst>
                <a:ext uri="{FF2B5EF4-FFF2-40B4-BE49-F238E27FC236}">
                  <a16:creationId xmlns:a16="http://schemas.microsoft.com/office/drawing/2014/main" id="{00000000-0008-0000-0400-000029000000}"/>
                </a:ext>
              </a:extLst>
            </xdr:cNvPr>
            <xdr:cNvSpPr txBox="1"/>
          </xdr:nvSpPr>
          <xdr:spPr>
            <a:xfrm>
              <a:off x="7863938" y="155993"/>
              <a:ext cx="2445473" cy="345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800" u="sng">
                  <a:ln>
                    <a:noFill/>
                  </a:ln>
                  <a:solidFill>
                    <a:srgbClr val="ABABAB"/>
                  </a:solidFill>
                  <a:latin typeface="+mn-lt"/>
                  <a:ea typeface="+mn-ea"/>
                  <a:cs typeface="+mn-cs"/>
                </a:rPr>
                <a:t>Damage By</a:t>
              </a:r>
              <a:r>
                <a:rPr lang="en-GB" sz="1800" u="sng" baseline="0">
                  <a:ln>
                    <a:noFill/>
                  </a:ln>
                  <a:solidFill>
                    <a:srgbClr val="ABABAB"/>
                  </a:solidFill>
                  <a:latin typeface="+mn-lt"/>
                  <a:ea typeface="+mn-ea"/>
                  <a:cs typeface="+mn-cs"/>
                </a:rPr>
                <a:t> Location</a:t>
              </a:r>
              <a:endParaRPr lang="en-GB" sz="1800" u="sng">
                <a:ln>
                  <a:noFill/>
                </a:ln>
                <a:solidFill>
                  <a:srgbClr val="ABABAB"/>
                </a:solidFill>
                <a:latin typeface="+mn-lt"/>
                <a:ea typeface="+mn-ea"/>
                <a:cs typeface="+mn-cs"/>
              </a:endParaRPr>
            </a:p>
          </xdr:txBody>
        </xdr:sp>
        <xdr:graphicFrame macro="">
          <xdr:nvGraphicFramePr>
            <xdr:cNvPr id="63" name="Chart 62">
              <a:extLst>
                <a:ext uri="{FF2B5EF4-FFF2-40B4-BE49-F238E27FC236}">
                  <a16:creationId xmlns:a16="http://schemas.microsoft.com/office/drawing/2014/main" id="{00000000-0008-0000-0400-00003F000000}"/>
                </a:ext>
              </a:extLst>
            </xdr:cNvPr>
            <xdr:cNvGraphicFramePr>
              <a:graphicFrameLocks/>
            </xdr:cNvGraphicFramePr>
          </xdr:nvGraphicFramePr>
          <xdr:xfrm>
            <a:off x="7896412" y="496048"/>
            <a:ext cx="2457823" cy="1474694"/>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79" name="Group 78">
              <a:extLst>
                <a:ext uri="{FF2B5EF4-FFF2-40B4-BE49-F238E27FC236}">
                  <a16:creationId xmlns:a16="http://schemas.microsoft.com/office/drawing/2014/main" id="{00000000-0008-0000-0400-00004F000000}"/>
                </a:ext>
              </a:extLst>
            </xdr:cNvPr>
            <xdr:cNvGrpSpPr/>
          </xdr:nvGrpSpPr>
          <xdr:grpSpPr>
            <a:xfrm>
              <a:off x="8230740" y="1970163"/>
              <a:ext cx="2828698" cy="1578143"/>
              <a:chOff x="8230740" y="1970163"/>
              <a:chExt cx="2828698" cy="1578143"/>
            </a:xfrm>
          </xdr:grpSpPr>
          <xdr:sp macro="" textlink="">
            <xdr:nvSpPr>
              <xdr:cNvPr id="54" name="TextBox 53">
                <a:extLst>
                  <a:ext uri="{FF2B5EF4-FFF2-40B4-BE49-F238E27FC236}">
                    <a16:creationId xmlns:a16="http://schemas.microsoft.com/office/drawing/2014/main" id="{00000000-0008-0000-0400-000036000000}"/>
                  </a:ext>
                </a:extLst>
              </xdr:cNvPr>
              <xdr:cNvSpPr txBox="1"/>
            </xdr:nvSpPr>
            <xdr:spPr>
              <a:xfrm>
                <a:off x="8230740" y="1970163"/>
                <a:ext cx="1727554" cy="527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u="sng">
                    <a:ln>
                      <a:noFill/>
                    </a:ln>
                    <a:solidFill>
                      <a:srgbClr val="ABABAB"/>
                    </a:solidFill>
                    <a:latin typeface="+mn-lt"/>
                    <a:ea typeface="+mn-ea"/>
                    <a:cs typeface="+mn-cs"/>
                  </a:rPr>
                  <a:t>Damage Types</a:t>
                </a:r>
              </a:p>
            </xdr:txBody>
          </xdr:sp>
          <xdr:sp macro="" textlink="">
            <xdr:nvSpPr>
              <xdr:cNvPr id="65" name="TextBox 64">
                <a:extLst>
                  <a:ext uri="{FF2B5EF4-FFF2-40B4-BE49-F238E27FC236}">
                    <a16:creationId xmlns:a16="http://schemas.microsoft.com/office/drawing/2014/main" id="{00000000-0008-0000-0400-000041000000}"/>
                  </a:ext>
                </a:extLst>
              </xdr:cNvPr>
              <xdr:cNvSpPr txBox="1"/>
            </xdr:nvSpPr>
            <xdr:spPr>
              <a:xfrm>
                <a:off x="9539513" y="2993413"/>
                <a:ext cx="1519925" cy="369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u="none">
                    <a:ln>
                      <a:noFill/>
                    </a:ln>
                    <a:solidFill>
                      <a:srgbClr val="ABABAB"/>
                    </a:solidFill>
                    <a:latin typeface="+mn-lt"/>
                    <a:ea typeface="+mn-ea"/>
                    <a:cs typeface="+mn-cs"/>
                  </a:rPr>
                  <a:t>Magical</a:t>
                </a:r>
                <a:r>
                  <a:rPr lang="en-GB" sz="1100" u="none" baseline="0">
                    <a:ln>
                      <a:noFill/>
                    </a:ln>
                    <a:solidFill>
                      <a:srgbClr val="ABABAB"/>
                    </a:solidFill>
                    <a:latin typeface="+mn-lt"/>
                    <a:ea typeface="+mn-ea"/>
                    <a:cs typeface="+mn-cs"/>
                  </a:rPr>
                  <a:t> DMG</a:t>
                </a:r>
                <a:endParaRPr lang="en-GB" sz="1600" u="sng">
                  <a:ln>
                    <a:noFill/>
                  </a:ln>
                  <a:solidFill>
                    <a:srgbClr val="ABABAB"/>
                  </a:solidFill>
                  <a:latin typeface="+mn-lt"/>
                  <a:ea typeface="+mn-ea"/>
                  <a:cs typeface="+mn-cs"/>
                </a:endParaRPr>
              </a:p>
            </xdr:txBody>
          </xdr:sp>
          <xdr:sp macro="" textlink="">
            <xdr:nvSpPr>
              <xdr:cNvPr id="66" name="TextBox 65">
                <a:extLst>
                  <a:ext uri="{FF2B5EF4-FFF2-40B4-BE49-F238E27FC236}">
                    <a16:creationId xmlns:a16="http://schemas.microsoft.com/office/drawing/2014/main" id="{00000000-0008-0000-0400-000042000000}"/>
                  </a:ext>
                </a:extLst>
              </xdr:cNvPr>
              <xdr:cNvSpPr txBox="1"/>
            </xdr:nvSpPr>
            <xdr:spPr>
              <a:xfrm>
                <a:off x="9183593" y="2557120"/>
                <a:ext cx="1519925" cy="369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u="none" baseline="0">
                    <a:ln>
                      <a:noFill/>
                    </a:ln>
                    <a:solidFill>
                      <a:srgbClr val="ABABAB"/>
                    </a:solidFill>
                    <a:latin typeface="+mn-lt"/>
                    <a:ea typeface="+mn-ea"/>
                    <a:cs typeface="+mn-cs"/>
                  </a:rPr>
                  <a:t>Physical DMG</a:t>
                </a:r>
                <a:endParaRPr lang="en-GB" sz="1600" u="sng">
                  <a:ln>
                    <a:noFill/>
                  </a:ln>
                  <a:solidFill>
                    <a:srgbClr val="ABABAB"/>
                  </a:solidFill>
                  <a:latin typeface="+mn-lt"/>
                  <a:ea typeface="+mn-ea"/>
                  <a:cs typeface="+mn-cs"/>
                </a:endParaRPr>
              </a:p>
            </xdr:txBody>
          </xdr:sp>
          <xdr:sp macro="" textlink="Combat2!$L$12">
            <xdr:nvSpPr>
              <xdr:cNvPr id="67" name="TextBox 66">
                <a:extLst>
                  <a:ext uri="{FF2B5EF4-FFF2-40B4-BE49-F238E27FC236}">
                    <a16:creationId xmlns:a16="http://schemas.microsoft.com/office/drawing/2014/main" id="{00000000-0008-0000-0400-000043000000}"/>
                  </a:ext>
                </a:extLst>
              </xdr:cNvPr>
              <xdr:cNvSpPr txBox="1"/>
            </xdr:nvSpPr>
            <xdr:spPr>
              <a:xfrm>
                <a:off x="9024243" y="2344688"/>
                <a:ext cx="1135531" cy="3203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5EE98CD-2EAE-4D73-AC02-4D9386E3FCB8}" type="TxLink">
                  <a:rPr lang="en-US" sz="1100" u="none">
                    <a:ln>
                      <a:noFill/>
                    </a:ln>
                    <a:solidFill>
                      <a:srgbClr val="ABABAB"/>
                    </a:solidFill>
                    <a:latin typeface="+mn-lt"/>
                    <a:ea typeface="+mn-ea"/>
                    <a:cs typeface="+mn-cs"/>
                  </a:rPr>
                  <a:pPr marL="0" indent="0" algn="ctr"/>
                  <a:t>2822</a:t>
                </a:fld>
                <a:endParaRPr lang="en-US" sz="1100" u="none">
                  <a:ln>
                    <a:noFill/>
                  </a:ln>
                  <a:solidFill>
                    <a:srgbClr val="ABABAB"/>
                  </a:solidFill>
                  <a:latin typeface="+mn-lt"/>
                  <a:ea typeface="+mn-ea"/>
                  <a:cs typeface="+mn-cs"/>
                </a:endParaRPr>
              </a:p>
            </xdr:txBody>
          </xdr:sp>
          <xdr:sp macro="" textlink="Combat2!$AH$8">
            <xdr:nvSpPr>
              <xdr:cNvPr id="68" name="TextBox 67">
                <a:extLst>
                  <a:ext uri="{FF2B5EF4-FFF2-40B4-BE49-F238E27FC236}">
                    <a16:creationId xmlns:a16="http://schemas.microsoft.com/office/drawing/2014/main" id="{00000000-0008-0000-0400-000044000000}"/>
                  </a:ext>
                </a:extLst>
              </xdr:cNvPr>
              <xdr:cNvSpPr txBox="1"/>
            </xdr:nvSpPr>
            <xdr:spPr>
              <a:xfrm>
                <a:off x="9455871" y="2731932"/>
                <a:ext cx="990600" cy="380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9BFA579-8202-4467-9180-CCF456208149}" type="TxLink">
                  <a:rPr lang="en-US" sz="1100" u="none">
                    <a:ln>
                      <a:noFill/>
                    </a:ln>
                    <a:solidFill>
                      <a:srgbClr val="ABABAB"/>
                    </a:solidFill>
                    <a:latin typeface="+mn-lt"/>
                    <a:ea typeface="+mn-ea"/>
                    <a:cs typeface="+mn-cs"/>
                  </a:rPr>
                  <a:pPr marL="0" indent="0" algn="ctr"/>
                  <a:t>2409 Dmg</a:t>
                </a:fld>
                <a:endParaRPr lang="en-GB" sz="1100" u="none">
                  <a:ln>
                    <a:noFill/>
                  </a:ln>
                  <a:solidFill>
                    <a:srgbClr val="ABABAB"/>
                  </a:solidFill>
                  <a:latin typeface="+mn-lt"/>
                  <a:ea typeface="+mn-ea"/>
                  <a:cs typeface="+mn-cs"/>
                </a:endParaRPr>
              </a:p>
            </xdr:txBody>
          </xdr:sp>
          <xdr:sp macro="" textlink="Combat2!$AH$11">
            <xdr:nvSpPr>
              <xdr:cNvPr id="72" name="TextBox 71">
                <a:extLst>
                  <a:ext uri="{FF2B5EF4-FFF2-40B4-BE49-F238E27FC236}">
                    <a16:creationId xmlns:a16="http://schemas.microsoft.com/office/drawing/2014/main" id="{00000000-0008-0000-0400-000048000000}"/>
                  </a:ext>
                </a:extLst>
              </xdr:cNvPr>
              <xdr:cNvSpPr txBox="1"/>
            </xdr:nvSpPr>
            <xdr:spPr>
              <a:xfrm>
                <a:off x="9855120" y="3168221"/>
                <a:ext cx="995082" cy="380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A9A1439-70D7-49C1-88DE-813549B3BF37}" type="TxLink">
                  <a:rPr lang="en-US" sz="1100" u="none">
                    <a:ln>
                      <a:noFill/>
                    </a:ln>
                    <a:solidFill>
                      <a:srgbClr val="ABABAB"/>
                    </a:solidFill>
                    <a:latin typeface="+mn-lt"/>
                    <a:ea typeface="+mn-ea"/>
                    <a:cs typeface="+mn-cs"/>
                  </a:rPr>
                  <a:pPr marL="0" indent="0" algn="ctr"/>
                  <a:t>338 Dmg</a:t>
                </a:fld>
                <a:endParaRPr lang="en-GB" sz="1100" u="none">
                  <a:ln>
                    <a:noFill/>
                  </a:ln>
                  <a:solidFill>
                    <a:srgbClr val="ABABAB"/>
                  </a:solidFill>
                  <a:latin typeface="+mn-lt"/>
                  <a:ea typeface="+mn-ea"/>
                  <a:cs typeface="+mn-cs"/>
                </a:endParaRPr>
              </a:p>
            </xdr:txBody>
          </xdr:sp>
          <xdr:sp macro="" textlink="">
            <xdr:nvSpPr>
              <xdr:cNvPr id="64" name="TextBox 63">
                <a:extLst>
                  <a:ext uri="{FF2B5EF4-FFF2-40B4-BE49-F238E27FC236}">
                    <a16:creationId xmlns:a16="http://schemas.microsoft.com/office/drawing/2014/main" id="{00000000-0008-0000-0400-000040000000}"/>
                  </a:ext>
                </a:extLst>
              </xdr:cNvPr>
              <xdr:cNvSpPr txBox="1"/>
            </xdr:nvSpPr>
            <xdr:spPr>
              <a:xfrm>
                <a:off x="8666772" y="2311636"/>
                <a:ext cx="1065051" cy="380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u="none">
                    <a:ln>
                      <a:noFill/>
                    </a:ln>
                    <a:solidFill>
                      <a:srgbClr val="ABABAB"/>
                    </a:solidFill>
                    <a:latin typeface="+mn-lt"/>
                    <a:ea typeface="+mn-ea"/>
                    <a:cs typeface="+mn-cs"/>
                  </a:rPr>
                  <a:t>Total</a:t>
                </a:r>
                <a:r>
                  <a:rPr lang="en-GB" sz="1400" u="none" baseline="0">
                    <a:ln>
                      <a:noFill/>
                    </a:ln>
                    <a:solidFill>
                      <a:srgbClr val="ABABAB"/>
                    </a:solidFill>
                    <a:latin typeface="+mn-lt"/>
                    <a:ea typeface="+mn-ea"/>
                    <a:cs typeface="+mn-cs"/>
                  </a:rPr>
                  <a:t>:</a:t>
                </a:r>
                <a:endParaRPr lang="en-GB" sz="1400" u="none">
                  <a:ln>
                    <a:noFill/>
                  </a:ln>
                  <a:solidFill>
                    <a:srgbClr val="ABABAB"/>
                  </a:solidFill>
                  <a:latin typeface="+mn-lt"/>
                  <a:ea typeface="+mn-ea"/>
                  <a:cs typeface="+mn-cs"/>
                </a:endParaRPr>
              </a:p>
              <a:p>
                <a:pPr algn="ctr"/>
                <a:endParaRPr lang="en-GB" sz="1600" u="sng">
                  <a:ln>
                    <a:noFill/>
                  </a:ln>
                  <a:solidFill>
                    <a:srgbClr val="ABABAB"/>
                  </a:solidFill>
                  <a:latin typeface="+mn-lt"/>
                  <a:ea typeface="+mn-ea"/>
                  <a:cs typeface="+mn-cs"/>
                </a:endParaRPr>
              </a:p>
            </xdr:txBody>
          </xdr:sp>
        </xdr:grpSp>
      </xdr:grpSp>
      <xdr:graphicFrame macro="">
        <xdr:nvGraphicFramePr>
          <xdr:cNvPr id="113" name="Chart 112">
            <a:extLst>
              <a:ext uri="{FF2B5EF4-FFF2-40B4-BE49-F238E27FC236}">
                <a16:creationId xmlns:a16="http://schemas.microsoft.com/office/drawing/2014/main" id="{00000000-0008-0000-0400-000071000000}"/>
              </a:ext>
            </a:extLst>
          </xdr:cNvPr>
          <xdr:cNvGraphicFramePr>
            <a:graphicFrameLocks/>
          </xdr:cNvGraphicFramePr>
        </xdr:nvGraphicFramePr>
        <xdr:xfrm>
          <a:off x="8877300" y="2796540"/>
          <a:ext cx="2349740" cy="2049780"/>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mc:Choice xmlns:cx1="http://schemas.microsoft.com/office/drawing/2015/9/8/chartex" Requires="cx1">
          <xdr:graphicFrame macro="">
            <xdr:nvGraphicFramePr>
              <xdr:cNvPr id="115" name="Chart 114">
                <a:extLst>
                  <a:ext uri="{FF2B5EF4-FFF2-40B4-BE49-F238E27FC236}">
                    <a16:creationId xmlns:a16="http://schemas.microsoft.com/office/drawing/2014/main" id="{00000000-0008-0000-0400-000073000000}"/>
                  </a:ext>
                </a:extLst>
              </xdr:cNvPr>
              <xdr:cNvGraphicFramePr/>
            </xdr:nvGraphicFramePr>
            <xdr:xfrm>
              <a:off x="6710680" y="2613660"/>
              <a:ext cx="2819400" cy="169164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710680" y="2613660"/>
                <a:ext cx="2819400" cy="1691640"/>
              </a:xfrm>
              <a:prstGeom prst="rect">
                <a:avLst/>
              </a:prstGeom>
              <a:solidFill>
                <a:prstClr val="white"/>
              </a:solidFill>
              <a:ln w="1">
                <a:solidFill>
                  <a:prstClr val="green"/>
                </a:solidFill>
              </a:ln>
            </xdr:spPr>
            <xdr:txBody>
              <a:bodyPr vertOverflow="clip" horzOverflow="clip"/>
              <a:lstStyle/>
              <a:p>
                <a:r>
                  <a:rPr lang="en-150"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15</xdr:col>
      <xdr:colOff>500774</xdr:colOff>
      <xdr:row>1</xdr:row>
      <xdr:rowOff>68581</xdr:rowOff>
    </xdr:from>
    <xdr:to>
      <xdr:col>23</xdr:col>
      <xdr:colOff>91440</xdr:colOff>
      <xdr:row>24</xdr:row>
      <xdr:rowOff>117376</xdr:rowOff>
    </xdr:to>
    <xdr:grpSp>
      <xdr:nvGrpSpPr>
        <xdr:cNvPr id="253" name="Defence Group">
          <a:extLst>
            <a:ext uri="{FF2B5EF4-FFF2-40B4-BE49-F238E27FC236}">
              <a16:creationId xmlns:a16="http://schemas.microsoft.com/office/drawing/2014/main" id="{00000000-0008-0000-0400-0000FD000000}"/>
            </a:ext>
          </a:extLst>
        </xdr:cNvPr>
        <xdr:cNvGrpSpPr/>
      </xdr:nvGrpSpPr>
      <xdr:grpSpPr>
        <a:xfrm>
          <a:off x="9644774" y="251461"/>
          <a:ext cx="4467466" cy="4255035"/>
          <a:chOff x="9644774" y="251461"/>
          <a:chExt cx="4467466" cy="4255035"/>
        </a:xfrm>
      </xdr:grpSpPr>
      <xdr:sp macro="" textlink="">
        <xdr:nvSpPr>
          <xdr:cNvPr id="123" name="Rectangle: Rounded Corners 122">
            <a:extLst>
              <a:ext uri="{FF2B5EF4-FFF2-40B4-BE49-F238E27FC236}">
                <a16:creationId xmlns:a16="http://schemas.microsoft.com/office/drawing/2014/main" id="{00000000-0008-0000-0400-00007B000000}"/>
              </a:ext>
            </a:extLst>
          </xdr:cNvPr>
          <xdr:cNvSpPr/>
        </xdr:nvSpPr>
        <xdr:spPr>
          <a:xfrm>
            <a:off x="9707880" y="251461"/>
            <a:ext cx="4111832" cy="3977640"/>
          </a:xfrm>
          <a:prstGeom prst="roundRect">
            <a:avLst>
              <a:gd name="adj" fmla="val 5733"/>
            </a:avLst>
          </a:prstGeom>
          <a:solidFill>
            <a:srgbClr val="232423"/>
          </a:solidFill>
          <a:ln w="19050">
            <a:solidFill>
              <a:srgbClr val="BB434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sp macro="" textlink="">
        <xdr:nvSpPr>
          <xdr:cNvPr id="156" name="TextBox 155">
            <a:extLst>
              <a:ext uri="{FF2B5EF4-FFF2-40B4-BE49-F238E27FC236}">
                <a16:creationId xmlns:a16="http://schemas.microsoft.com/office/drawing/2014/main" id="{00000000-0008-0000-0400-00009C000000}"/>
              </a:ext>
            </a:extLst>
          </xdr:cNvPr>
          <xdr:cNvSpPr txBox="1"/>
        </xdr:nvSpPr>
        <xdr:spPr>
          <a:xfrm>
            <a:off x="10363200" y="274320"/>
            <a:ext cx="2749143" cy="398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800" u="sng">
                <a:ln>
                  <a:noFill/>
                </a:ln>
                <a:solidFill>
                  <a:srgbClr val="ABABAB"/>
                </a:solidFill>
                <a:latin typeface="+mn-lt"/>
                <a:ea typeface="+mn-ea"/>
                <a:cs typeface="+mn-cs"/>
              </a:rPr>
              <a:t>Damage Tanked</a:t>
            </a:r>
          </a:p>
        </xdr:txBody>
      </xdr:sp>
      <xdr:sp macro="" textlink="Combat2!CV12">
        <xdr:nvSpPr>
          <xdr:cNvPr id="166" name="TextBox 165">
            <a:extLst>
              <a:ext uri="{FF2B5EF4-FFF2-40B4-BE49-F238E27FC236}">
                <a16:creationId xmlns:a16="http://schemas.microsoft.com/office/drawing/2014/main" id="{00000000-0008-0000-0400-0000A6000000}"/>
              </a:ext>
            </a:extLst>
          </xdr:cNvPr>
          <xdr:cNvSpPr txBox="1"/>
        </xdr:nvSpPr>
        <xdr:spPr>
          <a:xfrm>
            <a:off x="12733019" y="975360"/>
            <a:ext cx="1379221" cy="398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4C47934-5614-4912-B354-DFD1DCBD7492}" type="TxLink">
              <a:rPr lang="en-US" sz="1200" u="none">
                <a:ln>
                  <a:noFill/>
                </a:ln>
                <a:solidFill>
                  <a:srgbClr val="ABABAB"/>
                </a:solidFill>
                <a:latin typeface="+mn-lt"/>
                <a:ea typeface="+mn-ea"/>
                <a:cs typeface="+mn-cs"/>
              </a:rPr>
              <a:pPr marL="0" indent="0" algn="ctr"/>
              <a:t>1266</a:t>
            </a:fld>
            <a:endParaRPr lang="en-US" sz="1200" u="none">
              <a:ln>
                <a:noFill/>
              </a:ln>
              <a:solidFill>
                <a:srgbClr val="ABABAB"/>
              </a:solidFill>
              <a:latin typeface="+mn-lt"/>
              <a:ea typeface="+mn-ea"/>
              <a:cs typeface="+mn-cs"/>
            </a:endParaRPr>
          </a:p>
        </xdr:txBody>
      </xdr:sp>
      <xdr:sp macro="" textlink="">
        <xdr:nvSpPr>
          <xdr:cNvPr id="167" name="TextBox 166">
            <a:extLst>
              <a:ext uri="{FF2B5EF4-FFF2-40B4-BE49-F238E27FC236}">
                <a16:creationId xmlns:a16="http://schemas.microsoft.com/office/drawing/2014/main" id="{00000000-0008-0000-0400-0000A7000000}"/>
              </a:ext>
            </a:extLst>
          </xdr:cNvPr>
          <xdr:cNvSpPr txBox="1"/>
        </xdr:nvSpPr>
        <xdr:spPr>
          <a:xfrm>
            <a:off x="11711939" y="777240"/>
            <a:ext cx="1379221" cy="398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800" u="none">
                <a:ln>
                  <a:noFill/>
                </a:ln>
                <a:solidFill>
                  <a:srgbClr val="ABABAB"/>
                </a:solidFill>
                <a:latin typeface="+mn-lt"/>
                <a:ea typeface="+mn-ea"/>
                <a:cs typeface="+mn-cs"/>
              </a:rPr>
              <a:t>% of all</a:t>
            </a:r>
            <a:r>
              <a:rPr lang="en-GB" sz="800" u="none" baseline="0">
                <a:ln>
                  <a:noFill/>
                </a:ln>
                <a:solidFill>
                  <a:srgbClr val="ABABAB"/>
                </a:solidFill>
                <a:latin typeface="+mn-lt"/>
                <a:ea typeface="+mn-ea"/>
                <a:cs typeface="+mn-cs"/>
              </a:rPr>
              <a:t> team Dmg </a:t>
            </a:r>
            <a:endParaRPr lang="en-GB" sz="800" u="none">
              <a:ln>
                <a:noFill/>
              </a:ln>
              <a:solidFill>
                <a:srgbClr val="ABABAB"/>
              </a:solidFill>
              <a:latin typeface="+mn-lt"/>
              <a:ea typeface="+mn-ea"/>
              <a:cs typeface="+mn-cs"/>
            </a:endParaRPr>
          </a:p>
        </xdr:txBody>
      </xdr:sp>
      <xdr:sp macro="" textlink="">
        <xdr:nvSpPr>
          <xdr:cNvPr id="168" name="TextBox 167">
            <a:extLst>
              <a:ext uri="{FF2B5EF4-FFF2-40B4-BE49-F238E27FC236}">
                <a16:creationId xmlns:a16="http://schemas.microsoft.com/office/drawing/2014/main" id="{00000000-0008-0000-0400-0000A8000000}"/>
              </a:ext>
            </a:extLst>
          </xdr:cNvPr>
          <xdr:cNvSpPr txBox="1"/>
        </xdr:nvSpPr>
        <xdr:spPr>
          <a:xfrm>
            <a:off x="9974579" y="1630680"/>
            <a:ext cx="1844041" cy="398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200" u="none">
                <a:ln>
                  <a:noFill/>
                </a:ln>
                <a:solidFill>
                  <a:srgbClr val="ABABAB"/>
                </a:solidFill>
                <a:latin typeface="+mn-lt"/>
                <a:ea typeface="+mn-ea"/>
                <a:cs typeface="+mn-cs"/>
              </a:rPr>
              <a:t>Dmg from</a:t>
            </a:r>
            <a:r>
              <a:rPr lang="en-GB" sz="1200" u="none" baseline="0">
                <a:ln>
                  <a:noFill/>
                </a:ln>
                <a:solidFill>
                  <a:srgbClr val="ABABAB"/>
                </a:solidFill>
                <a:latin typeface="+mn-lt"/>
                <a:ea typeface="+mn-ea"/>
                <a:cs typeface="+mn-cs"/>
              </a:rPr>
              <a:t> Allies</a:t>
            </a:r>
            <a:endParaRPr lang="en-GB" sz="1200" u="none">
              <a:ln>
                <a:noFill/>
              </a:ln>
              <a:solidFill>
                <a:srgbClr val="ABABAB"/>
              </a:solidFill>
              <a:latin typeface="+mn-lt"/>
              <a:ea typeface="+mn-ea"/>
              <a:cs typeface="+mn-cs"/>
            </a:endParaRPr>
          </a:p>
        </xdr:txBody>
      </xdr:sp>
      <xdr:sp macro="" textlink="">
        <xdr:nvSpPr>
          <xdr:cNvPr id="169" name="TextBox 168">
            <a:extLst>
              <a:ext uri="{FF2B5EF4-FFF2-40B4-BE49-F238E27FC236}">
                <a16:creationId xmlns:a16="http://schemas.microsoft.com/office/drawing/2014/main" id="{00000000-0008-0000-0400-0000A9000000}"/>
              </a:ext>
            </a:extLst>
          </xdr:cNvPr>
          <xdr:cNvSpPr txBox="1"/>
        </xdr:nvSpPr>
        <xdr:spPr>
          <a:xfrm>
            <a:off x="9974579" y="708660"/>
            <a:ext cx="1844041" cy="398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200" u="none">
                <a:ln>
                  <a:noFill/>
                </a:ln>
                <a:solidFill>
                  <a:srgbClr val="ABABAB"/>
                </a:solidFill>
                <a:latin typeface="+mn-lt"/>
                <a:ea typeface="+mn-ea"/>
                <a:cs typeface="+mn-cs"/>
              </a:rPr>
              <a:t>Total Dmg Taken</a:t>
            </a:r>
          </a:p>
        </xdr:txBody>
      </xdr:sp>
      <xdr:sp macro="" textlink="">
        <xdr:nvSpPr>
          <xdr:cNvPr id="170" name="TextBox 169">
            <a:extLst>
              <a:ext uri="{FF2B5EF4-FFF2-40B4-BE49-F238E27FC236}">
                <a16:creationId xmlns:a16="http://schemas.microsoft.com/office/drawing/2014/main" id="{00000000-0008-0000-0400-0000AA000000}"/>
              </a:ext>
            </a:extLst>
          </xdr:cNvPr>
          <xdr:cNvSpPr txBox="1"/>
        </xdr:nvSpPr>
        <xdr:spPr>
          <a:xfrm>
            <a:off x="9974579" y="2484120"/>
            <a:ext cx="1844041" cy="398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200" u="none">
                <a:ln>
                  <a:noFill/>
                </a:ln>
                <a:solidFill>
                  <a:srgbClr val="ABABAB"/>
                </a:solidFill>
                <a:latin typeface="+mn-lt"/>
                <a:ea typeface="+mn-ea"/>
                <a:cs typeface="+mn-cs"/>
              </a:rPr>
              <a:t>Dmg from</a:t>
            </a:r>
            <a:r>
              <a:rPr lang="en-GB" sz="1200" u="none" baseline="0">
                <a:ln>
                  <a:noFill/>
                </a:ln>
                <a:solidFill>
                  <a:srgbClr val="ABABAB"/>
                </a:solidFill>
                <a:latin typeface="+mn-lt"/>
                <a:ea typeface="+mn-ea"/>
                <a:cs typeface="+mn-cs"/>
              </a:rPr>
              <a:t> Enemies</a:t>
            </a:r>
            <a:endParaRPr lang="en-GB" sz="1200" u="none">
              <a:ln>
                <a:noFill/>
              </a:ln>
              <a:solidFill>
                <a:srgbClr val="ABABAB"/>
              </a:solidFill>
              <a:latin typeface="+mn-lt"/>
              <a:ea typeface="+mn-ea"/>
              <a:cs typeface="+mn-cs"/>
            </a:endParaRPr>
          </a:p>
        </xdr:txBody>
      </xdr:sp>
      <xdr:sp macro="" textlink="">
        <xdr:nvSpPr>
          <xdr:cNvPr id="171" name="TextBox 170">
            <a:extLst>
              <a:ext uri="{FF2B5EF4-FFF2-40B4-BE49-F238E27FC236}">
                <a16:creationId xmlns:a16="http://schemas.microsoft.com/office/drawing/2014/main" id="{00000000-0008-0000-0400-0000AB000000}"/>
              </a:ext>
            </a:extLst>
          </xdr:cNvPr>
          <xdr:cNvSpPr txBox="1"/>
        </xdr:nvSpPr>
        <xdr:spPr>
          <a:xfrm>
            <a:off x="9974579" y="3337560"/>
            <a:ext cx="1844041" cy="398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200" u="none">
                <a:ln>
                  <a:noFill/>
                </a:ln>
                <a:solidFill>
                  <a:srgbClr val="ABABAB"/>
                </a:solidFill>
                <a:latin typeface="+mn-lt"/>
                <a:ea typeface="+mn-ea"/>
                <a:cs typeface="+mn-cs"/>
              </a:rPr>
              <a:t>Dmg from</a:t>
            </a:r>
            <a:r>
              <a:rPr lang="en-GB" sz="1200" u="none" baseline="0">
                <a:ln>
                  <a:noFill/>
                </a:ln>
                <a:solidFill>
                  <a:srgbClr val="ABABAB"/>
                </a:solidFill>
                <a:latin typeface="+mn-lt"/>
                <a:ea typeface="+mn-ea"/>
                <a:cs typeface="+mn-cs"/>
              </a:rPr>
              <a:t> Bosses</a:t>
            </a:r>
            <a:endParaRPr lang="en-GB" sz="1200" u="none">
              <a:ln>
                <a:noFill/>
              </a:ln>
              <a:solidFill>
                <a:srgbClr val="ABABAB"/>
              </a:solidFill>
              <a:latin typeface="+mn-lt"/>
              <a:ea typeface="+mn-ea"/>
              <a:cs typeface="+mn-cs"/>
            </a:endParaRPr>
          </a:p>
        </xdr:txBody>
      </xdr:sp>
      <xdr:sp macro="" textlink="">
        <xdr:nvSpPr>
          <xdr:cNvPr id="172" name="TextBox 171">
            <a:extLst>
              <a:ext uri="{FF2B5EF4-FFF2-40B4-BE49-F238E27FC236}">
                <a16:creationId xmlns:a16="http://schemas.microsoft.com/office/drawing/2014/main" id="{00000000-0008-0000-0400-0000AC000000}"/>
              </a:ext>
            </a:extLst>
          </xdr:cNvPr>
          <xdr:cNvSpPr txBox="1"/>
        </xdr:nvSpPr>
        <xdr:spPr>
          <a:xfrm>
            <a:off x="11711939" y="1661160"/>
            <a:ext cx="1379221" cy="398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800" u="none">
                <a:ln>
                  <a:noFill/>
                </a:ln>
                <a:solidFill>
                  <a:srgbClr val="ABABAB"/>
                </a:solidFill>
                <a:latin typeface="+mn-lt"/>
                <a:ea typeface="+mn-ea"/>
                <a:cs typeface="+mn-cs"/>
              </a:rPr>
              <a:t>% of all</a:t>
            </a:r>
            <a:r>
              <a:rPr lang="en-GB" sz="800" u="none" baseline="0">
                <a:ln>
                  <a:noFill/>
                </a:ln>
                <a:solidFill>
                  <a:srgbClr val="ABABAB"/>
                </a:solidFill>
                <a:latin typeface="+mn-lt"/>
                <a:ea typeface="+mn-ea"/>
                <a:cs typeface="+mn-cs"/>
              </a:rPr>
              <a:t> individual dmg</a:t>
            </a:r>
            <a:endParaRPr lang="en-GB" sz="800" u="none">
              <a:ln>
                <a:noFill/>
              </a:ln>
              <a:solidFill>
                <a:srgbClr val="ABABAB"/>
              </a:solidFill>
              <a:latin typeface="+mn-lt"/>
              <a:ea typeface="+mn-ea"/>
              <a:cs typeface="+mn-cs"/>
            </a:endParaRPr>
          </a:p>
        </xdr:txBody>
      </xdr:sp>
      <xdr:sp macro="" textlink="">
        <xdr:nvSpPr>
          <xdr:cNvPr id="173" name="TextBox 172">
            <a:extLst>
              <a:ext uri="{FF2B5EF4-FFF2-40B4-BE49-F238E27FC236}">
                <a16:creationId xmlns:a16="http://schemas.microsoft.com/office/drawing/2014/main" id="{00000000-0008-0000-0400-0000AD000000}"/>
              </a:ext>
            </a:extLst>
          </xdr:cNvPr>
          <xdr:cNvSpPr txBox="1"/>
        </xdr:nvSpPr>
        <xdr:spPr>
          <a:xfrm>
            <a:off x="11711939" y="2529840"/>
            <a:ext cx="1379221" cy="398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800" u="none">
                <a:ln>
                  <a:noFill/>
                </a:ln>
                <a:solidFill>
                  <a:srgbClr val="ABABAB"/>
                </a:solidFill>
                <a:latin typeface="+mn-lt"/>
                <a:ea typeface="+mn-ea"/>
                <a:cs typeface="+mn-cs"/>
              </a:rPr>
              <a:t>% of all</a:t>
            </a:r>
            <a:r>
              <a:rPr lang="en-GB" sz="800" u="none" baseline="0">
                <a:ln>
                  <a:noFill/>
                </a:ln>
                <a:solidFill>
                  <a:srgbClr val="ABABAB"/>
                </a:solidFill>
                <a:latin typeface="+mn-lt"/>
                <a:ea typeface="+mn-ea"/>
                <a:cs typeface="+mn-cs"/>
              </a:rPr>
              <a:t> individual dmg</a:t>
            </a:r>
            <a:endParaRPr lang="en-GB" sz="800" u="none">
              <a:ln>
                <a:noFill/>
              </a:ln>
              <a:solidFill>
                <a:srgbClr val="ABABAB"/>
              </a:solidFill>
              <a:latin typeface="+mn-lt"/>
              <a:ea typeface="+mn-ea"/>
              <a:cs typeface="+mn-cs"/>
            </a:endParaRPr>
          </a:p>
        </xdr:txBody>
      </xdr:sp>
      <xdr:sp macro="" textlink="">
        <xdr:nvSpPr>
          <xdr:cNvPr id="174" name="TextBox 173">
            <a:extLst>
              <a:ext uri="{FF2B5EF4-FFF2-40B4-BE49-F238E27FC236}">
                <a16:creationId xmlns:a16="http://schemas.microsoft.com/office/drawing/2014/main" id="{00000000-0008-0000-0400-0000AE000000}"/>
              </a:ext>
            </a:extLst>
          </xdr:cNvPr>
          <xdr:cNvSpPr txBox="1"/>
        </xdr:nvSpPr>
        <xdr:spPr>
          <a:xfrm>
            <a:off x="11711939" y="3390900"/>
            <a:ext cx="1379221" cy="398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800" u="none">
                <a:ln>
                  <a:noFill/>
                </a:ln>
                <a:solidFill>
                  <a:srgbClr val="ABABAB"/>
                </a:solidFill>
                <a:latin typeface="+mn-lt"/>
                <a:ea typeface="+mn-ea"/>
                <a:cs typeface="+mn-cs"/>
              </a:rPr>
              <a:t>% of all</a:t>
            </a:r>
            <a:r>
              <a:rPr lang="en-GB" sz="800" u="none" baseline="0">
                <a:ln>
                  <a:noFill/>
                </a:ln>
                <a:solidFill>
                  <a:srgbClr val="ABABAB"/>
                </a:solidFill>
                <a:latin typeface="+mn-lt"/>
                <a:ea typeface="+mn-ea"/>
                <a:cs typeface="+mn-cs"/>
              </a:rPr>
              <a:t> individual dmg</a:t>
            </a:r>
            <a:endParaRPr lang="en-GB" sz="800" u="none">
              <a:ln>
                <a:noFill/>
              </a:ln>
              <a:solidFill>
                <a:srgbClr val="ABABAB"/>
              </a:solidFill>
              <a:latin typeface="+mn-lt"/>
              <a:ea typeface="+mn-ea"/>
              <a:cs typeface="+mn-cs"/>
            </a:endParaRPr>
          </a:p>
        </xdr:txBody>
      </xdr:sp>
      <xdr:sp macro="" textlink="Combat2!CU12">
        <xdr:nvSpPr>
          <xdr:cNvPr id="175" name="TextBox 174">
            <a:extLst>
              <a:ext uri="{FF2B5EF4-FFF2-40B4-BE49-F238E27FC236}">
                <a16:creationId xmlns:a16="http://schemas.microsoft.com/office/drawing/2014/main" id="{00000000-0008-0000-0400-0000AF000000}"/>
              </a:ext>
            </a:extLst>
          </xdr:cNvPr>
          <xdr:cNvSpPr txBox="1"/>
        </xdr:nvSpPr>
        <xdr:spPr>
          <a:xfrm>
            <a:off x="12717779" y="1866900"/>
            <a:ext cx="1379221" cy="398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63AF8AF-C0AB-4602-BC45-ED9218E4952F}" type="TxLink">
              <a:rPr lang="en-US" sz="1200" u="none">
                <a:ln>
                  <a:noFill/>
                </a:ln>
                <a:solidFill>
                  <a:srgbClr val="ABABAB"/>
                </a:solidFill>
                <a:latin typeface="+mn-lt"/>
                <a:ea typeface="+mn-ea"/>
                <a:cs typeface="+mn-cs"/>
              </a:rPr>
              <a:pPr marL="0" indent="0" algn="ctr"/>
              <a:t>316</a:t>
            </a:fld>
            <a:endParaRPr lang="en-GB" sz="1200" u="none">
              <a:ln>
                <a:noFill/>
              </a:ln>
              <a:solidFill>
                <a:srgbClr val="ABABAB"/>
              </a:solidFill>
              <a:latin typeface="+mn-lt"/>
              <a:ea typeface="+mn-ea"/>
              <a:cs typeface="+mn-cs"/>
            </a:endParaRPr>
          </a:p>
        </xdr:txBody>
      </xdr:sp>
      <xdr:sp macro="" textlink="Combat2!CT12">
        <xdr:nvSpPr>
          <xdr:cNvPr id="176" name="TextBox 175">
            <a:extLst>
              <a:ext uri="{FF2B5EF4-FFF2-40B4-BE49-F238E27FC236}">
                <a16:creationId xmlns:a16="http://schemas.microsoft.com/office/drawing/2014/main" id="{00000000-0008-0000-0400-0000B0000000}"/>
              </a:ext>
            </a:extLst>
          </xdr:cNvPr>
          <xdr:cNvSpPr txBox="1"/>
        </xdr:nvSpPr>
        <xdr:spPr>
          <a:xfrm>
            <a:off x="12717779" y="2712720"/>
            <a:ext cx="1379221" cy="398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73C79EB-EFF2-4960-9D34-E4466A2A24DE}" type="TxLink">
              <a:rPr lang="en-US" sz="1200" u="none">
                <a:ln>
                  <a:noFill/>
                </a:ln>
                <a:solidFill>
                  <a:srgbClr val="ABABAB"/>
                </a:solidFill>
                <a:latin typeface="+mn-lt"/>
                <a:ea typeface="+mn-ea"/>
                <a:cs typeface="+mn-cs"/>
              </a:rPr>
              <a:pPr marL="0" indent="0" algn="ctr"/>
              <a:t>554</a:t>
            </a:fld>
            <a:endParaRPr lang="en-GB" sz="1200" u="none">
              <a:ln>
                <a:noFill/>
              </a:ln>
              <a:solidFill>
                <a:srgbClr val="ABABAB"/>
              </a:solidFill>
              <a:latin typeface="+mn-lt"/>
              <a:ea typeface="+mn-ea"/>
              <a:cs typeface="+mn-cs"/>
            </a:endParaRPr>
          </a:p>
        </xdr:txBody>
      </xdr:sp>
      <xdr:sp macro="" textlink="Combat2!CS12">
        <xdr:nvSpPr>
          <xdr:cNvPr id="177" name="TextBox 176">
            <a:extLst>
              <a:ext uri="{FF2B5EF4-FFF2-40B4-BE49-F238E27FC236}">
                <a16:creationId xmlns:a16="http://schemas.microsoft.com/office/drawing/2014/main" id="{00000000-0008-0000-0400-0000B1000000}"/>
              </a:ext>
            </a:extLst>
          </xdr:cNvPr>
          <xdr:cNvSpPr txBox="1"/>
        </xdr:nvSpPr>
        <xdr:spPr>
          <a:xfrm>
            <a:off x="12733019" y="3619500"/>
            <a:ext cx="1379221" cy="398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738154C-8372-4B85-AE16-0291F69009F5}" type="TxLink">
              <a:rPr lang="en-US" sz="1200" u="none">
                <a:ln>
                  <a:noFill/>
                </a:ln>
                <a:solidFill>
                  <a:srgbClr val="ABABAB"/>
                </a:solidFill>
                <a:latin typeface="+mn-lt"/>
                <a:ea typeface="+mn-ea"/>
                <a:cs typeface="+mn-cs"/>
              </a:rPr>
              <a:pPr marL="0" indent="0" algn="ctr"/>
              <a:t>359</a:t>
            </a:fld>
            <a:endParaRPr lang="en-GB" sz="1200" u="none">
              <a:ln>
                <a:noFill/>
              </a:ln>
              <a:solidFill>
                <a:srgbClr val="ABABAB"/>
              </a:solidFill>
              <a:latin typeface="+mn-lt"/>
              <a:ea typeface="+mn-ea"/>
              <a:cs typeface="+mn-cs"/>
            </a:endParaRPr>
          </a:p>
        </xdr:txBody>
      </xdr:sp>
      <xdr:grpSp>
        <xdr:nvGrpSpPr>
          <xdr:cNvPr id="252" name="Charts">
            <a:extLst>
              <a:ext uri="{FF2B5EF4-FFF2-40B4-BE49-F238E27FC236}">
                <a16:creationId xmlns:a16="http://schemas.microsoft.com/office/drawing/2014/main" id="{00000000-0008-0000-0400-0000FC000000}"/>
              </a:ext>
            </a:extLst>
          </xdr:cNvPr>
          <xdr:cNvGrpSpPr/>
        </xdr:nvGrpSpPr>
        <xdr:grpSpPr>
          <a:xfrm>
            <a:off x="9644774" y="675104"/>
            <a:ext cx="3522263" cy="3831392"/>
            <a:chOff x="9644774" y="675104"/>
            <a:chExt cx="3522263" cy="3831392"/>
          </a:xfrm>
        </xdr:grpSpPr>
        <xdr:sp macro="" textlink="">
          <xdr:nvSpPr>
            <xdr:cNvPr id="127" name="Rectangle: Rounded Corners 126">
              <a:extLst>
                <a:ext uri="{FF2B5EF4-FFF2-40B4-BE49-F238E27FC236}">
                  <a16:creationId xmlns:a16="http://schemas.microsoft.com/office/drawing/2014/main" id="{00000000-0008-0000-0400-00007F000000}"/>
                </a:ext>
              </a:extLst>
            </xdr:cNvPr>
            <xdr:cNvSpPr/>
          </xdr:nvSpPr>
          <xdr:spPr>
            <a:xfrm>
              <a:off x="9895756" y="2743263"/>
              <a:ext cx="3096000" cy="360000"/>
            </a:xfrm>
            <a:prstGeom prst="roundRect">
              <a:avLst>
                <a:gd name="adj" fmla="val 50000"/>
              </a:avLst>
            </a:prstGeom>
            <a:solidFill>
              <a:srgbClr val="51607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sp macro="" textlink="">
          <xdr:nvSpPr>
            <xdr:cNvPr id="128" name="Rectangle: Rounded Corners 127">
              <a:extLst>
                <a:ext uri="{FF2B5EF4-FFF2-40B4-BE49-F238E27FC236}">
                  <a16:creationId xmlns:a16="http://schemas.microsoft.com/office/drawing/2014/main" id="{00000000-0008-0000-0400-000080000000}"/>
                </a:ext>
              </a:extLst>
            </xdr:cNvPr>
            <xdr:cNvSpPr/>
          </xdr:nvSpPr>
          <xdr:spPr>
            <a:xfrm>
              <a:off x="9895756" y="3597746"/>
              <a:ext cx="3096000" cy="360000"/>
            </a:xfrm>
            <a:prstGeom prst="roundRect">
              <a:avLst>
                <a:gd name="adj" fmla="val 50000"/>
              </a:avLst>
            </a:prstGeom>
            <a:solidFill>
              <a:srgbClr val="51607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sp macro="" textlink="">
          <xdr:nvSpPr>
            <xdr:cNvPr id="162" name="Rectangle: Rounded Corners 161">
              <a:extLst>
                <a:ext uri="{FF2B5EF4-FFF2-40B4-BE49-F238E27FC236}">
                  <a16:creationId xmlns:a16="http://schemas.microsoft.com/office/drawing/2014/main" id="{00000000-0008-0000-0400-0000A2000000}"/>
                </a:ext>
              </a:extLst>
            </xdr:cNvPr>
            <xdr:cNvSpPr/>
          </xdr:nvSpPr>
          <xdr:spPr>
            <a:xfrm>
              <a:off x="9895756" y="983043"/>
              <a:ext cx="3096000" cy="360000"/>
            </a:xfrm>
            <a:prstGeom prst="roundRect">
              <a:avLst>
                <a:gd name="adj" fmla="val 50000"/>
              </a:avLst>
            </a:prstGeom>
            <a:solidFill>
              <a:srgbClr val="51607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sp macro="" textlink="">
          <xdr:nvSpPr>
            <xdr:cNvPr id="159" name="Rectangle: Rounded Corners 158">
              <a:extLst>
                <a:ext uri="{FF2B5EF4-FFF2-40B4-BE49-F238E27FC236}">
                  <a16:creationId xmlns:a16="http://schemas.microsoft.com/office/drawing/2014/main" id="{00000000-0008-0000-0400-00009F000000}"/>
                </a:ext>
              </a:extLst>
            </xdr:cNvPr>
            <xdr:cNvSpPr/>
          </xdr:nvSpPr>
          <xdr:spPr>
            <a:xfrm>
              <a:off x="9895756" y="1889823"/>
              <a:ext cx="3096000" cy="360000"/>
            </a:xfrm>
            <a:prstGeom prst="roundRect">
              <a:avLst>
                <a:gd name="adj" fmla="val 50000"/>
              </a:avLst>
            </a:prstGeom>
            <a:solidFill>
              <a:srgbClr val="51607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aphicFrame macro="">
          <xdr:nvGraphicFramePr>
            <xdr:cNvPr id="124" name="Chart 123">
              <a:extLst>
                <a:ext uri="{FF2B5EF4-FFF2-40B4-BE49-F238E27FC236}">
                  <a16:creationId xmlns:a16="http://schemas.microsoft.com/office/drawing/2014/main" id="{00000000-0008-0000-0400-00007C000000}"/>
                </a:ext>
              </a:extLst>
            </xdr:cNvPr>
            <xdr:cNvGraphicFramePr>
              <a:graphicFrameLocks/>
            </xdr:cNvGraphicFramePr>
          </xdr:nvGraphicFramePr>
          <xdr:xfrm>
            <a:off x="9804471" y="675104"/>
            <a:ext cx="3362566" cy="3823772"/>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63" name="Rectangle: Rounded Corners 162">
              <a:extLst>
                <a:ext uri="{FF2B5EF4-FFF2-40B4-BE49-F238E27FC236}">
                  <a16:creationId xmlns:a16="http://schemas.microsoft.com/office/drawing/2014/main" id="{00000000-0008-0000-0400-0000A3000000}"/>
                </a:ext>
              </a:extLst>
            </xdr:cNvPr>
            <xdr:cNvSpPr/>
          </xdr:nvSpPr>
          <xdr:spPr>
            <a:xfrm>
              <a:off x="9895756" y="1005903"/>
              <a:ext cx="3096000" cy="360000"/>
            </a:xfrm>
            <a:prstGeom prst="roundRect">
              <a:avLst>
                <a:gd name="adj" fmla="val 50000"/>
              </a:avLst>
            </a:prstGeom>
            <a:noFill/>
            <a:ln w="101600">
              <a:solidFill>
                <a:srgbClr val="434443"/>
              </a:solid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sp macro="" textlink="">
          <xdr:nvSpPr>
            <xdr:cNvPr id="133" name="Rectangle: Rounded Corners 132">
              <a:extLst>
                <a:ext uri="{FF2B5EF4-FFF2-40B4-BE49-F238E27FC236}">
                  <a16:creationId xmlns:a16="http://schemas.microsoft.com/office/drawing/2014/main" id="{00000000-0008-0000-0400-000085000000}"/>
                </a:ext>
              </a:extLst>
            </xdr:cNvPr>
            <xdr:cNvSpPr/>
          </xdr:nvSpPr>
          <xdr:spPr>
            <a:xfrm>
              <a:off x="9895756" y="3628226"/>
              <a:ext cx="3096000" cy="360000"/>
            </a:xfrm>
            <a:prstGeom prst="roundRect">
              <a:avLst>
                <a:gd name="adj" fmla="val 50000"/>
              </a:avLst>
            </a:prstGeom>
            <a:noFill/>
            <a:ln w="101600">
              <a:solidFill>
                <a:srgbClr val="434443"/>
              </a:solid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sp macro="" textlink="">
          <xdr:nvSpPr>
            <xdr:cNvPr id="160" name="Rectangle: Rounded Corners 159">
              <a:extLst>
                <a:ext uri="{FF2B5EF4-FFF2-40B4-BE49-F238E27FC236}">
                  <a16:creationId xmlns:a16="http://schemas.microsoft.com/office/drawing/2014/main" id="{00000000-0008-0000-0400-0000A0000000}"/>
                </a:ext>
              </a:extLst>
            </xdr:cNvPr>
            <xdr:cNvSpPr/>
          </xdr:nvSpPr>
          <xdr:spPr>
            <a:xfrm>
              <a:off x="9895756" y="1912683"/>
              <a:ext cx="3096000" cy="360000"/>
            </a:xfrm>
            <a:prstGeom prst="roundRect">
              <a:avLst>
                <a:gd name="adj" fmla="val 50000"/>
              </a:avLst>
            </a:prstGeom>
            <a:noFill/>
            <a:ln w="101600">
              <a:solidFill>
                <a:srgbClr val="434443"/>
              </a:solid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sp macro="" textlink="">
          <xdr:nvSpPr>
            <xdr:cNvPr id="132" name="Rectangle: Rounded Corners 131">
              <a:extLst>
                <a:ext uri="{FF2B5EF4-FFF2-40B4-BE49-F238E27FC236}">
                  <a16:creationId xmlns:a16="http://schemas.microsoft.com/office/drawing/2014/main" id="{00000000-0008-0000-0400-000084000000}"/>
                </a:ext>
              </a:extLst>
            </xdr:cNvPr>
            <xdr:cNvSpPr/>
          </xdr:nvSpPr>
          <xdr:spPr>
            <a:xfrm>
              <a:off x="9895756" y="2766123"/>
              <a:ext cx="3096000" cy="360000"/>
            </a:xfrm>
            <a:prstGeom prst="roundRect">
              <a:avLst>
                <a:gd name="adj" fmla="val 50000"/>
              </a:avLst>
            </a:prstGeom>
            <a:noFill/>
            <a:ln w="101600">
              <a:solidFill>
                <a:srgbClr val="434443"/>
              </a:solid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aphicFrame macro="">
          <xdr:nvGraphicFramePr>
            <xdr:cNvPr id="178" name="Chart 177">
              <a:extLst>
                <a:ext uri="{FF2B5EF4-FFF2-40B4-BE49-F238E27FC236}">
                  <a16:creationId xmlns:a16="http://schemas.microsoft.com/office/drawing/2014/main" id="{00000000-0008-0000-0400-0000B2000000}"/>
                </a:ext>
              </a:extLst>
            </xdr:cNvPr>
            <xdr:cNvGraphicFramePr>
              <a:graphicFrameLocks/>
            </xdr:cNvGraphicFramePr>
          </xdr:nvGraphicFramePr>
          <xdr:xfrm>
            <a:off x="9644774" y="682724"/>
            <a:ext cx="3354946" cy="3823772"/>
          </xdr:xfrm>
          <a:graphic>
            <a:graphicData uri="http://schemas.openxmlformats.org/drawingml/2006/chart">
              <c:chart xmlns:c="http://schemas.openxmlformats.org/drawingml/2006/chart" xmlns:r="http://schemas.openxmlformats.org/officeDocument/2006/relationships" r:id="rId5"/>
            </a:graphicData>
          </a:graphic>
        </xdr:graphicFrame>
      </xdr:grpSp>
    </xdr:grpSp>
    <xdr:clientData/>
  </xdr:twoCellAnchor>
  <xdr:twoCellAnchor>
    <xdr:from>
      <xdr:col>6</xdr:col>
      <xdr:colOff>510540</xdr:colOff>
      <xdr:row>20</xdr:row>
      <xdr:rowOff>121920</xdr:rowOff>
    </xdr:from>
    <xdr:to>
      <xdr:col>11</xdr:col>
      <xdr:colOff>182880</xdr:colOff>
      <xdr:row>35</xdr:row>
      <xdr:rowOff>154352</xdr:rowOff>
    </xdr:to>
    <xdr:grpSp>
      <xdr:nvGrpSpPr>
        <xdr:cNvPr id="246" name="Healing Group">
          <a:extLst>
            <a:ext uri="{FF2B5EF4-FFF2-40B4-BE49-F238E27FC236}">
              <a16:creationId xmlns:a16="http://schemas.microsoft.com/office/drawing/2014/main" id="{00000000-0008-0000-0400-0000F6000000}"/>
            </a:ext>
          </a:extLst>
        </xdr:cNvPr>
        <xdr:cNvGrpSpPr/>
      </xdr:nvGrpSpPr>
      <xdr:grpSpPr>
        <a:xfrm>
          <a:off x="4168140" y="3779520"/>
          <a:ext cx="2720340" cy="2775632"/>
          <a:chOff x="4168140" y="3794760"/>
          <a:chExt cx="2720340" cy="2775632"/>
        </a:xfrm>
      </xdr:grpSpPr>
      <xdr:sp macro="" textlink="">
        <xdr:nvSpPr>
          <xdr:cNvPr id="181" name="Rectangle: Rounded Corners 180">
            <a:extLst>
              <a:ext uri="{FF2B5EF4-FFF2-40B4-BE49-F238E27FC236}">
                <a16:creationId xmlns:a16="http://schemas.microsoft.com/office/drawing/2014/main" id="{00000000-0008-0000-0400-0000B5000000}"/>
              </a:ext>
            </a:extLst>
          </xdr:cNvPr>
          <xdr:cNvSpPr/>
        </xdr:nvSpPr>
        <xdr:spPr>
          <a:xfrm>
            <a:off x="4442460" y="3794760"/>
            <a:ext cx="2446020" cy="2700300"/>
          </a:xfrm>
          <a:prstGeom prst="roundRect">
            <a:avLst>
              <a:gd name="adj" fmla="val 5733"/>
            </a:avLst>
          </a:prstGeom>
          <a:solidFill>
            <a:srgbClr val="232423"/>
          </a:solidFill>
          <a:ln w="19050">
            <a:solidFill>
              <a:srgbClr val="BB434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graphicFrame macro="">
        <xdr:nvGraphicFramePr>
          <xdr:cNvPr id="190" name="Chart 189">
            <a:extLst>
              <a:ext uri="{FF2B5EF4-FFF2-40B4-BE49-F238E27FC236}">
                <a16:creationId xmlns:a16="http://schemas.microsoft.com/office/drawing/2014/main" id="{00000000-0008-0000-0400-0000BE000000}"/>
              </a:ext>
            </a:extLst>
          </xdr:cNvPr>
          <xdr:cNvGraphicFramePr>
            <a:graphicFrameLocks/>
          </xdr:cNvGraphicFramePr>
        </xdr:nvGraphicFramePr>
        <xdr:xfrm>
          <a:off x="4351021" y="4256717"/>
          <a:ext cx="1714499" cy="2197423"/>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198" name="TextBox 197">
            <a:extLst>
              <a:ext uri="{FF2B5EF4-FFF2-40B4-BE49-F238E27FC236}">
                <a16:creationId xmlns:a16="http://schemas.microsoft.com/office/drawing/2014/main" id="{00000000-0008-0000-0400-0000C6000000}"/>
              </a:ext>
            </a:extLst>
          </xdr:cNvPr>
          <xdr:cNvSpPr txBox="1"/>
        </xdr:nvSpPr>
        <xdr:spPr>
          <a:xfrm>
            <a:off x="4168140" y="3848101"/>
            <a:ext cx="18234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u="none">
                <a:ln>
                  <a:noFill/>
                </a:ln>
                <a:solidFill>
                  <a:srgbClr val="ABABAB"/>
                </a:solidFill>
                <a:latin typeface="+mn-lt"/>
                <a:ea typeface="+mn-ea"/>
                <a:cs typeface="+mn-cs"/>
              </a:rPr>
              <a:t>Self Healing</a:t>
            </a:r>
          </a:p>
          <a:p>
            <a:pPr algn="ctr"/>
            <a:endParaRPr lang="en-GB" sz="1600" u="none">
              <a:ln>
                <a:noFill/>
              </a:ln>
              <a:solidFill>
                <a:srgbClr val="ABABAB"/>
              </a:solidFill>
              <a:latin typeface="+mn-lt"/>
              <a:ea typeface="+mn-ea"/>
              <a:cs typeface="+mn-cs"/>
            </a:endParaRPr>
          </a:p>
        </xdr:txBody>
      </xdr:sp>
      <xdr:sp macro="" textlink="">
        <xdr:nvSpPr>
          <xdr:cNvPr id="31" name="Rectangle 30">
            <a:extLst>
              <a:ext uri="{FF2B5EF4-FFF2-40B4-BE49-F238E27FC236}">
                <a16:creationId xmlns:a16="http://schemas.microsoft.com/office/drawing/2014/main" id="{00000000-0008-0000-0400-00001F000000}"/>
              </a:ext>
            </a:extLst>
          </xdr:cNvPr>
          <xdr:cNvSpPr/>
        </xdr:nvSpPr>
        <xdr:spPr>
          <a:xfrm>
            <a:off x="5707380" y="3920490"/>
            <a:ext cx="1073426" cy="205740"/>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5" name="TextBox 214">
            <a:extLst>
              <a:ext uri="{FF2B5EF4-FFF2-40B4-BE49-F238E27FC236}">
                <a16:creationId xmlns:a16="http://schemas.microsoft.com/office/drawing/2014/main" id="{00000000-0008-0000-0400-0000D7000000}"/>
              </a:ext>
            </a:extLst>
          </xdr:cNvPr>
          <xdr:cNvSpPr txBox="1"/>
        </xdr:nvSpPr>
        <xdr:spPr>
          <a:xfrm>
            <a:off x="4549140" y="4168140"/>
            <a:ext cx="21564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GB" sz="1400" b="0" i="0" u="none" strike="noStrike" kern="1200" spc="0" baseline="0">
                <a:solidFill>
                  <a:sysClr val="windowText" lastClr="000000">
                    <a:lumMod val="65000"/>
                    <a:lumOff val="35000"/>
                  </a:sysClr>
                </a:solidFill>
                <a:latin typeface="+mn-lt"/>
                <a:ea typeface="+mn-ea"/>
                <a:cs typeface="+mn-cs"/>
              </a:rPr>
              <a:t>Top 5 healing targets</a:t>
            </a:r>
          </a:p>
        </xdr:txBody>
      </xdr:sp>
      <xdr:sp macro="" textlink="Combat2!DV10">
        <xdr:nvSpPr>
          <xdr:cNvPr id="216" name="TextBox 215">
            <a:extLst>
              <a:ext uri="{FF2B5EF4-FFF2-40B4-BE49-F238E27FC236}">
                <a16:creationId xmlns:a16="http://schemas.microsoft.com/office/drawing/2014/main" id="{00000000-0008-0000-0400-0000D8000000}"/>
              </a:ext>
            </a:extLst>
          </xdr:cNvPr>
          <xdr:cNvSpPr txBox="1"/>
        </xdr:nvSpPr>
        <xdr:spPr>
          <a:xfrm>
            <a:off x="4366260" y="4587240"/>
            <a:ext cx="1066800" cy="33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766D4449-6ED7-4050-B429-D21FEF05DC8B}" type="TxLink">
              <a:rPr lang="en-US" sz="1100" u="none">
                <a:ln>
                  <a:noFill/>
                </a:ln>
                <a:solidFill>
                  <a:srgbClr val="ABABAB"/>
                </a:solidFill>
                <a:latin typeface="+mn-lt"/>
                <a:ea typeface="+mn-ea"/>
                <a:cs typeface="+mn-cs"/>
              </a:rPr>
              <a:pPr marL="0" indent="0" algn="l"/>
              <a:t>Sev</a:t>
            </a:fld>
            <a:endParaRPr lang="en-GB" sz="1100" u="none">
              <a:ln>
                <a:noFill/>
              </a:ln>
              <a:solidFill>
                <a:srgbClr val="ABABAB"/>
              </a:solidFill>
              <a:latin typeface="+mn-lt"/>
              <a:ea typeface="+mn-ea"/>
              <a:cs typeface="+mn-cs"/>
            </a:endParaRPr>
          </a:p>
        </xdr:txBody>
      </xdr:sp>
      <xdr:sp macro="" textlink="Combat2!DV9">
        <xdr:nvSpPr>
          <xdr:cNvPr id="217" name="TextBox 216">
            <a:extLst>
              <a:ext uri="{FF2B5EF4-FFF2-40B4-BE49-F238E27FC236}">
                <a16:creationId xmlns:a16="http://schemas.microsoft.com/office/drawing/2014/main" id="{00000000-0008-0000-0400-0000D9000000}"/>
              </a:ext>
            </a:extLst>
          </xdr:cNvPr>
          <xdr:cNvSpPr txBox="1"/>
        </xdr:nvSpPr>
        <xdr:spPr>
          <a:xfrm>
            <a:off x="4366260" y="5006340"/>
            <a:ext cx="1272539" cy="398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33B18F7-C823-4136-BB1D-08ECF67E2129}" type="TxLink">
              <a:rPr lang="en-US" sz="1100" u="none">
                <a:ln>
                  <a:noFill/>
                </a:ln>
                <a:solidFill>
                  <a:srgbClr val="ABABAB"/>
                </a:solidFill>
                <a:latin typeface="+mn-lt"/>
                <a:ea typeface="+mn-ea"/>
                <a:cs typeface="+mn-cs"/>
              </a:rPr>
              <a:pPr marL="0" indent="0" algn="l"/>
              <a:t>Ciri Ruple</a:t>
            </a:fld>
            <a:endParaRPr lang="en-GB" sz="1100" u="none">
              <a:ln>
                <a:noFill/>
              </a:ln>
              <a:solidFill>
                <a:srgbClr val="ABABAB"/>
              </a:solidFill>
              <a:latin typeface="+mn-lt"/>
              <a:ea typeface="+mn-ea"/>
              <a:cs typeface="+mn-cs"/>
            </a:endParaRPr>
          </a:p>
        </xdr:txBody>
      </xdr:sp>
      <xdr:sp macro="" textlink="Combat2!DV8">
        <xdr:nvSpPr>
          <xdr:cNvPr id="218" name="TextBox 217">
            <a:extLst>
              <a:ext uri="{FF2B5EF4-FFF2-40B4-BE49-F238E27FC236}">
                <a16:creationId xmlns:a16="http://schemas.microsoft.com/office/drawing/2014/main" id="{00000000-0008-0000-0400-0000DA000000}"/>
              </a:ext>
            </a:extLst>
          </xdr:cNvPr>
          <xdr:cNvSpPr txBox="1"/>
        </xdr:nvSpPr>
        <xdr:spPr>
          <a:xfrm>
            <a:off x="4366260" y="5387340"/>
            <a:ext cx="1272539" cy="398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DFAA210E-401F-40A4-806B-C6E9AEFACF9C}" type="TxLink">
              <a:rPr lang="en-US" sz="1100" u="none">
                <a:ln>
                  <a:noFill/>
                </a:ln>
                <a:solidFill>
                  <a:srgbClr val="ABABAB"/>
                </a:solidFill>
                <a:latin typeface="+mn-lt"/>
                <a:ea typeface="+mn-ea"/>
                <a:cs typeface="+mn-cs"/>
              </a:rPr>
              <a:pPr marL="0" indent="0" algn="l"/>
              <a:t>Arthus</a:t>
            </a:fld>
            <a:endParaRPr lang="en-GB" sz="1100" u="none">
              <a:ln>
                <a:noFill/>
              </a:ln>
              <a:solidFill>
                <a:srgbClr val="ABABAB"/>
              </a:solidFill>
              <a:latin typeface="+mn-lt"/>
              <a:ea typeface="+mn-ea"/>
              <a:cs typeface="+mn-cs"/>
            </a:endParaRPr>
          </a:p>
        </xdr:txBody>
      </xdr:sp>
      <xdr:sp macro="" textlink="Combat2!DV7">
        <xdr:nvSpPr>
          <xdr:cNvPr id="219" name="TextBox 218">
            <a:extLst>
              <a:ext uri="{FF2B5EF4-FFF2-40B4-BE49-F238E27FC236}">
                <a16:creationId xmlns:a16="http://schemas.microsoft.com/office/drawing/2014/main" id="{00000000-0008-0000-0400-0000DB000000}"/>
              </a:ext>
            </a:extLst>
          </xdr:cNvPr>
          <xdr:cNvSpPr txBox="1"/>
        </xdr:nvSpPr>
        <xdr:spPr>
          <a:xfrm>
            <a:off x="4366260" y="5760720"/>
            <a:ext cx="1272539" cy="398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82BE23FF-F0E5-4B01-BE08-6FE25BC5CD42}" type="TxLink">
              <a:rPr lang="en-US" sz="1100" u="none">
                <a:ln>
                  <a:noFill/>
                </a:ln>
                <a:solidFill>
                  <a:srgbClr val="ABABAB"/>
                </a:solidFill>
                <a:latin typeface="+mn-lt"/>
                <a:ea typeface="+mn-ea"/>
                <a:cs typeface="+mn-cs"/>
              </a:rPr>
              <a:pPr marL="0" indent="0" algn="l"/>
              <a:t>Bylo</a:t>
            </a:fld>
            <a:endParaRPr lang="en-GB" sz="1100" u="none">
              <a:ln>
                <a:noFill/>
              </a:ln>
              <a:solidFill>
                <a:srgbClr val="ABABAB"/>
              </a:solidFill>
              <a:latin typeface="+mn-lt"/>
              <a:ea typeface="+mn-ea"/>
              <a:cs typeface="+mn-cs"/>
            </a:endParaRPr>
          </a:p>
        </xdr:txBody>
      </xdr:sp>
      <xdr:sp macro="" textlink="Combat2!DV6">
        <xdr:nvSpPr>
          <xdr:cNvPr id="221" name="TextBox 220">
            <a:extLst>
              <a:ext uri="{FF2B5EF4-FFF2-40B4-BE49-F238E27FC236}">
                <a16:creationId xmlns:a16="http://schemas.microsoft.com/office/drawing/2014/main" id="{00000000-0008-0000-0400-0000DD000000}"/>
              </a:ext>
            </a:extLst>
          </xdr:cNvPr>
          <xdr:cNvSpPr txBox="1"/>
        </xdr:nvSpPr>
        <xdr:spPr>
          <a:xfrm>
            <a:off x="4366260" y="6172200"/>
            <a:ext cx="1272539" cy="398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99F6328-7A15-41E0-84C0-9E1C49E142D7}" type="TxLink">
              <a:rPr lang="en-US" sz="1100" u="none">
                <a:ln>
                  <a:noFill/>
                </a:ln>
                <a:solidFill>
                  <a:srgbClr val="ABABAB"/>
                </a:solidFill>
                <a:latin typeface="+mn-lt"/>
                <a:ea typeface="+mn-ea"/>
                <a:cs typeface="+mn-cs"/>
              </a:rPr>
              <a:pPr marL="0" indent="0" algn="l"/>
              <a:t>Angatparul</a:t>
            </a:fld>
            <a:endParaRPr lang="en-GB" sz="1100" u="none">
              <a:ln>
                <a:noFill/>
              </a:ln>
              <a:solidFill>
                <a:srgbClr val="ABABAB"/>
              </a:solidFill>
              <a:latin typeface="+mn-lt"/>
              <a:ea typeface="+mn-ea"/>
              <a:cs typeface="+mn-cs"/>
            </a:endParaRPr>
          </a:p>
        </xdr:txBody>
      </xdr:sp>
      <xdr:sp macro="" textlink="Combat2!DZ6">
        <xdr:nvSpPr>
          <xdr:cNvPr id="222" name="TextBox 221">
            <a:extLst>
              <a:ext uri="{FF2B5EF4-FFF2-40B4-BE49-F238E27FC236}">
                <a16:creationId xmlns:a16="http://schemas.microsoft.com/office/drawing/2014/main" id="{00000000-0008-0000-0400-0000DE000000}"/>
              </a:ext>
            </a:extLst>
          </xdr:cNvPr>
          <xdr:cNvSpPr txBox="1"/>
        </xdr:nvSpPr>
        <xdr:spPr>
          <a:xfrm>
            <a:off x="5882143" y="3870961"/>
            <a:ext cx="723901"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1FD24B1-64F1-4B0A-9B91-4DDBD2D4CCEF}" type="TxLink">
              <a:rPr lang="en-US" sz="1400" b="0" i="0" u="none" strike="noStrike">
                <a:ln>
                  <a:noFill/>
                </a:ln>
                <a:solidFill>
                  <a:schemeClr val="bg1"/>
                </a:solidFill>
                <a:latin typeface="Calibri"/>
                <a:ea typeface="+mn-ea"/>
                <a:cs typeface="Calibri"/>
              </a:rPr>
              <a:pPr algn="ctr"/>
              <a:t>299</a:t>
            </a:fld>
            <a:endParaRPr lang="en-GB" sz="2000" u="none">
              <a:ln>
                <a:noFill/>
              </a:ln>
              <a:solidFill>
                <a:schemeClr val="bg1"/>
              </a:solidFill>
              <a:latin typeface="+mn-lt"/>
              <a:ea typeface="+mn-ea"/>
              <a:cs typeface="+mn-cs"/>
            </a:endParaRPr>
          </a:p>
        </xdr:txBody>
      </xdr:sp>
    </xdr:grpSp>
    <xdr:clientData/>
  </xdr:twoCellAnchor>
  <xdr:twoCellAnchor>
    <xdr:from>
      <xdr:col>12</xdr:col>
      <xdr:colOff>571500</xdr:colOff>
      <xdr:row>20</xdr:row>
      <xdr:rowOff>144780</xdr:rowOff>
    </xdr:from>
    <xdr:to>
      <xdr:col>15</xdr:col>
      <xdr:colOff>373380</xdr:colOff>
      <xdr:row>35</xdr:row>
      <xdr:rowOff>101880</xdr:rowOff>
    </xdr:to>
    <xdr:sp macro="" textlink="">
      <xdr:nvSpPr>
        <xdr:cNvPr id="188" name="Rectangle: Rounded Corners 187">
          <a:extLst>
            <a:ext uri="{FF2B5EF4-FFF2-40B4-BE49-F238E27FC236}">
              <a16:creationId xmlns:a16="http://schemas.microsoft.com/office/drawing/2014/main" id="{00000000-0008-0000-0400-0000BC000000}"/>
            </a:ext>
          </a:extLst>
        </xdr:cNvPr>
        <xdr:cNvSpPr/>
      </xdr:nvSpPr>
      <xdr:spPr>
        <a:xfrm>
          <a:off x="7886700" y="3802380"/>
          <a:ext cx="1630680" cy="2700300"/>
        </a:xfrm>
        <a:prstGeom prst="roundRect">
          <a:avLst>
            <a:gd name="adj" fmla="val 5733"/>
          </a:avLst>
        </a:prstGeom>
        <a:solidFill>
          <a:srgbClr val="232423"/>
        </a:solidFill>
        <a:ln w="19050">
          <a:solidFill>
            <a:srgbClr val="BB434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clientData/>
  </xdr:twoCellAnchor>
  <xdr:twoCellAnchor>
    <xdr:from>
      <xdr:col>9</xdr:col>
      <xdr:colOff>601980</xdr:colOff>
      <xdr:row>25</xdr:row>
      <xdr:rowOff>38100</xdr:rowOff>
    </xdr:from>
    <xdr:to>
      <xdr:col>14</xdr:col>
      <xdr:colOff>0</xdr:colOff>
      <xdr:row>35</xdr:row>
      <xdr:rowOff>101880</xdr:rowOff>
    </xdr:to>
    <xdr:sp macro="" textlink="">
      <xdr:nvSpPr>
        <xdr:cNvPr id="189" name="Rectangle: Rounded Corners 188">
          <a:extLst>
            <a:ext uri="{FF2B5EF4-FFF2-40B4-BE49-F238E27FC236}">
              <a16:creationId xmlns:a16="http://schemas.microsoft.com/office/drawing/2014/main" id="{00000000-0008-0000-0400-0000BD000000}"/>
            </a:ext>
          </a:extLst>
        </xdr:cNvPr>
        <xdr:cNvSpPr/>
      </xdr:nvSpPr>
      <xdr:spPr>
        <a:xfrm>
          <a:off x="6088380" y="4610100"/>
          <a:ext cx="2446020" cy="1892580"/>
        </a:xfrm>
        <a:prstGeom prst="roundRect">
          <a:avLst>
            <a:gd name="adj" fmla="val 5733"/>
          </a:avLst>
        </a:prstGeom>
        <a:solidFill>
          <a:srgbClr val="232423"/>
        </a:solidFill>
        <a:ln w="19050">
          <a:solidFill>
            <a:srgbClr val="BB434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clientData/>
  </xdr:twoCellAnchor>
  <xdr:twoCellAnchor>
    <xdr:from>
      <xdr:col>12</xdr:col>
      <xdr:colOff>419100</xdr:colOff>
      <xdr:row>21</xdr:row>
      <xdr:rowOff>1</xdr:rowOff>
    </xdr:from>
    <xdr:to>
      <xdr:col>15</xdr:col>
      <xdr:colOff>413725</xdr:colOff>
      <xdr:row>23</xdr:row>
      <xdr:rowOff>53341</xdr:rowOff>
    </xdr:to>
    <xdr:sp macro="" textlink="">
      <xdr:nvSpPr>
        <xdr:cNvPr id="191" name="TextBox 190">
          <a:extLst>
            <a:ext uri="{FF2B5EF4-FFF2-40B4-BE49-F238E27FC236}">
              <a16:creationId xmlns:a16="http://schemas.microsoft.com/office/drawing/2014/main" id="{00000000-0008-0000-0400-0000BF000000}"/>
            </a:ext>
          </a:extLst>
        </xdr:cNvPr>
        <xdr:cNvSpPr txBox="1"/>
      </xdr:nvSpPr>
      <xdr:spPr>
        <a:xfrm>
          <a:off x="7734300" y="3840481"/>
          <a:ext cx="18234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u="none">
              <a:ln>
                <a:noFill/>
              </a:ln>
              <a:solidFill>
                <a:srgbClr val="ABABAB"/>
              </a:solidFill>
              <a:latin typeface="+mn-lt"/>
              <a:ea typeface="+mn-ea"/>
              <a:cs typeface="+mn-cs"/>
            </a:rPr>
            <a:t>Dmg mitigated</a:t>
          </a:r>
        </a:p>
        <a:p>
          <a:pPr algn="ctr"/>
          <a:endParaRPr lang="en-GB" sz="1600" u="none">
            <a:ln>
              <a:noFill/>
            </a:ln>
            <a:solidFill>
              <a:srgbClr val="ABABAB"/>
            </a:solidFill>
            <a:latin typeface="+mn-lt"/>
            <a:ea typeface="+mn-ea"/>
            <a:cs typeface="+mn-cs"/>
          </a:endParaRPr>
        </a:p>
      </xdr:txBody>
    </xdr:sp>
    <xdr:clientData/>
  </xdr:twoCellAnchor>
  <xdr:twoCellAnchor>
    <xdr:from>
      <xdr:col>14</xdr:col>
      <xdr:colOff>30480</xdr:colOff>
      <xdr:row>32</xdr:row>
      <xdr:rowOff>137161</xdr:rowOff>
    </xdr:from>
    <xdr:to>
      <xdr:col>15</xdr:col>
      <xdr:colOff>205740</xdr:colOff>
      <xdr:row>35</xdr:row>
      <xdr:rowOff>7621</xdr:rowOff>
    </xdr:to>
    <xdr:sp macro="" textlink="">
      <xdr:nvSpPr>
        <xdr:cNvPr id="192" name="TextBox 191">
          <a:extLst>
            <a:ext uri="{FF2B5EF4-FFF2-40B4-BE49-F238E27FC236}">
              <a16:creationId xmlns:a16="http://schemas.microsoft.com/office/drawing/2014/main" id="{00000000-0008-0000-0400-0000C0000000}"/>
            </a:ext>
          </a:extLst>
        </xdr:cNvPr>
        <xdr:cNvSpPr txBox="1"/>
      </xdr:nvSpPr>
      <xdr:spPr>
        <a:xfrm>
          <a:off x="8564880" y="5989321"/>
          <a:ext cx="784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u="none">
              <a:ln>
                <a:noFill/>
              </a:ln>
              <a:solidFill>
                <a:srgbClr val="ABABAB"/>
              </a:solidFill>
              <a:latin typeface="+mn-lt"/>
              <a:ea typeface="+mn-ea"/>
              <a:cs typeface="+mn-cs"/>
            </a:rPr>
            <a:t>Total</a:t>
          </a:r>
          <a:r>
            <a:rPr lang="en-GB" sz="1600" u="none" baseline="0">
              <a:ln>
                <a:noFill/>
              </a:ln>
              <a:solidFill>
                <a:srgbClr val="ABABAB"/>
              </a:solidFill>
              <a:latin typeface="+mn-lt"/>
              <a:ea typeface="+mn-ea"/>
              <a:cs typeface="+mn-cs"/>
            </a:rPr>
            <a:t> #</a:t>
          </a:r>
          <a:endParaRPr lang="en-GB" sz="1600" u="none">
            <a:ln>
              <a:noFill/>
            </a:ln>
            <a:solidFill>
              <a:srgbClr val="ABABAB"/>
            </a:solidFill>
            <a:latin typeface="+mn-lt"/>
            <a:ea typeface="+mn-ea"/>
            <a:cs typeface="+mn-cs"/>
          </a:endParaRPr>
        </a:p>
        <a:p>
          <a:pPr algn="ctr"/>
          <a:endParaRPr lang="en-GB" sz="1600" u="none">
            <a:ln>
              <a:noFill/>
            </a:ln>
            <a:solidFill>
              <a:srgbClr val="ABABAB"/>
            </a:solidFill>
            <a:latin typeface="+mn-lt"/>
            <a:ea typeface="+mn-ea"/>
            <a:cs typeface="+mn-cs"/>
          </a:endParaRPr>
        </a:p>
      </xdr:txBody>
    </xdr:sp>
    <xdr:clientData/>
  </xdr:twoCellAnchor>
  <xdr:twoCellAnchor>
    <xdr:from>
      <xdr:col>13</xdr:col>
      <xdr:colOff>480060</xdr:colOff>
      <xdr:row>24</xdr:row>
      <xdr:rowOff>106681</xdr:rowOff>
    </xdr:from>
    <xdr:to>
      <xdr:col>15</xdr:col>
      <xdr:colOff>45720</xdr:colOff>
      <xdr:row>26</xdr:row>
      <xdr:rowOff>160021</xdr:rowOff>
    </xdr:to>
    <xdr:sp macro="" textlink="">
      <xdr:nvSpPr>
        <xdr:cNvPr id="193" name="TextBox 192">
          <a:extLst>
            <a:ext uri="{FF2B5EF4-FFF2-40B4-BE49-F238E27FC236}">
              <a16:creationId xmlns:a16="http://schemas.microsoft.com/office/drawing/2014/main" id="{00000000-0008-0000-0400-0000C1000000}"/>
            </a:ext>
          </a:extLst>
        </xdr:cNvPr>
        <xdr:cNvSpPr txBox="1"/>
      </xdr:nvSpPr>
      <xdr:spPr>
        <a:xfrm>
          <a:off x="8404860" y="4495801"/>
          <a:ext cx="784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u="none">
              <a:ln>
                <a:noFill/>
              </a:ln>
              <a:solidFill>
                <a:srgbClr val="ABABAB"/>
              </a:solidFill>
              <a:latin typeface="+mn-lt"/>
              <a:ea typeface="+mn-ea"/>
              <a:cs typeface="+mn-cs"/>
            </a:rPr>
            <a:t>Rage</a:t>
          </a:r>
        </a:p>
        <a:p>
          <a:pPr algn="ctr"/>
          <a:endParaRPr lang="en-GB" sz="1600" u="none">
            <a:ln>
              <a:noFill/>
            </a:ln>
            <a:solidFill>
              <a:srgbClr val="ABABAB"/>
            </a:solidFill>
            <a:latin typeface="+mn-lt"/>
            <a:ea typeface="+mn-ea"/>
            <a:cs typeface="+mn-cs"/>
          </a:endParaRPr>
        </a:p>
        <a:p>
          <a:pPr algn="ctr"/>
          <a:endParaRPr lang="en-GB" sz="1600" u="none">
            <a:ln>
              <a:noFill/>
            </a:ln>
            <a:solidFill>
              <a:srgbClr val="ABABAB"/>
            </a:solidFill>
            <a:latin typeface="+mn-lt"/>
            <a:ea typeface="+mn-ea"/>
            <a:cs typeface="+mn-cs"/>
          </a:endParaRPr>
        </a:p>
      </xdr:txBody>
    </xdr:sp>
    <xdr:clientData/>
  </xdr:twoCellAnchor>
  <xdr:twoCellAnchor>
    <xdr:from>
      <xdr:col>13</xdr:col>
      <xdr:colOff>434340</xdr:colOff>
      <xdr:row>27</xdr:row>
      <xdr:rowOff>45721</xdr:rowOff>
    </xdr:from>
    <xdr:to>
      <xdr:col>15</xdr:col>
      <xdr:colOff>358140</xdr:colOff>
      <xdr:row>29</xdr:row>
      <xdr:rowOff>99061</xdr:rowOff>
    </xdr:to>
    <xdr:sp macro="" textlink="">
      <xdr:nvSpPr>
        <xdr:cNvPr id="194" name="TextBox 193">
          <a:extLst>
            <a:ext uri="{FF2B5EF4-FFF2-40B4-BE49-F238E27FC236}">
              <a16:creationId xmlns:a16="http://schemas.microsoft.com/office/drawing/2014/main" id="{00000000-0008-0000-0400-0000C2000000}"/>
            </a:ext>
          </a:extLst>
        </xdr:cNvPr>
        <xdr:cNvSpPr txBox="1"/>
      </xdr:nvSpPr>
      <xdr:spPr>
        <a:xfrm>
          <a:off x="8359140" y="4983481"/>
          <a:ext cx="1143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u="none">
              <a:ln>
                <a:noFill/>
              </a:ln>
              <a:solidFill>
                <a:srgbClr val="ABABAB"/>
              </a:solidFill>
              <a:latin typeface="+mn-lt"/>
              <a:ea typeface="+mn-ea"/>
              <a:cs typeface="+mn-cs"/>
            </a:rPr>
            <a:t>Brace up</a:t>
          </a:r>
        </a:p>
        <a:p>
          <a:pPr algn="ctr"/>
          <a:endParaRPr lang="en-GB" sz="1600" u="none">
            <a:ln>
              <a:noFill/>
            </a:ln>
            <a:solidFill>
              <a:srgbClr val="ABABAB"/>
            </a:solidFill>
            <a:latin typeface="+mn-lt"/>
            <a:ea typeface="+mn-ea"/>
            <a:cs typeface="+mn-cs"/>
          </a:endParaRPr>
        </a:p>
        <a:p>
          <a:pPr algn="ctr"/>
          <a:endParaRPr lang="en-GB" sz="1600" u="none">
            <a:ln>
              <a:noFill/>
            </a:ln>
            <a:solidFill>
              <a:srgbClr val="ABABAB"/>
            </a:solidFill>
            <a:latin typeface="+mn-lt"/>
            <a:ea typeface="+mn-ea"/>
            <a:cs typeface="+mn-cs"/>
          </a:endParaRPr>
        </a:p>
        <a:p>
          <a:pPr algn="ctr"/>
          <a:endParaRPr lang="en-GB" sz="1600" u="none">
            <a:ln>
              <a:noFill/>
            </a:ln>
            <a:solidFill>
              <a:srgbClr val="ABABAB"/>
            </a:solidFill>
            <a:latin typeface="+mn-lt"/>
            <a:ea typeface="+mn-ea"/>
            <a:cs typeface="+mn-cs"/>
          </a:endParaRPr>
        </a:p>
      </xdr:txBody>
    </xdr:sp>
    <xdr:clientData/>
  </xdr:twoCellAnchor>
  <xdr:twoCellAnchor>
    <xdr:from>
      <xdr:col>14</xdr:col>
      <xdr:colOff>381000</xdr:colOff>
      <xdr:row>28</xdr:row>
      <xdr:rowOff>144781</xdr:rowOff>
    </xdr:from>
    <xdr:to>
      <xdr:col>15</xdr:col>
      <xdr:colOff>556260</xdr:colOff>
      <xdr:row>31</xdr:row>
      <xdr:rowOff>15241</xdr:rowOff>
    </xdr:to>
    <xdr:sp macro="" textlink="">
      <xdr:nvSpPr>
        <xdr:cNvPr id="195" name="TextBox 194">
          <a:extLst>
            <a:ext uri="{FF2B5EF4-FFF2-40B4-BE49-F238E27FC236}">
              <a16:creationId xmlns:a16="http://schemas.microsoft.com/office/drawing/2014/main" id="{00000000-0008-0000-0400-0000C3000000}"/>
            </a:ext>
          </a:extLst>
        </xdr:cNvPr>
        <xdr:cNvSpPr txBox="1"/>
      </xdr:nvSpPr>
      <xdr:spPr>
        <a:xfrm>
          <a:off x="8915400" y="5265421"/>
          <a:ext cx="784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u="none">
              <a:ln>
                <a:noFill/>
              </a:ln>
              <a:solidFill>
                <a:srgbClr val="ABABAB"/>
              </a:solidFill>
              <a:latin typeface="+mn-lt"/>
              <a:ea typeface="+mn-ea"/>
              <a:cs typeface="+mn-cs"/>
            </a:rPr>
            <a:t>#</a:t>
          </a:r>
        </a:p>
        <a:p>
          <a:pPr algn="ctr"/>
          <a:endParaRPr lang="en-GB" sz="1600" u="none">
            <a:ln>
              <a:noFill/>
            </a:ln>
            <a:solidFill>
              <a:srgbClr val="ABABAB"/>
            </a:solidFill>
            <a:latin typeface="+mn-lt"/>
            <a:ea typeface="+mn-ea"/>
            <a:cs typeface="+mn-cs"/>
          </a:endParaRPr>
        </a:p>
        <a:p>
          <a:pPr algn="ctr"/>
          <a:endParaRPr lang="en-GB" sz="1600" u="none">
            <a:ln>
              <a:noFill/>
            </a:ln>
            <a:solidFill>
              <a:srgbClr val="ABABAB"/>
            </a:solidFill>
            <a:latin typeface="+mn-lt"/>
            <a:ea typeface="+mn-ea"/>
            <a:cs typeface="+mn-cs"/>
          </a:endParaRPr>
        </a:p>
      </xdr:txBody>
    </xdr:sp>
    <xdr:clientData/>
  </xdr:twoCellAnchor>
  <xdr:twoCellAnchor>
    <xdr:from>
      <xdr:col>14</xdr:col>
      <xdr:colOff>373380</xdr:colOff>
      <xdr:row>25</xdr:row>
      <xdr:rowOff>106681</xdr:rowOff>
    </xdr:from>
    <xdr:to>
      <xdr:col>15</xdr:col>
      <xdr:colOff>548640</xdr:colOff>
      <xdr:row>27</xdr:row>
      <xdr:rowOff>160021</xdr:rowOff>
    </xdr:to>
    <xdr:sp macro="" textlink="">
      <xdr:nvSpPr>
        <xdr:cNvPr id="196" name="TextBox 195">
          <a:extLst>
            <a:ext uri="{FF2B5EF4-FFF2-40B4-BE49-F238E27FC236}">
              <a16:creationId xmlns:a16="http://schemas.microsoft.com/office/drawing/2014/main" id="{00000000-0008-0000-0400-0000C4000000}"/>
            </a:ext>
          </a:extLst>
        </xdr:cNvPr>
        <xdr:cNvSpPr txBox="1"/>
      </xdr:nvSpPr>
      <xdr:spPr>
        <a:xfrm>
          <a:off x="8907780" y="4678681"/>
          <a:ext cx="784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u="none">
              <a:ln>
                <a:noFill/>
              </a:ln>
              <a:solidFill>
                <a:srgbClr val="ABABAB"/>
              </a:solidFill>
              <a:latin typeface="+mn-lt"/>
              <a:ea typeface="+mn-ea"/>
              <a:cs typeface="+mn-cs"/>
            </a:rPr>
            <a:t>#</a:t>
          </a:r>
        </a:p>
        <a:p>
          <a:pPr algn="ctr"/>
          <a:endParaRPr lang="en-GB" sz="1600" u="none">
            <a:ln>
              <a:noFill/>
            </a:ln>
            <a:solidFill>
              <a:srgbClr val="ABABAB"/>
            </a:solidFill>
            <a:latin typeface="+mn-lt"/>
            <a:ea typeface="+mn-ea"/>
            <a:cs typeface="+mn-cs"/>
          </a:endParaRPr>
        </a:p>
        <a:p>
          <a:pPr algn="ctr"/>
          <a:endParaRPr lang="en-GB" sz="1600" u="none">
            <a:ln>
              <a:noFill/>
            </a:ln>
            <a:solidFill>
              <a:srgbClr val="ABABAB"/>
            </a:solidFill>
            <a:latin typeface="+mn-lt"/>
            <a:ea typeface="+mn-ea"/>
            <a:cs typeface="+mn-cs"/>
          </a:endParaRPr>
        </a:p>
      </xdr:txBody>
    </xdr:sp>
    <xdr:clientData/>
  </xdr:twoCellAnchor>
  <xdr:twoCellAnchor>
    <xdr:from>
      <xdr:col>10</xdr:col>
      <xdr:colOff>121920</xdr:colOff>
      <xdr:row>25</xdr:row>
      <xdr:rowOff>106680</xdr:rowOff>
    </xdr:from>
    <xdr:to>
      <xdr:col>13</xdr:col>
      <xdr:colOff>449580</xdr:colOff>
      <xdr:row>31</xdr:row>
      <xdr:rowOff>0</xdr:rowOff>
    </xdr:to>
    <xdr:sp macro="" textlink="">
      <xdr:nvSpPr>
        <xdr:cNvPr id="200" name="TextBox 199">
          <a:extLst>
            <a:ext uri="{FF2B5EF4-FFF2-40B4-BE49-F238E27FC236}">
              <a16:creationId xmlns:a16="http://schemas.microsoft.com/office/drawing/2014/main" id="{00000000-0008-0000-0400-0000C8000000}"/>
            </a:ext>
          </a:extLst>
        </xdr:cNvPr>
        <xdr:cNvSpPr txBox="1"/>
      </xdr:nvSpPr>
      <xdr:spPr>
        <a:xfrm>
          <a:off x="6217920" y="4678680"/>
          <a:ext cx="2156460" cy="990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u="none">
              <a:ln>
                <a:noFill/>
              </a:ln>
              <a:solidFill>
                <a:srgbClr val="ABABAB"/>
              </a:solidFill>
              <a:latin typeface="+mn-lt"/>
              <a:ea typeface="+mn-ea"/>
              <a:cs typeface="+mn-cs"/>
            </a:rPr>
            <a:t>Significant</a:t>
          </a:r>
        </a:p>
        <a:p>
          <a:pPr algn="ctr"/>
          <a:r>
            <a:rPr lang="en-GB" sz="1600" u="none">
              <a:ln>
                <a:noFill/>
              </a:ln>
              <a:solidFill>
                <a:srgbClr val="ABABAB"/>
              </a:solidFill>
              <a:latin typeface="+mn-lt"/>
              <a:ea typeface="+mn-ea"/>
              <a:cs typeface="+mn-cs"/>
            </a:rPr>
            <a:t>Actions</a:t>
          </a:r>
          <a:r>
            <a:rPr lang="en-GB" sz="1600" u="none" baseline="0">
              <a:ln>
                <a:noFill/>
              </a:ln>
              <a:solidFill>
                <a:srgbClr val="ABABAB"/>
              </a:solidFill>
              <a:latin typeface="+mn-lt"/>
              <a:ea typeface="+mn-ea"/>
              <a:cs typeface="+mn-cs"/>
            </a:rPr>
            <a:t> &amp; Reactions</a:t>
          </a:r>
          <a:endParaRPr lang="en-GB" sz="1600" u="none">
            <a:ln>
              <a:noFill/>
            </a:ln>
            <a:solidFill>
              <a:srgbClr val="ABABAB"/>
            </a:solidFill>
            <a:latin typeface="+mn-lt"/>
            <a:ea typeface="+mn-ea"/>
            <a:cs typeface="+mn-cs"/>
          </a:endParaRPr>
        </a:p>
        <a:p>
          <a:pPr algn="ctr"/>
          <a:r>
            <a:rPr lang="en-GB" sz="1600" u="none">
              <a:ln>
                <a:noFill/>
              </a:ln>
              <a:solidFill>
                <a:srgbClr val="ABABAB"/>
              </a:solidFill>
              <a:latin typeface="+mn-lt"/>
              <a:ea typeface="+mn-ea"/>
              <a:cs typeface="+mn-cs"/>
            </a:rPr>
            <a:t>Feats</a:t>
          </a:r>
        </a:p>
        <a:p>
          <a:pPr algn="ctr"/>
          <a:endParaRPr lang="en-GB" sz="1600" u="none">
            <a:ln>
              <a:noFill/>
            </a:ln>
            <a:solidFill>
              <a:srgbClr val="ABABAB"/>
            </a:solidFill>
            <a:latin typeface="+mn-lt"/>
            <a:ea typeface="+mn-ea"/>
            <a:cs typeface="+mn-cs"/>
          </a:endParaRPr>
        </a:p>
        <a:p>
          <a:pPr algn="ctr"/>
          <a:endParaRPr lang="en-GB" sz="1600" u="none">
            <a:ln>
              <a:noFill/>
            </a:ln>
            <a:solidFill>
              <a:srgbClr val="ABABAB"/>
            </a:solidFill>
            <a:latin typeface="+mn-lt"/>
            <a:ea typeface="+mn-ea"/>
            <a:cs typeface="+mn-cs"/>
          </a:endParaRPr>
        </a:p>
      </xdr:txBody>
    </xdr:sp>
    <xdr:clientData/>
  </xdr:twoCellAnchor>
  <xdr:twoCellAnchor>
    <xdr:from>
      <xdr:col>16</xdr:col>
      <xdr:colOff>191134</xdr:colOff>
      <xdr:row>32</xdr:row>
      <xdr:rowOff>14560</xdr:rowOff>
    </xdr:from>
    <xdr:to>
      <xdr:col>22</xdr:col>
      <xdr:colOff>442258</xdr:colOff>
      <xdr:row>36</xdr:row>
      <xdr:rowOff>155619</xdr:rowOff>
    </xdr:to>
    <xdr:grpSp>
      <xdr:nvGrpSpPr>
        <xdr:cNvPr id="247" name="Tabs Group">
          <a:extLst>
            <a:ext uri="{FF2B5EF4-FFF2-40B4-BE49-F238E27FC236}">
              <a16:creationId xmlns:a16="http://schemas.microsoft.com/office/drawing/2014/main" id="{00000000-0008-0000-0400-0000F7000000}"/>
            </a:ext>
          </a:extLst>
        </xdr:cNvPr>
        <xdr:cNvGrpSpPr/>
      </xdr:nvGrpSpPr>
      <xdr:grpSpPr>
        <a:xfrm>
          <a:off x="9944734" y="5866720"/>
          <a:ext cx="3908724" cy="872579"/>
          <a:chOff x="9944734" y="5866720"/>
          <a:chExt cx="3908724" cy="872579"/>
        </a:xfrm>
      </xdr:grpSpPr>
      <xdr:sp macro="" textlink="">
        <xdr:nvSpPr>
          <xdr:cNvPr id="134" name="Rectangle: Rounded Corners 133">
            <a:extLst>
              <a:ext uri="{FF2B5EF4-FFF2-40B4-BE49-F238E27FC236}">
                <a16:creationId xmlns:a16="http://schemas.microsoft.com/office/drawing/2014/main" id="{00000000-0008-0000-0400-000086000000}"/>
              </a:ext>
            </a:extLst>
          </xdr:cNvPr>
          <xdr:cNvSpPr/>
        </xdr:nvSpPr>
        <xdr:spPr>
          <a:xfrm>
            <a:off x="10340341" y="5866720"/>
            <a:ext cx="3262312" cy="746252"/>
          </a:xfrm>
          <a:prstGeom prst="roundRect">
            <a:avLst/>
          </a:prstGeom>
          <a:solidFill>
            <a:srgbClr val="23242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sp macro="" textlink="">
        <xdr:nvSpPr>
          <xdr:cNvPr id="141" name="Rectangle: Rounded Corners 140">
            <a:extLst>
              <a:ext uri="{FF2B5EF4-FFF2-40B4-BE49-F238E27FC236}">
                <a16:creationId xmlns:a16="http://schemas.microsoft.com/office/drawing/2014/main" id="{00000000-0008-0000-0400-00008D000000}"/>
              </a:ext>
            </a:extLst>
          </xdr:cNvPr>
          <xdr:cNvSpPr/>
        </xdr:nvSpPr>
        <xdr:spPr>
          <a:xfrm rot="5400000">
            <a:off x="12857756" y="5864937"/>
            <a:ext cx="415106" cy="895309"/>
          </a:xfrm>
          <a:prstGeom prst="roundRect">
            <a:avLst/>
          </a:prstGeom>
          <a:solidFill>
            <a:srgbClr val="3039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sp macro="" textlink="">
        <xdr:nvSpPr>
          <xdr:cNvPr id="144" name="Rectangle: Rounded Corners 143">
            <a:extLst>
              <a:ext uri="{FF2B5EF4-FFF2-40B4-BE49-F238E27FC236}">
                <a16:creationId xmlns:a16="http://schemas.microsoft.com/office/drawing/2014/main" id="{00000000-0008-0000-0400-000090000000}"/>
              </a:ext>
            </a:extLst>
          </xdr:cNvPr>
          <xdr:cNvSpPr/>
        </xdr:nvSpPr>
        <xdr:spPr>
          <a:xfrm rot="5400000">
            <a:off x="10644992" y="5792371"/>
            <a:ext cx="605956" cy="895309"/>
          </a:xfrm>
          <a:prstGeom prst="roundRect">
            <a:avLst/>
          </a:prstGeom>
          <a:solidFill>
            <a:srgbClr val="51607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sp macro="" textlink="Character_selector!AD5">
        <xdr:nvSpPr>
          <xdr:cNvPr id="142" name="TextBox 141">
            <a:extLst>
              <a:ext uri="{FF2B5EF4-FFF2-40B4-BE49-F238E27FC236}">
                <a16:creationId xmlns:a16="http://schemas.microsoft.com/office/drawing/2014/main" id="{00000000-0008-0000-0400-00008E000000}"/>
              </a:ext>
            </a:extLst>
          </xdr:cNvPr>
          <xdr:cNvSpPr txBox="1"/>
        </xdr:nvSpPr>
        <xdr:spPr>
          <a:xfrm>
            <a:off x="9944734" y="6209381"/>
            <a:ext cx="2012820" cy="529918"/>
          </a:xfrm>
          <a:prstGeom prst="rect">
            <a:avLst/>
          </a:prstGeom>
          <a:noFill/>
          <a:ln w="3810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u="none">
                <a:ln>
                  <a:noFill/>
                </a:ln>
                <a:solidFill>
                  <a:schemeClr val="bg1"/>
                </a:solidFill>
              </a:rPr>
              <a:t>Allies</a:t>
            </a:r>
          </a:p>
        </xdr:txBody>
      </xdr:sp>
      <xdr:sp macro="" textlink="Character_selector!AD5">
        <xdr:nvSpPr>
          <xdr:cNvPr id="143" name="TextBox 142">
            <a:extLst>
              <a:ext uri="{FF2B5EF4-FFF2-40B4-BE49-F238E27FC236}">
                <a16:creationId xmlns:a16="http://schemas.microsoft.com/office/drawing/2014/main" id="{00000000-0008-0000-0400-00008F000000}"/>
              </a:ext>
            </a:extLst>
          </xdr:cNvPr>
          <xdr:cNvSpPr txBox="1"/>
        </xdr:nvSpPr>
        <xdr:spPr>
          <a:xfrm>
            <a:off x="12253730" y="6002976"/>
            <a:ext cx="1599728" cy="679763"/>
          </a:xfrm>
          <a:prstGeom prst="rect">
            <a:avLst/>
          </a:prstGeom>
          <a:noFill/>
          <a:ln w="3810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u="none">
                <a:ln>
                  <a:noFill/>
                </a:ln>
                <a:solidFill>
                  <a:schemeClr val="bg1"/>
                </a:solidFill>
              </a:rPr>
              <a:t>Out</a:t>
            </a:r>
            <a:r>
              <a:rPr lang="en-GB" sz="1600" u="none" baseline="0">
                <a:ln>
                  <a:noFill/>
                </a:ln>
                <a:solidFill>
                  <a:schemeClr val="bg1"/>
                </a:solidFill>
              </a:rPr>
              <a:t> of</a:t>
            </a:r>
          </a:p>
          <a:p>
            <a:pPr algn="ctr"/>
            <a:r>
              <a:rPr lang="en-GB" sz="1600" u="none" baseline="0">
                <a:ln>
                  <a:noFill/>
                </a:ln>
                <a:solidFill>
                  <a:schemeClr val="bg1"/>
                </a:solidFill>
              </a:rPr>
              <a:t> combat</a:t>
            </a:r>
          </a:p>
          <a:p>
            <a:pPr algn="ctr"/>
            <a:endParaRPr lang="en-GB" sz="1600" u="none">
              <a:ln>
                <a:noFill/>
              </a:ln>
              <a:solidFill>
                <a:schemeClr val="bg1"/>
              </a:solidFill>
            </a:endParaRPr>
          </a:p>
        </xdr:txBody>
      </xdr:sp>
      <xdr:sp macro="" textlink="">
        <xdr:nvSpPr>
          <xdr:cNvPr id="210" name="Rectangle: Rounded Corners 209">
            <a:extLst>
              <a:ext uri="{FF2B5EF4-FFF2-40B4-BE49-F238E27FC236}">
                <a16:creationId xmlns:a16="http://schemas.microsoft.com/office/drawing/2014/main" id="{00000000-0008-0000-0400-0000D2000000}"/>
              </a:ext>
            </a:extLst>
          </xdr:cNvPr>
          <xdr:cNvSpPr/>
        </xdr:nvSpPr>
        <xdr:spPr>
          <a:xfrm>
            <a:off x="11558338" y="6122062"/>
            <a:ext cx="895309" cy="415106"/>
          </a:xfrm>
          <a:prstGeom prst="roundRect">
            <a:avLst/>
          </a:prstGeom>
          <a:solidFill>
            <a:srgbClr val="3039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sp macro="" textlink="Character_selector!AD5">
        <xdr:nvSpPr>
          <xdr:cNvPr id="211" name="TextBox 210">
            <a:extLst>
              <a:ext uri="{FF2B5EF4-FFF2-40B4-BE49-F238E27FC236}">
                <a16:creationId xmlns:a16="http://schemas.microsoft.com/office/drawing/2014/main" id="{00000000-0008-0000-0400-0000D3000000}"/>
              </a:ext>
            </a:extLst>
          </xdr:cNvPr>
          <xdr:cNvSpPr txBox="1"/>
        </xdr:nvSpPr>
        <xdr:spPr>
          <a:xfrm>
            <a:off x="11194414" y="6187641"/>
            <a:ext cx="1599728" cy="529918"/>
          </a:xfrm>
          <a:prstGeom prst="rect">
            <a:avLst/>
          </a:prstGeom>
          <a:noFill/>
          <a:ln w="3810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u="none">
                <a:ln>
                  <a:noFill/>
                </a:ln>
                <a:solidFill>
                  <a:schemeClr val="bg1"/>
                </a:solidFill>
              </a:rPr>
              <a:t>Enemies</a:t>
            </a:r>
          </a:p>
        </xdr:txBody>
      </xdr:sp>
    </xdr:grpSp>
    <xdr:clientData/>
  </xdr:twoCellAnchor>
  <xdr:twoCellAnchor>
    <xdr:from>
      <xdr:col>8</xdr:col>
      <xdr:colOff>518160</xdr:colOff>
      <xdr:row>9</xdr:row>
      <xdr:rowOff>22860</xdr:rowOff>
    </xdr:from>
    <xdr:to>
      <xdr:col>15</xdr:col>
      <xdr:colOff>106680</xdr:colOff>
      <xdr:row>23</xdr:row>
      <xdr:rowOff>18060</xdr:rowOff>
    </xdr:to>
    <xdr:grpSp>
      <xdr:nvGrpSpPr>
        <xdr:cNvPr id="32" name="Crit,Kill,Faint Group">
          <a:extLst>
            <a:ext uri="{FF2B5EF4-FFF2-40B4-BE49-F238E27FC236}">
              <a16:creationId xmlns:a16="http://schemas.microsoft.com/office/drawing/2014/main" id="{00000000-0008-0000-0400-000020000000}"/>
            </a:ext>
          </a:extLst>
        </xdr:cNvPr>
        <xdr:cNvGrpSpPr/>
      </xdr:nvGrpSpPr>
      <xdr:grpSpPr>
        <a:xfrm>
          <a:off x="5394960" y="1668780"/>
          <a:ext cx="3855720" cy="2555520"/>
          <a:chOff x="5425440" y="1577340"/>
          <a:chExt cx="3855720" cy="2555520"/>
        </a:xfrm>
      </xdr:grpSpPr>
      <xdr:sp macro="" textlink="">
        <xdr:nvSpPr>
          <xdr:cNvPr id="204" name="Rectangle: Rounded Corners 203">
            <a:extLst>
              <a:ext uri="{FF2B5EF4-FFF2-40B4-BE49-F238E27FC236}">
                <a16:creationId xmlns:a16="http://schemas.microsoft.com/office/drawing/2014/main" id="{00000000-0008-0000-0400-0000CC000000}"/>
              </a:ext>
            </a:extLst>
          </xdr:cNvPr>
          <xdr:cNvSpPr/>
        </xdr:nvSpPr>
        <xdr:spPr>
          <a:xfrm>
            <a:off x="7058297" y="2880360"/>
            <a:ext cx="661851" cy="358140"/>
          </a:xfrm>
          <a:prstGeom prst="roundRect">
            <a:avLst>
              <a:gd name="adj" fmla="val 5733"/>
            </a:avLst>
          </a:prstGeom>
          <a:solidFill>
            <a:srgbClr val="232423"/>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sp macro="" textlink="">
        <xdr:nvSpPr>
          <xdr:cNvPr id="205" name="Rectangle: Rounded Corners 204">
            <a:extLst>
              <a:ext uri="{FF2B5EF4-FFF2-40B4-BE49-F238E27FC236}">
                <a16:creationId xmlns:a16="http://schemas.microsoft.com/office/drawing/2014/main" id="{00000000-0008-0000-0400-0000CD000000}"/>
              </a:ext>
            </a:extLst>
          </xdr:cNvPr>
          <xdr:cNvSpPr/>
        </xdr:nvSpPr>
        <xdr:spPr>
          <a:xfrm>
            <a:off x="8347166" y="2823754"/>
            <a:ext cx="657497" cy="260169"/>
          </a:xfrm>
          <a:prstGeom prst="roundRect">
            <a:avLst>
              <a:gd name="adj" fmla="val 5733"/>
            </a:avLst>
          </a:prstGeom>
          <a:solidFill>
            <a:srgbClr val="232423"/>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sp macro="" textlink="">
        <xdr:nvSpPr>
          <xdr:cNvPr id="206" name="Rectangle: Rounded Corners 205">
            <a:extLst>
              <a:ext uri="{FF2B5EF4-FFF2-40B4-BE49-F238E27FC236}">
                <a16:creationId xmlns:a16="http://schemas.microsoft.com/office/drawing/2014/main" id="{00000000-0008-0000-0400-0000CE000000}"/>
              </a:ext>
            </a:extLst>
          </xdr:cNvPr>
          <xdr:cNvSpPr/>
        </xdr:nvSpPr>
        <xdr:spPr>
          <a:xfrm>
            <a:off x="5730240" y="2823754"/>
            <a:ext cx="661851" cy="260169"/>
          </a:xfrm>
          <a:prstGeom prst="roundRect">
            <a:avLst>
              <a:gd name="adj" fmla="val 5733"/>
            </a:avLst>
          </a:prstGeom>
          <a:solidFill>
            <a:srgbClr val="232423"/>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sp macro="" textlink="">
        <xdr:nvSpPr>
          <xdr:cNvPr id="184" name="Rectangle: Rounded Corners 183">
            <a:extLst>
              <a:ext uri="{FF2B5EF4-FFF2-40B4-BE49-F238E27FC236}">
                <a16:creationId xmlns:a16="http://schemas.microsoft.com/office/drawing/2014/main" id="{00000000-0008-0000-0400-0000B8000000}"/>
              </a:ext>
            </a:extLst>
          </xdr:cNvPr>
          <xdr:cNvSpPr/>
        </xdr:nvSpPr>
        <xdr:spPr>
          <a:xfrm>
            <a:off x="8336280" y="1577340"/>
            <a:ext cx="678180" cy="2075460"/>
          </a:xfrm>
          <a:prstGeom prst="roundRect">
            <a:avLst>
              <a:gd name="adj" fmla="val 5733"/>
            </a:avLst>
          </a:prstGeom>
          <a:solidFill>
            <a:srgbClr val="232423"/>
          </a:solidFill>
          <a:ln w="19050">
            <a:solidFill>
              <a:srgbClr val="BB434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sp macro="" textlink="">
        <xdr:nvSpPr>
          <xdr:cNvPr id="182" name="Rectangle: Rounded Corners 181">
            <a:extLst>
              <a:ext uri="{FF2B5EF4-FFF2-40B4-BE49-F238E27FC236}">
                <a16:creationId xmlns:a16="http://schemas.microsoft.com/office/drawing/2014/main" id="{00000000-0008-0000-0400-0000B6000000}"/>
              </a:ext>
            </a:extLst>
          </xdr:cNvPr>
          <xdr:cNvSpPr/>
        </xdr:nvSpPr>
        <xdr:spPr>
          <a:xfrm>
            <a:off x="5722620" y="1577340"/>
            <a:ext cx="678180" cy="2075460"/>
          </a:xfrm>
          <a:prstGeom prst="roundRect">
            <a:avLst>
              <a:gd name="adj" fmla="val 5733"/>
            </a:avLst>
          </a:prstGeom>
          <a:solidFill>
            <a:srgbClr val="232423"/>
          </a:solidFill>
          <a:ln w="19050">
            <a:solidFill>
              <a:srgbClr val="BB434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sp macro="" textlink="">
        <xdr:nvSpPr>
          <xdr:cNvPr id="183" name="Rectangle: Rounded Corners 182">
            <a:extLst>
              <a:ext uri="{FF2B5EF4-FFF2-40B4-BE49-F238E27FC236}">
                <a16:creationId xmlns:a16="http://schemas.microsoft.com/office/drawing/2014/main" id="{00000000-0008-0000-0400-0000B7000000}"/>
              </a:ext>
            </a:extLst>
          </xdr:cNvPr>
          <xdr:cNvSpPr/>
        </xdr:nvSpPr>
        <xdr:spPr>
          <a:xfrm>
            <a:off x="7048500" y="2057400"/>
            <a:ext cx="678180" cy="2075460"/>
          </a:xfrm>
          <a:prstGeom prst="roundRect">
            <a:avLst>
              <a:gd name="adj" fmla="val 5733"/>
            </a:avLst>
          </a:prstGeom>
          <a:solidFill>
            <a:srgbClr val="232423"/>
          </a:solidFill>
          <a:ln w="19050">
            <a:solidFill>
              <a:srgbClr val="BB434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sp macro="" textlink="">
        <xdr:nvSpPr>
          <xdr:cNvPr id="201" name="TextBox 200">
            <a:extLst>
              <a:ext uri="{FF2B5EF4-FFF2-40B4-BE49-F238E27FC236}">
                <a16:creationId xmlns:a16="http://schemas.microsoft.com/office/drawing/2014/main" id="{00000000-0008-0000-0400-0000C9000000}"/>
              </a:ext>
            </a:extLst>
          </xdr:cNvPr>
          <xdr:cNvSpPr txBox="1"/>
        </xdr:nvSpPr>
        <xdr:spPr>
          <a:xfrm>
            <a:off x="5425440" y="3025697"/>
            <a:ext cx="1219200" cy="3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u="none">
                <a:ln>
                  <a:noFill/>
                </a:ln>
                <a:solidFill>
                  <a:srgbClr val="ABABAB"/>
                </a:solidFill>
                <a:latin typeface="+mn-lt"/>
                <a:ea typeface="+mn-ea"/>
                <a:cs typeface="+mn-cs"/>
              </a:rPr>
              <a:t>Kills</a:t>
            </a:r>
          </a:p>
        </xdr:txBody>
      </xdr:sp>
      <xdr:sp macro="" textlink="">
        <xdr:nvSpPr>
          <xdr:cNvPr id="202" name="TextBox 201">
            <a:extLst>
              <a:ext uri="{FF2B5EF4-FFF2-40B4-BE49-F238E27FC236}">
                <a16:creationId xmlns:a16="http://schemas.microsoft.com/office/drawing/2014/main" id="{00000000-0008-0000-0400-0000CA000000}"/>
              </a:ext>
            </a:extLst>
          </xdr:cNvPr>
          <xdr:cNvSpPr txBox="1"/>
        </xdr:nvSpPr>
        <xdr:spPr>
          <a:xfrm>
            <a:off x="8061960" y="3006103"/>
            <a:ext cx="1219200" cy="3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u="none">
                <a:ln>
                  <a:noFill/>
                </a:ln>
                <a:solidFill>
                  <a:srgbClr val="ABABAB"/>
                </a:solidFill>
                <a:latin typeface="+mn-lt"/>
                <a:ea typeface="+mn-ea"/>
                <a:cs typeface="+mn-cs"/>
              </a:rPr>
              <a:t>Faints</a:t>
            </a:r>
          </a:p>
        </xdr:txBody>
      </xdr:sp>
      <xdr:sp macro="" textlink="">
        <xdr:nvSpPr>
          <xdr:cNvPr id="203" name="TextBox 202">
            <a:extLst>
              <a:ext uri="{FF2B5EF4-FFF2-40B4-BE49-F238E27FC236}">
                <a16:creationId xmlns:a16="http://schemas.microsoft.com/office/drawing/2014/main" id="{00000000-0008-0000-0400-0000CB000000}"/>
              </a:ext>
            </a:extLst>
          </xdr:cNvPr>
          <xdr:cNvSpPr txBox="1"/>
        </xdr:nvSpPr>
        <xdr:spPr>
          <a:xfrm>
            <a:off x="6774180" y="3227083"/>
            <a:ext cx="1219200" cy="3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u="none">
                <a:ln>
                  <a:noFill/>
                </a:ln>
                <a:solidFill>
                  <a:srgbClr val="ABABAB"/>
                </a:solidFill>
                <a:latin typeface="+mn-lt"/>
                <a:ea typeface="+mn-ea"/>
                <a:cs typeface="+mn-cs"/>
              </a:rPr>
              <a:t>Crits</a:t>
            </a:r>
          </a:p>
        </xdr:txBody>
      </xdr:sp>
      <xdr:sp macro="" textlink="Combat2!EJ5">
        <xdr:nvSpPr>
          <xdr:cNvPr id="212" name="TextBox 211">
            <a:extLst>
              <a:ext uri="{FF2B5EF4-FFF2-40B4-BE49-F238E27FC236}">
                <a16:creationId xmlns:a16="http://schemas.microsoft.com/office/drawing/2014/main" id="{00000000-0008-0000-0400-0000D4000000}"/>
              </a:ext>
            </a:extLst>
          </xdr:cNvPr>
          <xdr:cNvSpPr txBox="1"/>
        </xdr:nvSpPr>
        <xdr:spPr>
          <a:xfrm>
            <a:off x="5753100" y="3288043"/>
            <a:ext cx="609600" cy="3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7CF8FBD-B022-4854-8D15-DDD6D7E2F056}" type="TxLink">
              <a:rPr lang="en-US" sz="1400" u="none">
                <a:ln>
                  <a:noFill/>
                </a:ln>
                <a:solidFill>
                  <a:srgbClr val="ABABAB"/>
                </a:solidFill>
                <a:latin typeface="+mn-lt"/>
                <a:ea typeface="+mn-ea"/>
                <a:cs typeface="+mn-cs"/>
              </a:rPr>
              <a:pPr marL="0" indent="0" algn="ctr"/>
              <a:t>53</a:t>
            </a:fld>
            <a:endParaRPr lang="en-GB" sz="1400" u="none">
              <a:ln>
                <a:noFill/>
              </a:ln>
              <a:solidFill>
                <a:srgbClr val="ABABAB"/>
              </a:solidFill>
              <a:latin typeface="+mn-lt"/>
              <a:ea typeface="+mn-ea"/>
              <a:cs typeface="+mn-cs"/>
            </a:endParaRPr>
          </a:p>
        </xdr:txBody>
      </xdr:sp>
      <xdr:sp macro="" textlink="Combat2!EW6">
        <xdr:nvSpPr>
          <xdr:cNvPr id="213" name="TextBox 212">
            <a:extLst>
              <a:ext uri="{FF2B5EF4-FFF2-40B4-BE49-F238E27FC236}">
                <a16:creationId xmlns:a16="http://schemas.microsoft.com/office/drawing/2014/main" id="{00000000-0008-0000-0400-0000D5000000}"/>
              </a:ext>
            </a:extLst>
          </xdr:cNvPr>
          <xdr:cNvSpPr txBox="1"/>
        </xdr:nvSpPr>
        <xdr:spPr>
          <a:xfrm>
            <a:off x="8420100" y="3288043"/>
            <a:ext cx="556260" cy="3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D957918-A4D4-4EBD-BDAB-C5D9C18CE833}" type="TxLink">
              <a:rPr lang="en-US" sz="1400" u="none">
                <a:ln>
                  <a:noFill/>
                </a:ln>
                <a:solidFill>
                  <a:srgbClr val="ABABAB"/>
                </a:solidFill>
                <a:latin typeface="+mn-lt"/>
                <a:ea typeface="+mn-ea"/>
                <a:cs typeface="+mn-cs"/>
              </a:rPr>
              <a:pPr marL="0" indent="0" algn="ctr"/>
              <a:t>8</a:t>
            </a:fld>
            <a:endParaRPr lang="en-GB" sz="1400" u="none">
              <a:ln>
                <a:noFill/>
              </a:ln>
              <a:solidFill>
                <a:srgbClr val="ABABAB"/>
              </a:solidFill>
              <a:latin typeface="+mn-lt"/>
              <a:ea typeface="+mn-ea"/>
              <a:cs typeface="+mn-cs"/>
            </a:endParaRPr>
          </a:p>
        </xdr:txBody>
      </xdr:sp>
      <xdr:sp macro="" textlink="Combat2!FF6">
        <xdr:nvSpPr>
          <xdr:cNvPr id="239" name="TextBox 238">
            <a:extLst>
              <a:ext uri="{FF2B5EF4-FFF2-40B4-BE49-F238E27FC236}">
                <a16:creationId xmlns:a16="http://schemas.microsoft.com/office/drawing/2014/main" id="{00000000-0008-0000-0400-0000EF000000}"/>
              </a:ext>
            </a:extLst>
          </xdr:cNvPr>
          <xdr:cNvSpPr txBox="1"/>
        </xdr:nvSpPr>
        <xdr:spPr>
          <a:xfrm>
            <a:off x="7071360" y="3608083"/>
            <a:ext cx="640080" cy="3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A827ECB-E039-4BE5-8556-37228C919E5D}" type="TxLink">
              <a:rPr lang="en-US" sz="1800" u="none">
                <a:ln>
                  <a:noFill/>
                </a:ln>
                <a:solidFill>
                  <a:srgbClr val="ABABAB"/>
                </a:solidFill>
                <a:latin typeface="+mn-lt"/>
                <a:ea typeface="+mn-ea"/>
                <a:cs typeface="+mn-cs"/>
              </a:rPr>
              <a:pPr marL="0" indent="0" algn="ctr"/>
              <a:t>18</a:t>
            </a:fld>
            <a:endParaRPr lang="en-GB" sz="1800" u="none">
              <a:ln>
                <a:noFill/>
              </a:ln>
              <a:solidFill>
                <a:srgbClr val="ABABAB"/>
              </a:solidFill>
              <a:latin typeface="+mn-lt"/>
              <a:ea typeface="+mn-ea"/>
              <a:cs typeface="+mn-cs"/>
            </a:endParaRPr>
          </a:p>
        </xdr:txBody>
      </xdr:sp>
    </xdr:grpSp>
    <xdr:clientData/>
  </xdr:twoCellAnchor>
  <xdr:twoCellAnchor>
    <xdr:from>
      <xdr:col>8</xdr:col>
      <xdr:colOff>281939</xdr:colOff>
      <xdr:row>1</xdr:row>
      <xdr:rowOff>83775</xdr:rowOff>
    </xdr:from>
    <xdr:to>
      <xdr:col>15</xdr:col>
      <xdr:colOff>558868</xdr:colOff>
      <xdr:row>17</xdr:row>
      <xdr:rowOff>15240</xdr:rowOff>
    </xdr:to>
    <xdr:grpSp>
      <xdr:nvGrpSpPr>
        <xdr:cNvPr id="7" name="Character card">
          <a:extLst>
            <a:ext uri="{FF2B5EF4-FFF2-40B4-BE49-F238E27FC236}">
              <a16:creationId xmlns:a16="http://schemas.microsoft.com/office/drawing/2014/main" id="{00000000-0008-0000-0400-000007000000}"/>
            </a:ext>
          </a:extLst>
        </xdr:cNvPr>
        <xdr:cNvGrpSpPr/>
      </xdr:nvGrpSpPr>
      <xdr:grpSpPr>
        <a:xfrm>
          <a:off x="5158739" y="266655"/>
          <a:ext cx="4544129" cy="2857545"/>
          <a:chOff x="306293" y="2752351"/>
          <a:chExt cx="4667680" cy="3196996"/>
        </a:xfrm>
      </xdr:grpSpPr>
      <xdr:sp macro="" textlink="">
        <xdr:nvSpPr>
          <xdr:cNvPr id="46" name="Rectangle: Rounded Corners 45">
            <a:extLst>
              <a:ext uri="{FF2B5EF4-FFF2-40B4-BE49-F238E27FC236}">
                <a16:creationId xmlns:a16="http://schemas.microsoft.com/office/drawing/2014/main" id="{00000000-0008-0000-0400-00002E000000}"/>
              </a:ext>
            </a:extLst>
          </xdr:cNvPr>
          <xdr:cNvSpPr/>
        </xdr:nvSpPr>
        <xdr:spPr>
          <a:xfrm>
            <a:off x="332572" y="2752351"/>
            <a:ext cx="4494922" cy="3196996"/>
          </a:xfrm>
          <a:prstGeom prst="roundRect">
            <a:avLst/>
          </a:prstGeom>
          <a:solidFill>
            <a:srgbClr val="232423"/>
          </a:solidFill>
          <a:ln>
            <a:solidFill>
              <a:srgbClr val="BB434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mc:AlternateContent xmlns:mc="http://schemas.openxmlformats.org/markup-compatibility/2006" xmlns:a14="http://schemas.microsoft.com/office/drawing/2010/main">
        <mc:Choice Requires="a14">
          <xdr:pic>
            <xdr:nvPicPr>
              <xdr:cNvPr id="47" name="Picture 46">
                <a:extLst>
                  <a:ext uri="{FF2B5EF4-FFF2-40B4-BE49-F238E27FC236}">
                    <a16:creationId xmlns:a16="http://schemas.microsoft.com/office/drawing/2014/main" id="{00000000-0008-0000-0400-00002F000000}"/>
                  </a:ext>
                </a:extLst>
              </xdr:cNvPr>
              <xdr:cNvPicPr>
                <a:picLocks noChangeAspect="1"/>
                <a:extLst>
                  <a:ext uri="{84589F7E-364E-4C9E-8A38-B11213B215E9}">
                    <a14:cameraTool cellRange="Current_TK" spid="_x0000_s5345"/>
                  </a:ext>
                </a:extLst>
              </xdr:cNvPicPr>
            </xdr:nvPicPr>
            <xdr:blipFill>
              <a:blip xmlns:r="http://schemas.openxmlformats.org/officeDocument/2006/relationships" r:embed="rId7"/>
              <a:stretch>
                <a:fillRect/>
              </a:stretch>
            </xdr:blipFill>
            <xdr:spPr>
              <a:xfrm>
                <a:off x="1587757" y="2799652"/>
                <a:ext cx="1907264" cy="1866996"/>
              </a:xfrm>
              <a:prstGeom prst="rect">
                <a:avLst/>
              </a:prstGeom>
              <a:ln>
                <a:noFill/>
              </a:ln>
            </xdr:spPr>
          </xdr:pic>
        </mc:Choice>
        <mc:Fallback xmlns=""/>
      </mc:AlternateContent>
      <xdr:sp macro="" textlink="Character_selector!AD5">
        <xdr:nvSpPr>
          <xdr:cNvPr id="48" name="TextBox 47">
            <a:extLst>
              <a:ext uri="{FF2B5EF4-FFF2-40B4-BE49-F238E27FC236}">
                <a16:creationId xmlns:a16="http://schemas.microsoft.com/office/drawing/2014/main" id="{00000000-0008-0000-0400-000030000000}"/>
              </a:ext>
            </a:extLst>
          </xdr:cNvPr>
          <xdr:cNvSpPr txBox="1"/>
        </xdr:nvSpPr>
        <xdr:spPr>
          <a:xfrm>
            <a:off x="1613509" y="4433852"/>
            <a:ext cx="1933050" cy="554506"/>
          </a:xfrm>
          <a:prstGeom prst="rect">
            <a:avLst/>
          </a:prstGeom>
          <a:noFill/>
          <a:ln w="3810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DEAAF76-0AF0-49EB-83E0-1671199F9718}" type="TxLink">
              <a:rPr lang="en-US" sz="2400" b="0" i="0" u="none" strike="noStrike">
                <a:ln>
                  <a:noFill/>
                </a:ln>
                <a:solidFill>
                  <a:schemeClr val="bg1"/>
                </a:solidFill>
                <a:latin typeface="Calibri"/>
                <a:cs typeface="Calibri"/>
              </a:rPr>
              <a:pPr algn="ctr"/>
              <a:t>Dream Team</a:t>
            </a:fld>
            <a:endParaRPr lang="en-GB" sz="2400" u="none">
              <a:ln>
                <a:noFill/>
              </a:ln>
              <a:solidFill>
                <a:schemeClr val="bg1"/>
              </a:solidFill>
            </a:endParaRPr>
          </a:p>
        </xdr:txBody>
      </xdr:sp>
      <xdr:cxnSp macro="">
        <xdr:nvCxnSpPr>
          <xdr:cNvPr id="49" name="Straight Connector 48">
            <a:extLst>
              <a:ext uri="{FF2B5EF4-FFF2-40B4-BE49-F238E27FC236}">
                <a16:creationId xmlns:a16="http://schemas.microsoft.com/office/drawing/2014/main" id="{00000000-0008-0000-0400-000031000000}"/>
              </a:ext>
            </a:extLst>
          </xdr:cNvPr>
          <xdr:cNvCxnSpPr/>
        </xdr:nvCxnSpPr>
        <xdr:spPr>
          <a:xfrm>
            <a:off x="783332" y="4848472"/>
            <a:ext cx="3590414" cy="1"/>
          </a:xfrm>
          <a:prstGeom prst="line">
            <a:avLst/>
          </a:prstGeom>
          <a:ln w="28575">
            <a:solidFill>
              <a:srgbClr val="A40707"/>
            </a:solidFill>
          </a:ln>
        </xdr:spPr>
        <xdr:style>
          <a:lnRef idx="1">
            <a:schemeClr val="accent1"/>
          </a:lnRef>
          <a:fillRef idx="0">
            <a:schemeClr val="accent1"/>
          </a:fillRef>
          <a:effectRef idx="0">
            <a:schemeClr val="accent1"/>
          </a:effectRef>
          <a:fontRef idx="minor">
            <a:schemeClr val="tx1"/>
          </a:fontRef>
        </xdr:style>
      </xdr:cxnSp>
      <xdr:grpSp>
        <xdr:nvGrpSpPr>
          <xdr:cNvPr id="51" name="Group 50">
            <a:extLst>
              <a:ext uri="{FF2B5EF4-FFF2-40B4-BE49-F238E27FC236}">
                <a16:creationId xmlns:a16="http://schemas.microsoft.com/office/drawing/2014/main" id="{00000000-0008-0000-0400-000033000000}"/>
              </a:ext>
            </a:extLst>
          </xdr:cNvPr>
          <xdr:cNvGrpSpPr/>
        </xdr:nvGrpSpPr>
        <xdr:grpSpPr>
          <a:xfrm>
            <a:off x="306293" y="2889056"/>
            <a:ext cx="1701651" cy="1087024"/>
            <a:chOff x="9278285" y="1746038"/>
            <a:chExt cx="1636431" cy="1007553"/>
          </a:xfrm>
        </xdr:grpSpPr>
        <xdr:grpSp>
          <xdr:nvGrpSpPr>
            <xdr:cNvPr id="52" name="Group 51">
              <a:extLst>
                <a:ext uri="{FF2B5EF4-FFF2-40B4-BE49-F238E27FC236}">
                  <a16:creationId xmlns:a16="http://schemas.microsoft.com/office/drawing/2014/main" id="{00000000-0008-0000-0400-000034000000}"/>
                </a:ext>
              </a:extLst>
            </xdr:cNvPr>
            <xdr:cNvGrpSpPr/>
          </xdr:nvGrpSpPr>
          <xdr:grpSpPr>
            <a:xfrm>
              <a:off x="9578341" y="2225733"/>
              <a:ext cx="1021080" cy="527858"/>
              <a:chOff x="9585961" y="2368382"/>
              <a:chExt cx="1021080" cy="529231"/>
            </a:xfrm>
          </xdr:grpSpPr>
          <xdr:sp macro="" textlink="">
            <xdr:nvSpPr>
              <xdr:cNvPr id="74" name="Oval 73">
                <a:extLst>
                  <a:ext uri="{FF2B5EF4-FFF2-40B4-BE49-F238E27FC236}">
                    <a16:creationId xmlns:a16="http://schemas.microsoft.com/office/drawing/2014/main" id="{00000000-0008-0000-0400-00004A000000}"/>
                  </a:ext>
                </a:extLst>
              </xdr:cNvPr>
              <xdr:cNvSpPr/>
            </xdr:nvSpPr>
            <xdr:spPr>
              <a:xfrm>
                <a:off x="9823095" y="2368382"/>
                <a:ext cx="546812" cy="529231"/>
              </a:xfrm>
              <a:prstGeom prst="ellipse">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Character_selector!AD19">
            <xdr:nvSpPr>
              <xdr:cNvPr id="75" name="TextBox 74">
                <a:extLst>
                  <a:ext uri="{FF2B5EF4-FFF2-40B4-BE49-F238E27FC236}">
                    <a16:creationId xmlns:a16="http://schemas.microsoft.com/office/drawing/2014/main" id="{00000000-0008-0000-0400-00004B000000}"/>
                  </a:ext>
                </a:extLst>
              </xdr:cNvPr>
              <xdr:cNvSpPr txBox="1"/>
            </xdr:nvSpPr>
            <xdr:spPr>
              <a:xfrm>
                <a:off x="9887233" y="2499215"/>
                <a:ext cx="510541" cy="267566"/>
              </a:xfrm>
              <a:prstGeom prst="rect">
                <a:avLst/>
              </a:prstGeom>
              <a:noFill/>
              <a:ln w="3810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D686996-DDBF-494B-8DBF-7053A047434B}" type="TxLink">
                  <a:rPr lang="en-US" sz="1800" b="0" i="0" u="sng" strike="noStrike">
                    <a:ln>
                      <a:noFill/>
                    </a:ln>
                    <a:solidFill>
                      <a:schemeClr val="bg1"/>
                    </a:solidFill>
                    <a:latin typeface="Calibri"/>
                    <a:cs typeface="Calibri"/>
                  </a:rPr>
                  <a:pPr/>
                  <a:t>16.7</a:t>
                </a:fld>
                <a:endParaRPr lang="en-GB" sz="1800" u="sng">
                  <a:ln>
                    <a:noFill/>
                  </a:ln>
                  <a:solidFill>
                    <a:schemeClr val="bg1"/>
                  </a:solidFill>
                </a:endParaRPr>
              </a:p>
            </xdr:txBody>
          </xdr:sp>
          <xdr:sp macro="" textlink="">
            <xdr:nvSpPr>
              <xdr:cNvPr id="80" name="TextBox 79">
                <a:extLst>
                  <a:ext uri="{FF2B5EF4-FFF2-40B4-BE49-F238E27FC236}">
                    <a16:creationId xmlns:a16="http://schemas.microsoft.com/office/drawing/2014/main" id="{00000000-0008-0000-0400-000050000000}"/>
                  </a:ext>
                </a:extLst>
              </xdr:cNvPr>
              <xdr:cNvSpPr txBox="1"/>
            </xdr:nvSpPr>
            <xdr:spPr>
              <a:xfrm>
                <a:off x="9585961" y="2368382"/>
                <a:ext cx="1021080" cy="267566"/>
              </a:xfrm>
              <a:prstGeom prst="rect">
                <a:avLst/>
              </a:prstGeom>
              <a:noFill/>
              <a:ln w="3810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u="sng">
                    <a:ln>
                      <a:noFill/>
                    </a:ln>
                    <a:solidFill>
                      <a:schemeClr val="bg1"/>
                    </a:solidFill>
                  </a:rPr>
                  <a:t>CON</a:t>
                </a:r>
              </a:p>
              <a:p>
                <a:endParaRPr lang="en-GB" sz="1100">
                  <a:ln>
                    <a:noFill/>
                  </a:ln>
                  <a:solidFill>
                    <a:schemeClr val="bg1"/>
                  </a:solidFill>
                </a:endParaRPr>
              </a:p>
            </xdr:txBody>
          </xdr:sp>
        </xdr:grpSp>
        <xdr:grpSp>
          <xdr:nvGrpSpPr>
            <xdr:cNvPr id="53" name="Group 52">
              <a:extLst>
                <a:ext uri="{FF2B5EF4-FFF2-40B4-BE49-F238E27FC236}">
                  <a16:creationId xmlns:a16="http://schemas.microsoft.com/office/drawing/2014/main" id="{00000000-0008-0000-0400-000035000000}"/>
                </a:ext>
              </a:extLst>
            </xdr:cNvPr>
            <xdr:cNvGrpSpPr/>
          </xdr:nvGrpSpPr>
          <xdr:grpSpPr>
            <a:xfrm>
              <a:off x="9278285" y="1746038"/>
              <a:ext cx="1021080" cy="527859"/>
              <a:chOff x="9585961" y="2368382"/>
              <a:chExt cx="1021080" cy="529231"/>
            </a:xfrm>
          </xdr:grpSpPr>
          <xdr:sp macro="" textlink="">
            <xdr:nvSpPr>
              <xdr:cNvPr id="69" name="Oval 68">
                <a:extLst>
                  <a:ext uri="{FF2B5EF4-FFF2-40B4-BE49-F238E27FC236}">
                    <a16:creationId xmlns:a16="http://schemas.microsoft.com/office/drawing/2014/main" id="{00000000-0008-0000-0400-000045000000}"/>
                  </a:ext>
                </a:extLst>
              </xdr:cNvPr>
              <xdr:cNvSpPr/>
            </xdr:nvSpPr>
            <xdr:spPr>
              <a:xfrm>
                <a:off x="9823095" y="2368382"/>
                <a:ext cx="546812" cy="529231"/>
              </a:xfrm>
              <a:prstGeom prst="ellipse">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Character_selector!AD17">
            <xdr:nvSpPr>
              <xdr:cNvPr id="70" name="TextBox 69">
                <a:extLst>
                  <a:ext uri="{FF2B5EF4-FFF2-40B4-BE49-F238E27FC236}">
                    <a16:creationId xmlns:a16="http://schemas.microsoft.com/office/drawing/2014/main" id="{00000000-0008-0000-0400-000046000000}"/>
                  </a:ext>
                </a:extLst>
              </xdr:cNvPr>
              <xdr:cNvSpPr txBox="1"/>
            </xdr:nvSpPr>
            <xdr:spPr>
              <a:xfrm>
                <a:off x="9841231" y="2512151"/>
                <a:ext cx="510541" cy="267566"/>
              </a:xfrm>
              <a:prstGeom prst="rect">
                <a:avLst/>
              </a:prstGeom>
              <a:noFill/>
              <a:ln w="3810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6208F0F-7C69-4387-9688-B80997E413B3}" type="TxLink">
                  <a:rPr lang="en-US" sz="1800" b="0" i="0" u="sng" strike="noStrike">
                    <a:ln>
                      <a:noFill/>
                    </a:ln>
                    <a:solidFill>
                      <a:schemeClr val="bg1"/>
                    </a:solidFill>
                    <a:latin typeface="Calibri"/>
                    <a:ea typeface="+mn-ea"/>
                    <a:cs typeface="Calibri"/>
                  </a:rPr>
                  <a:pPr marL="0" indent="0" algn="ctr"/>
                  <a:t>19</a:t>
                </a:fld>
                <a:endParaRPr lang="en-GB" sz="1800" b="0" i="0" u="sng" strike="noStrike">
                  <a:ln>
                    <a:noFill/>
                  </a:ln>
                  <a:solidFill>
                    <a:schemeClr val="bg1"/>
                  </a:solidFill>
                  <a:latin typeface="Calibri"/>
                  <a:ea typeface="+mn-ea"/>
                  <a:cs typeface="Calibri"/>
                </a:endParaRPr>
              </a:p>
            </xdr:txBody>
          </xdr:sp>
          <xdr:sp macro="" textlink="">
            <xdr:nvSpPr>
              <xdr:cNvPr id="71" name="TextBox 70">
                <a:extLst>
                  <a:ext uri="{FF2B5EF4-FFF2-40B4-BE49-F238E27FC236}">
                    <a16:creationId xmlns:a16="http://schemas.microsoft.com/office/drawing/2014/main" id="{00000000-0008-0000-0400-000047000000}"/>
                  </a:ext>
                </a:extLst>
              </xdr:cNvPr>
              <xdr:cNvSpPr txBox="1"/>
            </xdr:nvSpPr>
            <xdr:spPr>
              <a:xfrm>
                <a:off x="9585961" y="2368382"/>
                <a:ext cx="1021080" cy="267566"/>
              </a:xfrm>
              <a:prstGeom prst="rect">
                <a:avLst/>
              </a:prstGeom>
              <a:noFill/>
              <a:ln w="3810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u="sng">
                    <a:ln>
                      <a:noFill/>
                    </a:ln>
                    <a:solidFill>
                      <a:schemeClr val="bg1"/>
                    </a:solidFill>
                  </a:rPr>
                  <a:t>STR</a:t>
                </a:r>
              </a:p>
              <a:p>
                <a:endParaRPr lang="en-GB" sz="1100">
                  <a:ln>
                    <a:noFill/>
                  </a:ln>
                  <a:solidFill>
                    <a:schemeClr val="bg1"/>
                  </a:solidFill>
                </a:endParaRPr>
              </a:p>
            </xdr:txBody>
          </xdr:sp>
        </xdr:grpSp>
        <xdr:grpSp>
          <xdr:nvGrpSpPr>
            <xdr:cNvPr id="55" name="Group 54">
              <a:extLst>
                <a:ext uri="{FF2B5EF4-FFF2-40B4-BE49-F238E27FC236}">
                  <a16:creationId xmlns:a16="http://schemas.microsoft.com/office/drawing/2014/main" id="{00000000-0008-0000-0400-000037000000}"/>
                </a:ext>
              </a:extLst>
            </xdr:cNvPr>
            <xdr:cNvGrpSpPr/>
          </xdr:nvGrpSpPr>
          <xdr:grpSpPr>
            <a:xfrm>
              <a:off x="9893636" y="1746038"/>
              <a:ext cx="1021080" cy="527859"/>
              <a:chOff x="9585961" y="2368382"/>
              <a:chExt cx="1021080" cy="529231"/>
            </a:xfrm>
          </xdr:grpSpPr>
          <xdr:sp macro="" textlink="">
            <xdr:nvSpPr>
              <xdr:cNvPr id="59" name="Oval 58">
                <a:extLst>
                  <a:ext uri="{FF2B5EF4-FFF2-40B4-BE49-F238E27FC236}">
                    <a16:creationId xmlns:a16="http://schemas.microsoft.com/office/drawing/2014/main" id="{00000000-0008-0000-0400-00003B000000}"/>
                  </a:ext>
                </a:extLst>
              </xdr:cNvPr>
              <xdr:cNvSpPr/>
            </xdr:nvSpPr>
            <xdr:spPr>
              <a:xfrm>
                <a:off x="9823095" y="2368382"/>
                <a:ext cx="546812" cy="529231"/>
              </a:xfrm>
              <a:prstGeom prst="ellipse">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Character_selector!AD18">
            <xdr:nvSpPr>
              <xdr:cNvPr id="60" name="TextBox 59">
                <a:extLst>
                  <a:ext uri="{FF2B5EF4-FFF2-40B4-BE49-F238E27FC236}">
                    <a16:creationId xmlns:a16="http://schemas.microsoft.com/office/drawing/2014/main" id="{00000000-0008-0000-0400-00003C000000}"/>
                  </a:ext>
                </a:extLst>
              </xdr:cNvPr>
              <xdr:cNvSpPr txBox="1"/>
            </xdr:nvSpPr>
            <xdr:spPr>
              <a:xfrm>
                <a:off x="9841231" y="2512151"/>
                <a:ext cx="510541" cy="267566"/>
              </a:xfrm>
              <a:prstGeom prst="rect">
                <a:avLst/>
              </a:prstGeom>
              <a:noFill/>
              <a:ln w="3810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DF0D73B-B66A-458E-88B9-98641F4EC835}" type="TxLink">
                  <a:rPr lang="en-US" sz="1800" b="0" i="0" u="sng" strike="noStrike">
                    <a:ln>
                      <a:noFill/>
                    </a:ln>
                    <a:solidFill>
                      <a:schemeClr val="bg1"/>
                    </a:solidFill>
                    <a:latin typeface="Calibri"/>
                    <a:ea typeface="+mn-ea"/>
                    <a:cs typeface="Calibri"/>
                  </a:rPr>
                  <a:pPr marL="0" indent="0" algn="ctr"/>
                  <a:t>14</a:t>
                </a:fld>
                <a:endParaRPr lang="en-GB" sz="1800" b="0" i="0" u="sng" strike="noStrike">
                  <a:ln>
                    <a:noFill/>
                  </a:ln>
                  <a:solidFill>
                    <a:schemeClr val="bg1"/>
                  </a:solidFill>
                  <a:latin typeface="Calibri"/>
                  <a:ea typeface="+mn-ea"/>
                  <a:cs typeface="Calibri"/>
                </a:endParaRPr>
              </a:p>
            </xdr:txBody>
          </xdr:sp>
          <xdr:sp macro="" textlink="">
            <xdr:nvSpPr>
              <xdr:cNvPr id="61" name="TextBox 60">
                <a:extLst>
                  <a:ext uri="{FF2B5EF4-FFF2-40B4-BE49-F238E27FC236}">
                    <a16:creationId xmlns:a16="http://schemas.microsoft.com/office/drawing/2014/main" id="{00000000-0008-0000-0400-00003D000000}"/>
                  </a:ext>
                </a:extLst>
              </xdr:cNvPr>
              <xdr:cNvSpPr txBox="1"/>
            </xdr:nvSpPr>
            <xdr:spPr>
              <a:xfrm>
                <a:off x="9585961" y="2368382"/>
                <a:ext cx="1021080" cy="267566"/>
              </a:xfrm>
              <a:prstGeom prst="rect">
                <a:avLst/>
              </a:prstGeom>
              <a:noFill/>
              <a:ln w="3810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u="sng">
                    <a:ln>
                      <a:noFill/>
                    </a:ln>
                    <a:solidFill>
                      <a:schemeClr val="bg1"/>
                    </a:solidFill>
                  </a:rPr>
                  <a:t>DEX</a:t>
                </a:r>
              </a:p>
              <a:p>
                <a:endParaRPr lang="en-GB" sz="1100">
                  <a:ln>
                    <a:noFill/>
                  </a:ln>
                  <a:solidFill>
                    <a:schemeClr val="bg1"/>
                  </a:solidFill>
                </a:endParaRPr>
              </a:p>
            </xdr:txBody>
          </xdr:sp>
        </xdr:grpSp>
      </xdr:grpSp>
      <xdr:grpSp>
        <xdr:nvGrpSpPr>
          <xdr:cNvPr id="83" name="Group 82">
            <a:extLst>
              <a:ext uri="{FF2B5EF4-FFF2-40B4-BE49-F238E27FC236}">
                <a16:creationId xmlns:a16="http://schemas.microsoft.com/office/drawing/2014/main" id="{00000000-0008-0000-0400-000053000000}"/>
              </a:ext>
            </a:extLst>
          </xdr:cNvPr>
          <xdr:cNvGrpSpPr/>
        </xdr:nvGrpSpPr>
        <xdr:grpSpPr>
          <a:xfrm>
            <a:off x="3048407" y="2889056"/>
            <a:ext cx="1704639" cy="1087026"/>
            <a:chOff x="9278285" y="1746038"/>
            <a:chExt cx="1636431" cy="1007555"/>
          </a:xfrm>
        </xdr:grpSpPr>
        <xdr:grpSp>
          <xdr:nvGrpSpPr>
            <xdr:cNvPr id="85" name="Group 84">
              <a:extLst>
                <a:ext uri="{FF2B5EF4-FFF2-40B4-BE49-F238E27FC236}">
                  <a16:creationId xmlns:a16="http://schemas.microsoft.com/office/drawing/2014/main" id="{00000000-0008-0000-0400-000055000000}"/>
                </a:ext>
              </a:extLst>
            </xdr:cNvPr>
            <xdr:cNvGrpSpPr/>
          </xdr:nvGrpSpPr>
          <xdr:grpSpPr>
            <a:xfrm>
              <a:off x="9578341" y="2225733"/>
              <a:ext cx="1021080" cy="527860"/>
              <a:chOff x="9585961" y="2368382"/>
              <a:chExt cx="1021080" cy="529233"/>
            </a:xfrm>
          </xdr:grpSpPr>
          <xdr:sp macro="" textlink="">
            <xdr:nvSpPr>
              <xdr:cNvPr id="96" name="Oval 95">
                <a:extLst>
                  <a:ext uri="{FF2B5EF4-FFF2-40B4-BE49-F238E27FC236}">
                    <a16:creationId xmlns:a16="http://schemas.microsoft.com/office/drawing/2014/main" id="{00000000-0008-0000-0400-000060000000}"/>
                  </a:ext>
                </a:extLst>
              </xdr:cNvPr>
              <xdr:cNvSpPr/>
            </xdr:nvSpPr>
            <xdr:spPr>
              <a:xfrm>
                <a:off x="9823095" y="2368383"/>
                <a:ext cx="546812" cy="529232"/>
              </a:xfrm>
              <a:prstGeom prst="ellipse">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Character_selector!AD22">
            <xdr:nvSpPr>
              <xdr:cNvPr id="97" name="TextBox 96">
                <a:extLst>
                  <a:ext uri="{FF2B5EF4-FFF2-40B4-BE49-F238E27FC236}">
                    <a16:creationId xmlns:a16="http://schemas.microsoft.com/office/drawing/2014/main" id="{00000000-0008-0000-0400-000061000000}"/>
                  </a:ext>
                </a:extLst>
              </xdr:cNvPr>
              <xdr:cNvSpPr txBox="1"/>
            </xdr:nvSpPr>
            <xdr:spPr>
              <a:xfrm>
                <a:off x="9841231" y="2512151"/>
                <a:ext cx="510541" cy="267566"/>
              </a:xfrm>
              <a:prstGeom prst="rect">
                <a:avLst/>
              </a:prstGeom>
              <a:noFill/>
              <a:ln w="3810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CCE4E6D-1D25-4ACE-9826-17F4DFF40970}" type="TxLink">
                  <a:rPr lang="en-US" sz="1800" u="sng">
                    <a:ln>
                      <a:noFill/>
                    </a:ln>
                    <a:solidFill>
                      <a:schemeClr val="bg1"/>
                    </a:solidFill>
                    <a:latin typeface="+mn-lt"/>
                    <a:ea typeface="+mn-ea"/>
                    <a:cs typeface="+mn-cs"/>
                  </a:rPr>
                  <a:pPr marL="0" indent="0" algn="ctr"/>
                  <a:t>10.5</a:t>
                </a:fld>
                <a:endParaRPr lang="en-GB" sz="1800" u="sng">
                  <a:ln>
                    <a:noFill/>
                  </a:ln>
                  <a:solidFill>
                    <a:schemeClr val="bg1"/>
                  </a:solidFill>
                  <a:latin typeface="+mn-lt"/>
                  <a:ea typeface="+mn-ea"/>
                  <a:cs typeface="+mn-cs"/>
                </a:endParaRPr>
              </a:p>
            </xdr:txBody>
          </xdr:sp>
          <xdr:sp macro="" textlink="">
            <xdr:nvSpPr>
              <xdr:cNvPr id="98" name="TextBox 97">
                <a:extLst>
                  <a:ext uri="{FF2B5EF4-FFF2-40B4-BE49-F238E27FC236}">
                    <a16:creationId xmlns:a16="http://schemas.microsoft.com/office/drawing/2014/main" id="{00000000-0008-0000-0400-000062000000}"/>
                  </a:ext>
                </a:extLst>
              </xdr:cNvPr>
              <xdr:cNvSpPr txBox="1"/>
            </xdr:nvSpPr>
            <xdr:spPr>
              <a:xfrm>
                <a:off x="9585961" y="2368382"/>
                <a:ext cx="1021080" cy="267566"/>
              </a:xfrm>
              <a:prstGeom prst="rect">
                <a:avLst/>
              </a:prstGeom>
              <a:noFill/>
              <a:ln w="3810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u="sng">
                    <a:ln>
                      <a:noFill/>
                    </a:ln>
                    <a:solidFill>
                      <a:schemeClr val="bg1"/>
                    </a:solidFill>
                  </a:rPr>
                  <a:t>CHA</a:t>
                </a:r>
              </a:p>
              <a:p>
                <a:endParaRPr lang="en-GB" sz="1100">
                  <a:ln>
                    <a:noFill/>
                  </a:ln>
                  <a:solidFill>
                    <a:schemeClr val="bg1"/>
                  </a:solidFill>
                </a:endParaRPr>
              </a:p>
            </xdr:txBody>
          </xdr:sp>
        </xdr:grpSp>
        <xdr:grpSp>
          <xdr:nvGrpSpPr>
            <xdr:cNvPr id="87" name="Group 86">
              <a:extLst>
                <a:ext uri="{FF2B5EF4-FFF2-40B4-BE49-F238E27FC236}">
                  <a16:creationId xmlns:a16="http://schemas.microsoft.com/office/drawing/2014/main" id="{00000000-0008-0000-0400-000057000000}"/>
                </a:ext>
              </a:extLst>
            </xdr:cNvPr>
            <xdr:cNvGrpSpPr/>
          </xdr:nvGrpSpPr>
          <xdr:grpSpPr>
            <a:xfrm>
              <a:off x="9278285" y="1746038"/>
              <a:ext cx="1021080" cy="527859"/>
              <a:chOff x="9585961" y="2368382"/>
              <a:chExt cx="1021080" cy="529231"/>
            </a:xfrm>
          </xdr:grpSpPr>
          <xdr:sp macro="" textlink="">
            <xdr:nvSpPr>
              <xdr:cNvPr id="93" name="Oval 92">
                <a:extLst>
                  <a:ext uri="{FF2B5EF4-FFF2-40B4-BE49-F238E27FC236}">
                    <a16:creationId xmlns:a16="http://schemas.microsoft.com/office/drawing/2014/main" id="{00000000-0008-0000-0400-00005D000000}"/>
                  </a:ext>
                </a:extLst>
              </xdr:cNvPr>
              <xdr:cNvSpPr/>
            </xdr:nvSpPr>
            <xdr:spPr>
              <a:xfrm>
                <a:off x="9823095" y="2368382"/>
                <a:ext cx="546812" cy="529231"/>
              </a:xfrm>
              <a:prstGeom prst="ellipse">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Character_selector!AD20">
            <xdr:nvSpPr>
              <xdr:cNvPr id="94" name="TextBox 93">
                <a:extLst>
                  <a:ext uri="{FF2B5EF4-FFF2-40B4-BE49-F238E27FC236}">
                    <a16:creationId xmlns:a16="http://schemas.microsoft.com/office/drawing/2014/main" id="{00000000-0008-0000-0400-00005E000000}"/>
                  </a:ext>
                </a:extLst>
              </xdr:cNvPr>
              <xdr:cNvSpPr txBox="1"/>
            </xdr:nvSpPr>
            <xdr:spPr>
              <a:xfrm>
                <a:off x="9841231" y="2512151"/>
                <a:ext cx="510541" cy="267566"/>
              </a:xfrm>
              <a:prstGeom prst="rect">
                <a:avLst/>
              </a:prstGeom>
              <a:noFill/>
              <a:ln w="3810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5788D0C-1A32-41B6-943C-210EA59808DE}" type="TxLink">
                  <a:rPr lang="en-US" sz="1800" u="sng">
                    <a:ln>
                      <a:noFill/>
                    </a:ln>
                    <a:solidFill>
                      <a:schemeClr val="bg1"/>
                    </a:solidFill>
                    <a:latin typeface="+mn-lt"/>
                    <a:ea typeface="+mn-ea"/>
                    <a:cs typeface="+mn-cs"/>
                  </a:rPr>
                  <a:pPr marL="0" indent="0" algn="ctr"/>
                  <a:t>8.5</a:t>
                </a:fld>
                <a:endParaRPr lang="en-GB" sz="1800" u="sng">
                  <a:ln>
                    <a:noFill/>
                  </a:ln>
                  <a:solidFill>
                    <a:schemeClr val="bg1"/>
                  </a:solidFill>
                  <a:latin typeface="+mn-lt"/>
                  <a:ea typeface="+mn-ea"/>
                  <a:cs typeface="+mn-cs"/>
                </a:endParaRPr>
              </a:p>
            </xdr:txBody>
          </xdr:sp>
          <xdr:sp macro="" textlink="">
            <xdr:nvSpPr>
              <xdr:cNvPr id="95" name="TextBox 94">
                <a:extLst>
                  <a:ext uri="{FF2B5EF4-FFF2-40B4-BE49-F238E27FC236}">
                    <a16:creationId xmlns:a16="http://schemas.microsoft.com/office/drawing/2014/main" id="{00000000-0008-0000-0400-00005F000000}"/>
                  </a:ext>
                </a:extLst>
              </xdr:cNvPr>
              <xdr:cNvSpPr txBox="1"/>
            </xdr:nvSpPr>
            <xdr:spPr>
              <a:xfrm>
                <a:off x="9585961" y="2368382"/>
                <a:ext cx="1021080" cy="267566"/>
              </a:xfrm>
              <a:prstGeom prst="rect">
                <a:avLst/>
              </a:prstGeom>
              <a:noFill/>
              <a:ln w="3810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u="sng">
                    <a:ln>
                      <a:noFill/>
                    </a:ln>
                    <a:solidFill>
                      <a:schemeClr val="bg1"/>
                    </a:solidFill>
                  </a:rPr>
                  <a:t>INT</a:t>
                </a:r>
              </a:p>
              <a:p>
                <a:endParaRPr lang="en-GB" sz="1100">
                  <a:ln>
                    <a:noFill/>
                  </a:ln>
                  <a:solidFill>
                    <a:schemeClr val="bg1"/>
                  </a:solidFill>
                </a:endParaRPr>
              </a:p>
            </xdr:txBody>
          </xdr:sp>
        </xdr:grpSp>
        <xdr:grpSp>
          <xdr:nvGrpSpPr>
            <xdr:cNvPr id="89" name="Group 88">
              <a:extLst>
                <a:ext uri="{FF2B5EF4-FFF2-40B4-BE49-F238E27FC236}">
                  <a16:creationId xmlns:a16="http://schemas.microsoft.com/office/drawing/2014/main" id="{00000000-0008-0000-0400-000059000000}"/>
                </a:ext>
              </a:extLst>
            </xdr:cNvPr>
            <xdr:cNvGrpSpPr/>
          </xdr:nvGrpSpPr>
          <xdr:grpSpPr>
            <a:xfrm>
              <a:off x="9893636" y="1746038"/>
              <a:ext cx="1021080" cy="527859"/>
              <a:chOff x="9585961" y="2368382"/>
              <a:chExt cx="1021080" cy="529231"/>
            </a:xfrm>
          </xdr:grpSpPr>
          <xdr:sp macro="" textlink="">
            <xdr:nvSpPr>
              <xdr:cNvPr id="90" name="Oval 89">
                <a:extLst>
                  <a:ext uri="{FF2B5EF4-FFF2-40B4-BE49-F238E27FC236}">
                    <a16:creationId xmlns:a16="http://schemas.microsoft.com/office/drawing/2014/main" id="{00000000-0008-0000-0400-00005A000000}"/>
                  </a:ext>
                </a:extLst>
              </xdr:cNvPr>
              <xdr:cNvSpPr/>
            </xdr:nvSpPr>
            <xdr:spPr>
              <a:xfrm>
                <a:off x="9823095" y="2368382"/>
                <a:ext cx="546812" cy="529231"/>
              </a:xfrm>
              <a:prstGeom prst="ellipse">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Character_selector!AD21">
            <xdr:nvSpPr>
              <xdr:cNvPr id="91" name="TextBox 90">
                <a:extLst>
                  <a:ext uri="{FF2B5EF4-FFF2-40B4-BE49-F238E27FC236}">
                    <a16:creationId xmlns:a16="http://schemas.microsoft.com/office/drawing/2014/main" id="{00000000-0008-0000-0400-00005B000000}"/>
                  </a:ext>
                </a:extLst>
              </xdr:cNvPr>
              <xdr:cNvSpPr txBox="1"/>
            </xdr:nvSpPr>
            <xdr:spPr>
              <a:xfrm>
                <a:off x="9841231" y="2512151"/>
                <a:ext cx="510541" cy="267566"/>
              </a:xfrm>
              <a:prstGeom prst="rect">
                <a:avLst/>
              </a:prstGeom>
              <a:noFill/>
              <a:ln w="3810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221E0C2-9D6A-44C7-9E63-31857607E216}" type="TxLink">
                  <a:rPr lang="en-US" sz="1800" u="sng">
                    <a:ln>
                      <a:noFill/>
                    </a:ln>
                    <a:solidFill>
                      <a:schemeClr val="bg1"/>
                    </a:solidFill>
                    <a:latin typeface="+mn-lt"/>
                    <a:ea typeface="+mn-ea"/>
                    <a:cs typeface="+mn-cs"/>
                  </a:rPr>
                  <a:pPr marL="0" indent="0" algn="ctr"/>
                  <a:t>11.5</a:t>
                </a:fld>
                <a:endParaRPr lang="en-GB" sz="1800" u="sng">
                  <a:ln>
                    <a:noFill/>
                  </a:ln>
                  <a:solidFill>
                    <a:schemeClr val="bg1"/>
                  </a:solidFill>
                  <a:latin typeface="+mn-lt"/>
                  <a:ea typeface="+mn-ea"/>
                  <a:cs typeface="+mn-cs"/>
                </a:endParaRPr>
              </a:p>
            </xdr:txBody>
          </xdr:sp>
          <xdr:sp macro="" textlink="">
            <xdr:nvSpPr>
              <xdr:cNvPr id="92" name="TextBox 91">
                <a:extLst>
                  <a:ext uri="{FF2B5EF4-FFF2-40B4-BE49-F238E27FC236}">
                    <a16:creationId xmlns:a16="http://schemas.microsoft.com/office/drawing/2014/main" id="{00000000-0008-0000-0400-00005C000000}"/>
                  </a:ext>
                </a:extLst>
              </xdr:cNvPr>
              <xdr:cNvSpPr txBox="1"/>
            </xdr:nvSpPr>
            <xdr:spPr>
              <a:xfrm>
                <a:off x="9585961" y="2368382"/>
                <a:ext cx="1021080" cy="267566"/>
              </a:xfrm>
              <a:prstGeom prst="rect">
                <a:avLst/>
              </a:prstGeom>
              <a:noFill/>
              <a:ln w="3810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u="sng">
                    <a:ln>
                      <a:noFill/>
                    </a:ln>
                    <a:solidFill>
                      <a:schemeClr val="bg1"/>
                    </a:solidFill>
                  </a:rPr>
                  <a:t>WIS</a:t>
                </a:r>
              </a:p>
              <a:p>
                <a:endParaRPr lang="en-GB" sz="1100">
                  <a:ln>
                    <a:noFill/>
                  </a:ln>
                  <a:solidFill>
                    <a:schemeClr val="bg1"/>
                  </a:solidFill>
                </a:endParaRPr>
              </a:p>
            </xdr:txBody>
          </xdr:sp>
        </xdr:grpSp>
      </xdr:grpSp>
      <xdr:grpSp>
        <xdr:nvGrpSpPr>
          <xdr:cNvPr id="5" name="Group 4">
            <a:extLst>
              <a:ext uri="{FF2B5EF4-FFF2-40B4-BE49-F238E27FC236}">
                <a16:creationId xmlns:a16="http://schemas.microsoft.com/office/drawing/2014/main" id="{00000000-0008-0000-0400-000005000000}"/>
              </a:ext>
            </a:extLst>
          </xdr:cNvPr>
          <xdr:cNvGrpSpPr/>
        </xdr:nvGrpSpPr>
        <xdr:grpSpPr>
          <a:xfrm>
            <a:off x="548593" y="4923138"/>
            <a:ext cx="4425380" cy="863747"/>
            <a:chOff x="548593" y="4923138"/>
            <a:chExt cx="4425380" cy="863747"/>
          </a:xfrm>
        </xdr:grpSpPr>
        <xdr:sp macro="" textlink="">
          <xdr:nvSpPr>
            <xdr:cNvPr id="99" name="TextBox 98">
              <a:extLst>
                <a:ext uri="{FF2B5EF4-FFF2-40B4-BE49-F238E27FC236}">
                  <a16:creationId xmlns:a16="http://schemas.microsoft.com/office/drawing/2014/main" id="{00000000-0008-0000-0400-000063000000}"/>
                </a:ext>
              </a:extLst>
            </xdr:cNvPr>
            <xdr:cNvSpPr txBox="1"/>
          </xdr:nvSpPr>
          <xdr:spPr>
            <a:xfrm>
              <a:off x="548593" y="4924931"/>
              <a:ext cx="794872" cy="444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u="none">
                  <a:ln>
                    <a:noFill/>
                  </a:ln>
                  <a:solidFill>
                    <a:srgbClr val="434443"/>
                  </a:solidFill>
                </a:rPr>
                <a:t>Class:</a:t>
              </a:r>
            </a:p>
            <a:p>
              <a:endParaRPr lang="en-GB" sz="2000" u="none">
                <a:ln>
                  <a:noFill/>
                </a:ln>
                <a:solidFill>
                  <a:schemeClr val="bg1"/>
                </a:solidFill>
                <a:latin typeface="+mn-lt"/>
                <a:ea typeface="+mn-ea"/>
                <a:cs typeface="+mn-cs"/>
              </a:endParaRPr>
            </a:p>
          </xdr:txBody>
        </xdr:sp>
        <xdr:sp macro="" textlink="Character_selector!AD6">
          <xdr:nvSpPr>
            <xdr:cNvPr id="100" name="TextBox 99">
              <a:extLst>
                <a:ext uri="{FF2B5EF4-FFF2-40B4-BE49-F238E27FC236}">
                  <a16:creationId xmlns:a16="http://schemas.microsoft.com/office/drawing/2014/main" id="{00000000-0008-0000-0400-000064000000}"/>
                </a:ext>
              </a:extLst>
            </xdr:cNvPr>
            <xdr:cNvSpPr txBox="1"/>
          </xdr:nvSpPr>
          <xdr:spPr>
            <a:xfrm>
              <a:off x="1164097" y="4924931"/>
              <a:ext cx="1521343" cy="444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C3683C9-93AE-49AF-A27E-827A36140C77}" type="TxLink">
                <a:rPr lang="en-US" sz="1800" b="0" i="0" u="none" strike="noStrike">
                  <a:ln>
                    <a:noFill/>
                  </a:ln>
                  <a:solidFill>
                    <a:schemeClr val="bg1"/>
                  </a:solidFill>
                  <a:latin typeface="Calibri"/>
                  <a:ea typeface="+mn-ea"/>
                  <a:cs typeface="Calibri"/>
                </a:rPr>
                <a:pPr marL="0" indent="0"/>
                <a:t>Cool</a:t>
              </a:fld>
              <a:endParaRPr lang="en-GB" sz="3200" u="none">
                <a:ln>
                  <a:noFill/>
                </a:ln>
                <a:solidFill>
                  <a:schemeClr val="bg1"/>
                </a:solidFill>
                <a:latin typeface="+mn-lt"/>
                <a:ea typeface="+mn-ea"/>
                <a:cs typeface="+mn-cs"/>
              </a:endParaRPr>
            </a:p>
          </xdr:txBody>
        </xdr:sp>
        <xdr:sp macro="" textlink="">
          <xdr:nvSpPr>
            <xdr:cNvPr id="101" name="TextBox 100">
              <a:extLst>
                <a:ext uri="{FF2B5EF4-FFF2-40B4-BE49-F238E27FC236}">
                  <a16:creationId xmlns:a16="http://schemas.microsoft.com/office/drawing/2014/main" id="{00000000-0008-0000-0400-000065000000}"/>
                </a:ext>
              </a:extLst>
            </xdr:cNvPr>
            <xdr:cNvSpPr txBox="1"/>
          </xdr:nvSpPr>
          <xdr:spPr>
            <a:xfrm>
              <a:off x="548593" y="5342239"/>
              <a:ext cx="794872" cy="444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u="none">
                  <a:ln>
                    <a:noFill/>
                  </a:ln>
                  <a:solidFill>
                    <a:srgbClr val="434443"/>
                  </a:solidFill>
                  <a:latin typeface="+mn-lt"/>
                  <a:ea typeface="+mn-ea"/>
                  <a:cs typeface="+mn-cs"/>
                </a:rPr>
                <a:t>Race</a:t>
              </a:r>
              <a:r>
                <a:rPr lang="en-GB" sz="2000" u="none">
                  <a:ln>
                    <a:noFill/>
                  </a:ln>
                  <a:solidFill>
                    <a:srgbClr val="434443"/>
                  </a:solidFill>
                </a:rPr>
                <a:t>:</a:t>
              </a:r>
            </a:p>
            <a:p>
              <a:endParaRPr lang="en-GB" sz="2000" u="none">
                <a:ln>
                  <a:noFill/>
                </a:ln>
                <a:solidFill>
                  <a:schemeClr val="bg1"/>
                </a:solidFill>
                <a:latin typeface="+mn-lt"/>
                <a:ea typeface="+mn-ea"/>
                <a:cs typeface="+mn-cs"/>
              </a:endParaRPr>
            </a:p>
          </xdr:txBody>
        </xdr:sp>
        <xdr:sp macro="" textlink="Character_selector!AD7">
          <xdr:nvSpPr>
            <xdr:cNvPr id="102" name="TextBox 101">
              <a:extLst>
                <a:ext uri="{FF2B5EF4-FFF2-40B4-BE49-F238E27FC236}">
                  <a16:creationId xmlns:a16="http://schemas.microsoft.com/office/drawing/2014/main" id="{00000000-0008-0000-0400-000066000000}"/>
                </a:ext>
              </a:extLst>
            </xdr:cNvPr>
            <xdr:cNvSpPr txBox="1"/>
          </xdr:nvSpPr>
          <xdr:spPr>
            <a:xfrm>
              <a:off x="1164097" y="5342240"/>
              <a:ext cx="1521343" cy="444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80161C7-DAB2-4DE4-A02E-7E0C73D1A15A}" type="TxLink">
                <a:rPr lang="en-US" sz="1800" b="0" i="0" u="none" strike="noStrike">
                  <a:ln>
                    <a:noFill/>
                  </a:ln>
                  <a:solidFill>
                    <a:schemeClr val="bg1"/>
                  </a:solidFill>
                  <a:latin typeface="Calibri"/>
                  <a:ea typeface="+mn-ea"/>
                  <a:cs typeface="Calibri"/>
                </a:rPr>
                <a:pPr marL="0" indent="0"/>
                <a:t>Mixed </a:t>
              </a:fld>
              <a:endParaRPr lang="en-GB" sz="3200" u="none">
                <a:ln>
                  <a:noFill/>
                </a:ln>
                <a:solidFill>
                  <a:schemeClr val="bg1"/>
                </a:solidFill>
                <a:latin typeface="+mn-lt"/>
                <a:ea typeface="+mn-ea"/>
                <a:cs typeface="+mn-cs"/>
              </a:endParaRPr>
            </a:p>
          </xdr:txBody>
        </xdr:sp>
        <xdr:sp macro="" textlink="">
          <xdr:nvSpPr>
            <xdr:cNvPr id="88" name="TextBox 87">
              <a:extLst>
                <a:ext uri="{FF2B5EF4-FFF2-40B4-BE49-F238E27FC236}">
                  <a16:creationId xmlns:a16="http://schemas.microsoft.com/office/drawing/2014/main" id="{00000000-0008-0000-0400-000058000000}"/>
                </a:ext>
              </a:extLst>
            </xdr:cNvPr>
            <xdr:cNvSpPr txBox="1"/>
          </xdr:nvSpPr>
          <xdr:spPr>
            <a:xfrm>
              <a:off x="2308812" y="4923138"/>
              <a:ext cx="794872" cy="444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u="none">
                  <a:ln>
                    <a:noFill/>
                  </a:ln>
                  <a:solidFill>
                    <a:srgbClr val="434443"/>
                  </a:solidFill>
                </a:rPr>
                <a:t>Age:</a:t>
              </a:r>
            </a:p>
            <a:p>
              <a:endParaRPr lang="en-GB" sz="2000" u="none">
                <a:ln>
                  <a:noFill/>
                </a:ln>
                <a:solidFill>
                  <a:schemeClr val="bg1"/>
                </a:solidFill>
                <a:latin typeface="+mn-lt"/>
                <a:ea typeface="+mn-ea"/>
                <a:cs typeface="+mn-cs"/>
              </a:endParaRPr>
            </a:p>
          </xdr:txBody>
        </xdr:sp>
        <xdr:sp macro="" textlink="">
          <xdr:nvSpPr>
            <xdr:cNvPr id="103" name="TextBox 102">
              <a:extLst>
                <a:ext uri="{FF2B5EF4-FFF2-40B4-BE49-F238E27FC236}">
                  <a16:creationId xmlns:a16="http://schemas.microsoft.com/office/drawing/2014/main" id="{00000000-0008-0000-0400-000067000000}"/>
                </a:ext>
              </a:extLst>
            </xdr:cNvPr>
            <xdr:cNvSpPr txBox="1"/>
          </xdr:nvSpPr>
          <xdr:spPr>
            <a:xfrm>
              <a:off x="3459432" y="4924931"/>
              <a:ext cx="794872" cy="444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u="none">
                  <a:ln>
                    <a:noFill/>
                  </a:ln>
                  <a:solidFill>
                    <a:srgbClr val="434443"/>
                  </a:solidFill>
                </a:rPr>
                <a:t>Lvl:</a:t>
              </a:r>
            </a:p>
            <a:p>
              <a:endParaRPr lang="en-GB" sz="2000" u="none">
                <a:ln>
                  <a:noFill/>
                </a:ln>
                <a:solidFill>
                  <a:schemeClr val="bg1"/>
                </a:solidFill>
                <a:latin typeface="+mn-lt"/>
                <a:ea typeface="+mn-ea"/>
                <a:cs typeface="+mn-cs"/>
              </a:endParaRPr>
            </a:p>
          </xdr:txBody>
        </xdr:sp>
        <xdr:sp macro="" textlink="">
          <xdr:nvSpPr>
            <xdr:cNvPr id="104" name="TextBox 103">
              <a:extLst>
                <a:ext uri="{FF2B5EF4-FFF2-40B4-BE49-F238E27FC236}">
                  <a16:creationId xmlns:a16="http://schemas.microsoft.com/office/drawing/2014/main" id="{00000000-0008-0000-0400-000068000000}"/>
                </a:ext>
              </a:extLst>
            </xdr:cNvPr>
            <xdr:cNvSpPr txBox="1"/>
          </xdr:nvSpPr>
          <xdr:spPr>
            <a:xfrm>
              <a:off x="2308812" y="5342238"/>
              <a:ext cx="975407" cy="444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u="none">
                  <a:ln>
                    <a:noFill/>
                  </a:ln>
                  <a:solidFill>
                    <a:srgbClr val="434443"/>
                  </a:solidFill>
                </a:rPr>
                <a:t>Hight:</a:t>
              </a:r>
            </a:p>
            <a:p>
              <a:endParaRPr lang="en-GB" sz="2000" u="none">
                <a:ln>
                  <a:noFill/>
                </a:ln>
                <a:solidFill>
                  <a:schemeClr val="bg1"/>
                </a:solidFill>
                <a:latin typeface="+mn-lt"/>
                <a:ea typeface="+mn-ea"/>
                <a:cs typeface="+mn-cs"/>
              </a:endParaRPr>
            </a:p>
          </xdr:txBody>
        </xdr:sp>
        <xdr:sp macro="" textlink="">
          <xdr:nvSpPr>
            <xdr:cNvPr id="105" name="TextBox 104">
              <a:extLst>
                <a:ext uri="{FF2B5EF4-FFF2-40B4-BE49-F238E27FC236}">
                  <a16:creationId xmlns:a16="http://schemas.microsoft.com/office/drawing/2014/main" id="{00000000-0008-0000-0400-000069000000}"/>
                </a:ext>
              </a:extLst>
            </xdr:cNvPr>
            <xdr:cNvSpPr txBox="1"/>
          </xdr:nvSpPr>
          <xdr:spPr>
            <a:xfrm>
              <a:off x="3459432" y="5342238"/>
              <a:ext cx="1104948" cy="444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u="none">
                  <a:ln>
                    <a:noFill/>
                  </a:ln>
                  <a:solidFill>
                    <a:srgbClr val="434443"/>
                  </a:solidFill>
                </a:rPr>
                <a:t>Weight:</a:t>
              </a:r>
            </a:p>
            <a:p>
              <a:endParaRPr lang="en-GB" sz="2000" u="none">
                <a:ln>
                  <a:noFill/>
                </a:ln>
                <a:solidFill>
                  <a:schemeClr val="bg1"/>
                </a:solidFill>
                <a:latin typeface="+mn-lt"/>
                <a:ea typeface="+mn-ea"/>
                <a:cs typeface="+mn-cs"/>
              </a:endParaRPr>
            </a:p>
          </xdr:txBody>
        </xdr:sp>
        <xdr:sp macro="" textlink="Character_selector!AD11">
          <xdr:nvSpPr>
            <xdr:cNvPr id="106" name="TextBox 105">
              <a:extLst>
                <a:ext uri="{FF2B5EF4-FFF2-40B4-BE49-F238E27FC236}">
                  <a16:creationId xmlns:a16="http://schemas.microsoft.com/office/drawing/2014/main" id="{00000000-0008-0000-0400-00006A000000}"/>
                </a:ext>
              </a:extLst>
            </xdr:cNvPr>
            <xdr:cNvSpPr txBox="1"/>
          </xdr:nvSpPr>
          <xdr:spPr>
            <a:xfrm>
              <a:off x="2820625" y="4924931"/>
              <a:ext cx="471215" cy="444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1BA3F23-A972-4392-A347-7D865CBE19F5}" type="TxLink">
                <a:rPr lang="en-US" sz="1800" b="0" i="0" u="none" strike="noStrike">
                  <a:ln>
                    <a:noFill/>
                  </a:ln>
                  <a:solidFill>
                    <a:schemeClr val="bg1"/>
                  </a:solidFill>
                  <a:latin typeface="Calibri"/>
                  <a:ea typeface="+mn-ea"/>
                  <a:cs typeface="Calibri"/>
                </a:rPr>
                <a:pPr marL="0" indent="0"/>
                <a:t>31.8</a:t>
              </a:fld>
              <a:endParaRPr lang="en-GB" sz="1800" b="0" i="0" u="none" strike="noStrike">
                <a:ln>
                  <a:noFill/>
                </a:ln>
                <a:solidFill>
                  <a:schemeClr val="bg1"/>
                </a:solidFill>
                <a:latin typeface="Calibri"/>
                <a:ea typeface="+mn-ea"/>
                <a:cs typeface="Calibri"/>
              </a:endParaRPr>
            </a:p>
          </xdr:txBody>
        </xdr:sp>
        <xdr:sp macro="" textlink="Character_selector!AD8">
          <xdr:nvSpPr>
            <xdr:cNvPr id="107" name="TextBox 106">
              <a:extLst>
                <a:ext uri="{FF2B5EF4-FFF2-40B4-BE49-F238E27FC236}">
                  <a16:creationId xmlns:a16="http://schemas.microsoft.com/office/drawing/2014/main" id="{00000000-0008-0000-0400-00006B000000}"/>
                </a:ext>
              </a:extLst>
            </xdr:cNvPr>
            <xdr:cNvSpPr txBox="1"/>
          </xdr:nvSpPr>
          <xdr:spPr>
            <a:xfrm>
              <a:off x="3872185" y="4924931"/>
              <a:ext cx="471215" cy="444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30F5481-5918-40A3-90B8-BD072F7B9EF7}" type="TxLink">
                <a:rPr lang="en-US" sz="1800" b="0" i="0" u="none" strike="noStrike">
                  <a:ln>
                    <a:noFill/>
                  </a:ln>
                  <a:solidFill>
                    <a:schemeClr val="bg1"/>
                  </a:solidFill>
                  <a:latin typeface="Calibri"/>
                  <a:ea typeface="+mn-ea"/>
                  <a:cs typeface="Calibri"/>
                </a:rPr>
                <a:pPr marL="0" indent="0"/>
                <a:t>40</a:t>
              </a:fld>
              <a:endParaRPr lang="en-GB" sz="1800" b="0" i="0" u="none" strike="noStrike">
                <a:ln>
                  <a:noFill/>
                </a:ln>
                <a:solidFill>
                  <a:schemeClr val="bg1"/>
                </a:solidFill>
                <a:latin typeface="Calibri"/>
                <a:ea typeface="+mn-ea"/>
                <a:cs typeface="Calibri"/>
              </a:endParaRPr>
            </a:p>
          </xdr:txBody>
        </xdr:sp>
        <xdr:sp macro="" textlink="Character_selector!AD9">
          <xdr:nvSpPr>
            <xdr:cNvPr id="108" name="TextBox 107">
              <a:extLst>
                <a:ext uri="{FF2B5EF4-FFF2-40B4-BE49-F238E27FC236}">
                  <a16:creationId xmlns:a16="http://schemas.microsoft.com/office/drawing/2014/main" id="{00000000-0008-0000-0400-00006C000000}"/>
                </a:ext>
              </a:extLst>
            </xdr:cNvPr>
            <xdr:cNvSpPr txBox="1"/>
          </xdr:nvSpPr>
          <xdr:spPr>
            <a:xfrm>
              <a:off x="2973025" y="5342239"/>
              <a:ext cx="753616" cy="444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F511C66-5A97-4709-AA21-080800FD86A3}" type="TxLink">
                <a:rPr lang="en-US" sz="1800" b="0" i="0" u="none" strike="noStrike">
                  <a:ln>
                    <a:noFill/>
                  </a:ln>
                  <a:solidFill>
                    <a:schemeClr val="bg1"/>
                  </a:solidFill>
                  <a:latin typeface="Calibri"/>
                  <a:ea typeface="+mn-ea"/>
                  <a:cs typeface="Calibri"/>
                </a:rPr>
                <a:pPr marL="0" indent="0"/>
                <a:t>76.5</a:t>
              </a:fld>
              <a:endParaRPr lang="en-GB" sz="1800" b="0" i="0" u="none" strike="noStrike">
                <a:ln>
                  <a:noFill/>
                </a:ln>
                <a:solidFill>
                  <a:schemeClr val="bg1"/>
                </a:solidFill>
                <a:latin typeface="Calibri"/>
                <a:ea typeface="+mn-ea"/>
                <a:cs typeface="Calibri"/>
              </a:endParaRPr>
            </a:p>
          </xdr:txBody>
        </xdr:sp>
        <xdr:sp macro="" textlink="Character_selector!AD10">
          <xdr:nvSpPr>
            <xdr:cNvPr id="109" name="TextBox 108">
              <a:extLst>
                <a:ext uri="{FF2B5EF4-FFF2-40B4-BE49-F238E27FC236}">
                  <a16:creationId xmlns:a16="http://schemas.microsoft.com/office/drawing/2014/main" id="{00000000-0008-0000-0400-00006D000000}"/>
                </a:ext>
              </a:extLst>
            </xdr:cNvPr>
            <xdr:cNvSpPr txBox="1"/>
          </xdr:nvSpPr>
          <xdr:spPr>
            <a:xfrm>
              <a:off x="4298905" y="5342239"/>
              <a:ext cx="675068" cy="444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670EA4C-41F5-455A-BC29-59CEC3DCB100}" type="TxLink">
                <a:rPr lang="en-US" sz="1800" b="0" i="0" u="none" strike="noStrike">
                  <a:ln>
                    <a:noFill/>
                  </a:ln>
                  <a:solidFill>
                    <a:schemeClr val="bg1"/>
                  </a:solidFill>
                  <a:latin typeface="Calibri"/>
                  <a:ea typeface="+mn-ea"/>
                  <a:cs typeface="Calibri"/>
                </a:rPr>
                <a:pPr marL="0" indent="0"/>
                <a:t>295.4</a:t>
              </a:fld>
              <a:endParaRPr lang="en-GB" sz="1800" b="0" i="0" u="none" strike="noStrike">
                <a:ln>
                  <a:noFill/>
                </a:ln>
                <a:solidFill>
                  <a:schemeClr val="bg1"/>
                </a:solidFill>
                <a:latin typeface="Calibri"/>
                <a:ea typeface="+mn-ea"/>
                <a:cs typeface="Calibri"/>
              </a:endParaRPr>
            </a:p>
          </xdr:txBody>
        </xdr:sp>
      </xdr:grpSp>
    </xdr:grpSp>
    <xdr:clientData/>
  </xdr:twoCellAnchor>
  <xdr:twoCellAnchor>
    <xdr:from>
      <xdr:col>0</xdr:col>
      <xdr:colOff>252655</xdr:colOff>
      <xdr:row>4</xdr:row>
      <xdr:rowOff>97867</xdr:rowOff>
    </xdr:from>
    <xdr:to>
      <xdr:col>8</xdr:col>
      <xdr:colOff>228600</xdr:colOff>
      <xdr:row>10</xdr:row>
      <xdr:rowOff>181632</xdr:rowOff>
    </xdr:to>
    <xdr:grpSp>
      <xdr:nvGrpSpPr>
        <xdr:cNvPr id="36" name="Character selector">
          <a:extLst>
            <a:ext uri="{FF2B5EF4-FFF2-40B4-BE49-F238E27FC236}">
              <a16:creationId xmlns:a16="http://schemas.microsoft.com/office/drawing/2014/main" id="{00000000-0008-0000-0400-000024000000}"/>
            </a:ext>
          </a:extLst>
        </xdr:cNvPr>
        <xdr:cNvGrpSpPr/>
      </xdr:nvGrpSpPr>
      <xdr:grpSpPr>
        <a:xfrm>
          <a:off x="252655" y="829387"/>
          <a:ext cx="4852745" cy="1181045"/>
          <a:chOff x="252655" y="829387"/>
          <a:chExt cx="4852745" cy="1181045"/>
        </a:xfrm>
      </xdr:grpSpPr>
      <xdr:sp macro="" textlink="">
        <xdr:nvSpPr>
          <xdr:cNvPr id="20" name="Rectangle: Rounded Corners 19">
            <a:extLst>
              <a:ext uri="{FF2B5EF4-FFF2-40B4-BE49-F238E27FC236}">
                <a16:creationId xmlns:a16="http://schemas.microsoft.com/office/drawing/2014/main" id="{00000000-0008-0000-0400-000014000000}"/>
              </a:ext>
            </a:extLst>
          </xdr:cNvPr>
          <xdr:cNvSpPr/>
        </xdr:nvSpPr>
        <xdr:spPr>
          <a:xfrm>
            <a:off x="252655" y="829387"/>
            <a:ext cx="4852745" cy="1181045"/>
          </a:xfrm>
          <a:prstGeom prst="roundRect">
            <a:avLst/>
          </a:prstGeom>
          <a:solidFill>
            <a:srgbClr val="232423"/>
          </a:solidFill>
          <a:ln>
            <a:solidFill>
              <a:srgbClr val="BB434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pic>
        <xdr:nvPicPr>
          <xdr:cNvPr id="112" name="Picture 111" descr="Image">
            <a:extLst>
              <a:ext uri="{FF2B5EF4-FFF2-40B4-BE49-F238E27FC236}">
                <a16:creationId xmlns:a16="http://schemas.microsoft.com/office/drawing/2014/main" id="{00000000-0008-0000-0400-00007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958356" y="938861"/>
            <a:ext cx="601509" cy="60278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9"/>
          <a:stretch>
            <a:fillRect/>
          </a:stretch>
        </xdr:blipFill>
        <xdr:spPr>
          <a:xfrm>
            <a:off x="2660852" y="938860"/>
            <a:ext cx="601200" cy="614218"/>
          </a:xfrm>
          <a:prstGeom prst="rect">
            <a:avLst/>
          </a:prstGeom>
        </xdr:spPr>
      </xdr:pic>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10"/>
          <a:stretch>
            <a:fillRect/>
          </a:stretch>
        </xdr:blipFill>
        <xdr:spPr>
          <a:xfrm>
            <a:off x="1206945" y="938860"/>
            <a:ext cx="601200" cy="614218"/>
          </a:xfrm>
          <a:prstGeom prst="rect">
            <a:avLst/>
          </a:prstGeom>
        </xdr:spPr>
      </xdr:pic>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93172" y="942909"/>
            <a:ext cx="601200" cy="615759"/>
          </a:xfrm>
          <a:prstGeom prst="rect">
            <a:avLst/>
          </a:prstGeom>
          <a:ln>
            <a:noFill/>
          </a:ln>
        </xdr:spPr>
      </xdr:pic>
      <mc:AlternateContent xmlns:mc="http://schemas.openxmlformats.org/markup-compatibility/2006">
        <mc:Choice xmlns:a14="http://schemas.microsoft.com/office/drawing/2010/main" Requires="a14">
          <xdr:graphicFrame macro="">
            <xdr:nvGraphicFramePr>
              <xdr:cNvPr id="214" name="Character name 1">
                <a:extLst>
                  <a:ext uri="{FF2B5EF4-FFF2-40B4-BE49-F238E27FC236}">
                    <a16:creationId xmlns:a16="http://schemas.microsoft.com/office/drawing/2014/main" id="{00000000-0008-0000-0400-0000D6000000}"/>
                  </a:ext>
                </a:extLst>
              </xdr:cNvPr>
              <xdr:cNvGraphicFramePr/>
            </xdr:nvGraphicFramePr>
            <xdr:xfrm>
              <a:off x="358140" y="1554480"/>
              <a:ext cx="4564380" cy="426720"/>
            </xdr:xfrm>
            <a:graphic>
              <a:graphicData uri="http://schemas.microsoft.com/office/drawing/2010/slicer">
                <sle:slicer xmlns:sle="http://schemas.microsoft.com/office/drawing/2010/slicer" name="Character name 1"/>
              </a:graphicData>
            </a:graphic>
          </xdr:graphicFrame>
        </mc:Choice>
        <mc:Fallback>
          <xdr:sp macro="" textlink="">
            <xdr:nvSpPr>
              <xdr:cNvPr id="0" name=""/>
              <xdr:cNvSpPr>
                <a:spLocks noTextEdit="1"/>
              </xdr:cNvSpPr>
            </xdr:nvSpPr>
            <xdr:spPr>
              <a:xfrm>
                <a:off x="358140" y="1554480"/>
                <a:ext cx="4564380" cy="426720"/>
              </a:xfrm>
              <a:prstGeom prst="rect">
                <a:avLst/>
              </a:prstGeom>
              <a:solidFill>
                <a:prstClr val="white"/>
              </a:solidFill>
              <a:ln w="1">
                <a:solidFill>
                  <a:prstClr val="green"/>
                </a:solidFill>
              </a:ln>
            </xdr:spPr>
            <xdr:txBody>
              <a:bodyPr vertOverflow="clip" horzOverflow="clip"/>
              <a:lstStyle/>
              <a:p>
                <a:r>
                  <a:rPr lang="en-150"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35" name="Picture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12"/>
          <a:stretch>
            <a:fillRect/>
          </a:stretch>
        </xdr:blipFill>
        <xdr:spPr>
          <a:xfrm>
            <a:off x="3422575" y="975361"/>
            <a:ext cx="601200" cy="601200"/>
          </a:xfrm>
          <a:prstGeom prst="rect">
            <a:avLst/>
          </a:prstGeom>
        </xdr:spPr>
      </xdr:pic>
    </xdr:grpSp>
    <xdr:clientData/>
  </xdr:twoCellAnchor>
  <xdr:twoCellAnchor>
    <xdr:from>
      <xdr:col>16</xdr:col>
      <xdr:colOff>137160</xdr:colOff>
      <xdr:row>24</xdr:row>
      <xdr:rowOff>38100</xdr:rowOff>
    </xdr:from>
    <xdr:to>
      <xdr:col>22</xdr:col>
      <xdr:colOff>350520</xdr:colOff>
      <xdr:row>31</xdr:row>
      <xdr:rowOff>150223</xdr:rowOff>
    </xdr:to>
    <xdr:grpSp>
      <xdr:nvGrpSpPr>
        <xdr:cNvPr id="40" name="Fragments Group">
          <a:extLst>
            <a:ext uri="{FF2B5EF4-FFF2-40B4-BE49-F238E27FC236}">
              <a16:creationId xmlns:a16="http://schemas.microsoft.com/office/drawing/2014/main" id="{00000000-0008-0000-0400-000028000000}"/>
            </a:ext>
          </a:extLst>
        </xdr:cNvPr>
        <xdr:cNvGrpSpPr/>
      </xdr:nvGrpSpPr>
      <xdr:grpSpPr>
        <a:xfrm>
          <a:off x="9890760" y="4427220"/>
          <a:ext cx="3870960" cy="1392283"/>
          <a:chOff x="9890760" y="4381500"/>
          <a:chExt cx="3870960" cy="1378948"/>
        </a:xfrm>
      </xdr:grpSpPr>
      <xdr:sp macro="" textlink="">
        <xdr:nvSpPr>
          <xdr:cNvPr id="207" name="Rectangle: Rounded Corners 206">
            <a:extLst>
              <a:ext uri="{FF2B5EF4-FFF2-40B4-BE49-F238E27FC236}">
                <a16:creationId xmlns:a16="http://schemas.microsoft.com/office/drawing/2014/main" id="{00000000-0008-0000-0400-0000CF000000}"/>
              </a:ext>
            </a:extLst>
          </xdr:cNvPr>
          <xdr:cNvSpPr/>
        </xdr:nvSpPr>
        <xdr:spPr>
          <a:xfrm>
            <a:off x="9890760" y="4381500"/>
            <a:ext cx="3870960" cy="1201412"/>
          </a:xfrm>
          <a:prstGeom prst="roundRect">
            <a:avLst>
              <a:gd name="adj" fmla="val 5733"/>
            </a:avLst>
          </a:prstGeom>
          <a:solidFill>
            <a:srgbClr val="232423"/>
          </a:solidFill>
          <a:ln w="19050">
            <a:solidFill>
              <a:srgbClr val="BB434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sp macro="" textlink="">
        <xdr:nvSpPr>
          <xdr:cNvPr id="224" name="TextBox 223">
            <a:extLst>
              <a:ext uri="{FF2B5EF4-FFF2-40B4-BE49-F238E27FC236}">
                <a16:creationId xmlns:a16="http://schemas.microsoft.com/office/drawing/2014/main" id="{00000000-0008-0000-0400-0000E0000000}"/>
              </a:ext>
            </a:extLst>
          </xdr:cNvPr>
          <xdr:cNvSpPr txBox="1"/>
        </xdr:nvSpPr>
        <xdr:spPr>
          <a:xfrm>
            <a:off x="9921240" y="4381500"/>
            <a:ext cx="1866900" cy="346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u="none">
                <a:ln>
                  <a:noFill/>
                </a:ln>
                <a:solidFill>
                  <a:srgbClr val="ABABAB"/>
                </a:solidFill>
                <a:latin typeface="+mn-lt"/>
                <a:ea typeface="+mn-ea"/>
                <a:cs typeface="+mn-cs"/>
              </a:rPr>
              <a:t>Mother'</a:t>
            </a:r>
            <a:r>
              <a:rPr lang="en-GB" sz="1600" u="none" baseline="0">
                <a:ln>
                  <a:noFill/>
                </a:ln>
                <a:solidFill>
                  <a:srgbClr val="ABABAB"/>
                </a:solidFill>
                <a:latin typeface="+mn-lt"/>
                <a:ea typeface="+mn-ea"/>
                <a:cs typeface="+mn-cs"/>
              </a:rPr>
              <a:t>s Fragments</a:t>
            </a:r>
            <a:endParaRPr lang="en-GB" sz="1600" u="none">
              <a:ln>
                <a:noFill/>
              </a:ln>
              <a:solidFill>
                <a:srgbClr val="ABABAB"/>
              </a:solidFill>
              <a:latin typeface="+mn-lt"/>
              <a:ea typeface="+mn-ea"/>
              <a:cs typeface="+mn-cs"/>
            </a:endParaRPr>
          </a:p>
        </xdr:txBody>
      </xdr:sp>
      <xdr:sp macro="" textlink="">
        <xdr:nvSpPr>
          <xdr:cNvPr id="226" name="TextBox 225">
            <a:extLst>
              <a:ext uri="{FF2B5EF4-FFF2-40B4-BE49-F238E27FC236}">
                <a16:creationId xmlns:a16="http://schemas.microsoft.com/office/drawing/2014/main" id="{00000000-0008-0000-0400-0000E2000000}"/>
              </a:ext>
            </a:extLst>
          </xdr:cNvPr>
          <xdr:cNvSpPr txBox="1"/>
        </xdr:nvSpPr>
        <xdr:spPr>
          <a:xfrm>
            <a:off x="11879580" y="4381500"/>
            <a:ext cx="1866900" cy="346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u="none">
                <a:ln>
                  <a:noFill/>
                </a:ln>
                <a:solidFill>
                  <a:srgbClr val="ABABAB"/>
                </a:solidFill>
                <a:latin typeface="+mn-lt"/>
                <a:ea typeface="+mn-ea"/>
                <a:cs typeface="+mn-cs"/>
              </a:rPr>
              <a:t>Personal Fragments</a:t>
            </a:r>
          </a:p>
        </xdr:txBody>
      </xdr:sp>
      <xdr:sp macro="" textlink="Character_selector!AG27">
        <xdr:nvSpPr>
          <xdr:cNvPr id="232" name="TextBox 231">
            <a:extLst>
              <a:ext uri="{FF2B5EF4-FFF2-40B4-BE49-F238E27FC236}">
                <a16:creationId xmlns:a16="http://schemas.microsoft.com/office/drawing/2014/main" id="{00000000-0008-0000-0400-0000E8000000}"/>
              </a:ext>
            </a:extLst>
          </xdr:cNvPr>
          <xdr:cNvSpPr txBox="1"/>
        </xdr:nvSpPr>
        <xdr:spPr>
          <a:xfrm>
            <a:off x="10340340" y="4720135"/>
            <a:ext cx="815340" cy="1040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B36302B2-C2BE-40F6-AC43-083E99F0B534}" type="TxLink">
              <a:rPr lang="en-US" sz="1200" u="none">
                <a:ln>
                  <a:noFill/>
                </a:ln>
                <a:solidFill>
                  <a:srgbClr val="ABABAB"/>
                </a:solidFill>
                <a:latin typeface="+mn-lt"/>
                <a:ea typeface="+mn-ea"/>
                <a:cs typeface="+mn-cs"/>
              </a:rPr>
              <a:pPr marL="0" indent="0" algn="r"/>
              <a:t>N/a Liberation Soulswap Repent</a:t>
            </a:fld>
            <a:endParaRPr lang="en-US" sz="1200" u="none">
              <a:ln>
                <a:noFill/>
              </a:ln>
              <a:solidFill>
                <a:srgbClr val="ABABAB"/>
              </a:solidFill>
              <a:latin typeface="+mn-lt"/>
              <a:ea typeface="+mn-ea"/>
              <a:cs typeface="+mn-cs"/>
            </a:endParaRPr>
          </a:p>
        </xdr:txBody>
      </xdr:sp>
      <xdr:cxnSp macro="">
        <xdr:nvCxnSpPr>
          <xdr:cNvPr id="233" name="Straight Connector 232">
            <a:extLst>
              <a:ext uri="{FF2B5EF4-FFF2-40B4-BE49-F238E27FC236}">
                <a16:creationId xmlns:a16="http://schemas.microsoft.com/office/drawing/2014/main" id="{00000000-0008-0000-0400-0000E9000000}"/>
              </a:ext>
            </a:extLst>
          </xdr:cNvPr>
          <xdr:cNvCxnSpPr/>
        </xdr:nvCxnSpPr>
        <xdr:spPr>
          <a:xfrm>
            <a:off x="11814810" y="4518588"/>
            <a:ext cx="7620" cy="942313"/>
          </a:xfrm>
          <a:prstGeom prst="line">
            <a:avLst/>
          </a:prstGeom>
          <a:ln w="28575">
            <a:solidFill>
              <a:srgbClr val="A40707"/>
            </a:solidFill>
          </a:ln>
        </xdr:spPr>
        <xdr:style>
          <a:lnRef idx="1">
            <a:schemeClr val="accent1"/>
          </a:lnRef>
          <a:fillRef idx="0">
            <a:schemeClr val="accent1"/>
          </a:fillRef>
          <a:effectRef idx="0">
            <a:schemeClr val="accent1"/>
          </a:effectRef>
          <a:fontRef idx="minor">
            <a:schemeClr val="tx1"/>
          </a:fontRef>
        </xdr:style>
      </xdr:cxnSp>
      <xdr:sp macro="" textlink="Character_selector!AG31">
        <xdr:nvSpPr>
          <xdr:cNvPr id="235" name="TextBox 234">
            <a:extLst>
              <a:ext uri="{FF2B5EF4-FFF2-40B4-BE49-F238E27FC236}">
                <a16:creationId xmlns:a16="http://schemas.microsoft.com/office/drawing/2014/main" id="{00000000-0008-0000-0400-0000EB000000}"/>
              </a:ext>
            </a:extLst>
          </xdr:cNvPr>
          <xdr:cNvSpPr txBox="1"/>
        </xdr:nvSpPr>
        <xdr:spPr>
          <a:xfrm>
            <a:off x="12449175" y="4720135"/>
            <a:ext cx="815340" cy="1040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E7169E46-4153-4250-85A2-454DD0A29A05}" type="TxLink">
              <a:rPr lang="en-US" sz="1200" u="none">
                <a:ln>
                  <a:noFill/>
                </a:ln>
                <a:solidFill>
                  <a:srgbClr val="ABABAB"/>
                </a:solidFill>
                <a:latin typeface="+mn-lt"/>
                <a:ea typeface="+mn-ea"/>
                <a:cs typeface="+mn-cs"/>
              </a:rPr>
              <a:pPr marL="0" indent="0" algn="l"/>
              <a:t>Liberation Liberation Rush</a:t>
            </a:fld>
            <a:endParaRPr lang="en-US" sz="1200" u="none">
              <a:ln>
                <a:noFill/>
              </a:ln>
              <a:solidFill>
                <a:srgbClr val="ABABAB"/>
              </a:solidFill>
              <a:latin typeface="+mn-lt"/>
              <a:ea typeface="+mn-ea"/>
              <a:cs typeface="+mn-cs"/>
            </a:endParaRPr>
          </a:p>
        </xdr:txBody>
      </xdr:sp>
      <xdr:sp macro="" textlink="Character_selector!BD57">
        <xdr:nvSpPr>
          <xdr:cNvPr id="237" name="TextBox 236">
            <a:extLst>
              <a:ext uri="{FF2B5EF4-FFF2-40B4-BE49-F238E27FC236}">
                <a16:creationId xmlns:a16="http://schemas.microsoft.com/office/drawing/2014/main" id="{00000000-0008-0000-0400-0000ED000000}"/>
              </a:ext>
            </a:extLst>
          </xdr:cNvPr>
          <xdr:cNvSpPr txBox="1"/>
        </xdr:nvSpPr>
        <xdr:spPr>
          <a:xfrm>
            <a:off x="11163300" y="4727329"/>
            <a:ext cx="487680" cy="256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5812E261-5C3C-4488-B4E8-568F7D9AA7D8}" type="TxLink">
              <a:rPr lang="en-US" sz="1100" u="none">
                <a:ln>
                  <a:noFill/>
                </a:ln>
                <a:solidFill>
                  <a:srgbClr val="ABABAB"/>
                </a:solidFill>
                <a:latin typeface="+mn-lt"/>
                <a:ea typeface="+mn-ea"/>
                <a:cs typeface="+mn-cs"/>
              </a:rPr>
              <a:pPr marL="0" indent="0" algn="l"/>
              <a:t> </a:t>
            </a:fld>
            <a:endParaRPr lang="en-US" sz="1100" u="none">
              <a:ln>
                <a:noFill/>
              </a:ln>
              <a:solidFill>
                <a:srgbClr val="ABABAB"/>
              </a:solidFill>
              <a:latin typeface="+mn-lt"/>
              <a:ea typeface="+mn-ea"/>
              <a:cs typeface="+mn-cs"/>
            </a:endParaRPr>
          </a:p>
        </xdr:txBody>
      </xdr:sp>
      <xdr:sp macro="" textlink="Character_selector!BD54">
        <xdr:nvSpPr>
          <xdr:cNvPr id="256" name="TextBox 255">
            <a:extLst>
              <a:ext uri="{FF2B5EF4-FFF2-40B4-BE49-F238E27FC236}">
                <a16:creationId xmlns:a16="http://schemas.microsoft.com/office/drawing/2014/main" id="{00000000-0008-0000-0400-000000010000}"/>
              </a:ext>
            </a:extLst>
          </xdr:cNvPr>
          <xdr:cNvSpPr txBox="1"/>
        </xdr:nvSpPr>
        <xdr:spPr>
          <a:xfrm>
            <a:off x="11163300" y="4912562"/>
            <a:ext cx="48768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4CD0C1FF-496F-4B13-9758-88DD3F1EF260}" type="TxLink">
              <a:rPr lang="en-US" sz="1100" u="none">
                <a:ln>
                  <a:noFill/>
                </a:ln>
                <a:solidFill>
                  <a:srgbClr val="ABABAB"/>
                </a:solidFill>
                <a:latin typeface="+mn-lt"/>
                <a:ea typeface="+mn-ea"/>
                <a:cs typeface="+mn-cs"/>
              </a:rPr>
              <a:pPr marL="0" indent="0" algn="l"/>
              <a:t> </a:t>
            </a:fld>
            <a:endParaRPr lang="en-US" sz="1100" u="none">
              <a:ln>
                <a:noFill/>
              </a:ln>
              <a:solidFill>
                <a:srgbClr val="ABABAB"/>
              </a:solidFill>
              <a:latin typeface="+mn-lt"/>
              <a:ea typeface="+mn-ea"/>
              <a:cs typeface="+mn-cs"/>
            </a:endParaRPr>
          </a:p>
        </xdr:txBody>
      </xdr:sp>
      <xdr:sp macro="" textlink="Character_selector!BD55">
        <xdr:nvSpPr>
          <xdr:cNvPr id="257" name="TextBox 256">
            <a:extLst>
              <a:ext uri="{FF2B5EF4-FFF2-40B4-BE49-F238E27FC236}">
                <a16:creationId xmlns:a16="http://schemas.microsoft.com/office/drawing/2014/main" id="{00000000-0008-0000-0400-000001010000}"/>
              </a:ext>
            </a:extLst>
          </xdr:cNvPr>
          <xdr:cNvSpPr txBox="1"/>
        </xdr:nvSpPr>
        <xdr:spPr>
          <a:xfrm>
            <a:off x="11163300" y="5104015"/>
            <a:ext cx="48768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D1C3E358-F533-4BD8-B040-79FC22E153DA}" type="TxLink">
              <a:rPr lang="en-US" sz="1100" u="none">
                <a:ln>
                  <a:noFill/>
                </a:ln>
                <a:solidFill>
                  <a:srgbClr val="ABABAB"/>
                </a:solidFill>
                <a:latin typeface="+mn-lt"/>
                <a:ea typeface="+mn-ea"/>
                <a:cs typeface="+mn-cs"/>
              </a:rPr>
              <a:pPr marL="0" indent="0" algn="l"/>
              <a:t> </a:t>
            </a:fld>
            <a:endParaRPr lang="en-US" sz="1100" u="none">
              <a:ln>
                <a:noFill/>
              </a:ln>
              <a:solidFill>
                <a:srgbClr val="ABABAB"/>
              </a:solidFill>
              <a:latin typeface="+mn-lt"/>
              <a:ea typeface="+mn-ea"/>
              <a:cs typeface="+mn-cs"/>
            </a:endParaRPr>
          </a:p>
        </xdr:txBody>
      </xdr:sp>
      <xdr:sp macro="" textlink="Character_selector!BD56">
        <xdr:nvSpPr>
          <xdr:cNvPr id="258" name="TextBox 257">
            <a:extLst>
              <a:ext uri="{FF2B5EF4-FFF2-40B4-BE49-F238E27FC236}">
                <a16:creationId xmlns:a16="http://schemas.microsoft.com/office/drawing/2014/main" id="{00000000-0008-0000-0400-000002010000}"/>
              </a:ext>
            </a:extLst>
          </xdr:cNvPr>
          <xdr:cNvSpPr txBox="1"/>
        </xdr:nvSpPr>
        <xdr:spPr>
          <a:xfrm>
            <a:off x="11163300" y="5278755"/>
            <a:ext cx="48768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3FAC3912-2555-431F-A7ED-DBC8C3C01F97}" type="TxLink">
              <a:rPr lang="en-US" sz="1100" u="none">
                <a:ln>
                  <a:noFill/>
                </a:ln>
                <a:solidFill>
                  <a:srgbClr val="ABABAB"/>
                </a:solidFill>
                <a:latin typeface="+mn-lt"/>
                <a:ea typeface="+mn-ea"/>
                <a:cs typeface="+mn-cs"/>
              </a:rPr>
              <a:pPr marL="0" indent="0" algn="l"/>
              <a:t> </a:t>
            </a:fld>
            <a:endParaRPr lang="en-US" sz="1100" u="none">
              <a:ln>
                <a:noFill/>
              </a:ln>
              <a:solidFill>
                <a:srgbClr val="ABABAB"/>
              </a:solidFill>
              <a:latin typeface="+mn-lt"/>
              <a:ea typeface="+mn-ea"/>
              <a:cs typeface="+mn-cs"/>
            </a:endParaRPr>
          </a:p>
        </xdr:txBody>
      </xdr:sp>
      <xdr:cxnSp macro="">
        <xdr:nvCxnSpPr>
          <xdr:cNvPr id="261" name="Straight Connector 260">
            <a:extLst>
              <a:ext uri="{FF2B5EF4-FFF2-40B4-BE49-F238E27FC236}">
                <a16:creationId xmlns:a16="http://schemas.microsoft.com/office/drawing/2014/main" id="{00000000-0008-0000-0400-000005010000}"/>
              </a:ext>
            </a:extLst>
          </xdr:cNvPr>
          <xdr:cNvCxnSpPr/>
        </xdr:nvCxnSpPr>
        <xdr:spPr>
          <a:xfrm flipH="1">
            <a:off x="11155680" y="4838703"/>
            <a:ext cx="2858" cy="594650"/>
          </a:xfrm>
          <a:prstGeom prst="line">
            <a:avLst/>
          </a:prstGeom>
          <a:ln w="9525">
            <a:solidFill>
              <a:srgbClr val="A40707"/>
            </a:solidFill>
          </a:ln>
        </xdr:spPr>
        <xdr:style>
          <a:lnRef idx="1">
            <a:schemeClr val="accent1"/>
          </a:lnRef>
          <a:fillRef idx="0">
            <a:schemeClr val="accent1"/>
          </a:fillRef>
          <a:effectRef idx="0">
            <a:schemeClr val="accent1"/>
          </a:effectRef>
          <a:fontRef idx="minor">
            <a:schemeClr val="tx1"/>
          </a:fontRef>
        </xdr:style>
      </xdr:cxnSp>
      <xdr:sp macro="" textlink="Character_selector!AD32">
        <xdr:nvSpPr>
          <xdr:cNvPr id="262" name="TextBox 261">
            <a:extLst>
              <a:ext uri="{FF2B5EF4-FFF2-40B4-BE49-F238E27FC236}">
                <a16:creationId xmlns:a16="http://schemas.microsoft.com/office/drawing/2014/main" id="{00000000-0008-0000-0400-000006010000}"/>
              </a:ext>
            </a:extLst>
          </xdr:cNvPr>
          <xdr:cNvSpPr txBox="1"/>
        </xdr:nvSpPr>
        <xdr:spPr>
          <a:xfrm>
            <a:off x="11971972" y="4727329"/>
            <a:ext cx="487680" cy="256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807B4874-2F0A-4642-AC37-CAA567D3F921}" type="TxLink">
              <a:rPr lang="en-US" sz="1100" u="none">
                <a:ln>
                  <a:noFill/>
                </a:ln>
                <a:solidFill>
                  <a:srgbClr val="ABABAB"/>
                </a:solidFill>
                <a:latin typeface="+mn-lt"/>
                <a:ea typeface="+mn-ea"/>
                <a:cs typeface="+mn-cs"/>
              </a:rPr>
              <a:pPr marL="0" indent="0" algn="r"/>
              <a:t>1/3</a:t>
            </a:fld>
            <a:endParaRPr lang="en-US" sz="1100" u="none">
              <a:ln>
                <a:noFill/>
              </a:ln>
              <a:solidFill>
                <a:srgbClr val="ABABAB"/>
              </a:solidFill>
              <a:latin typeface="+mn-lt"/>
              <a:ea typeface="+mn-ea"/>
              <a:cs typeface="+mn-cs"/>
            </a:endParaRPr>
          </a:p>
        </xdr:txBody>
      </xdr:sp>
      <xdr:sp macro="" textlink="Character_selector!AD33">
        <xdr:nvSpPr>
          <xdr:cNvPr id="263" name="TextBox 262">
            <a:extLst>
              <a:ext uri="{FF2B5EF4-FFF2-40B4-BE49-F238E27FC236}">
                <a16:creationId xmlns:a16="http://schemas.microsoft.com/office/drawing/2014/main" id="{00000000-0008-0000-0400-000007010000}"/>
              </a:ext>
            </a:extLst>
          </xdr:cNvPr>
          <xdr:cNvSpPr txBox="1"/>
        </xdr:nvSpPr>
        <xdr:spPr>
          <a:xfrm>
            <a:off x="11971972" y="4912995"/>
            <a:ext cx="487680" cy="256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9E81606C-38D8-429D-B3D2-39383E4755E8}" type="TxLink">
              <a:rPr lang="en-US" sz="1100" u="none">
                <a:ln>
                  <a:noFill/>
                </a:ln>
                <a:solidFill>
                  <a:srgbClr val="ABABAB"/>
                </a:solidFill>
                <a:latin typeface="+mn-lt"/>
                <a:ea typeface="+mn-ea"/>
                <a:cs typeface="+mn-cs"/>
              </a:rPr>
              <a:pPr marL="0" indent="0" algn="r"/>
              <a:t>1/3</a:t>
            </a:fld>
            <a:endParaRPr lang="en-US" sz="1100" u="none">
              <a:ln>
                <a:noFill/>
              </a:ln>
              <a:solidFill>
                <a:srgbClr val="ABABAB"/>
              </a:solidFill>
              <a:latin typeface="+mn-lt"/>
              <a:ea typeface="+mn-ea"/>
              <a:cs typeface="+mn-cs"/>
            </a:endParaRPr>
          </a:p>
        </xdr:txBody>
      </xdr:sp>
      <xdr:sp macro="" textlink="Character_selector!AD34">
        <xdr:nvSpPr>
          <xdr:cNvPr id="264" name="TextBox 263">
            <a:extLst>
              <a:ext uri="{FF2B5EF4-FFF2-40B4-BE49-F238E27FC236}">
                <a16:creationId xmlns:a16="http://schemas.microsoft.com/office/drawing/2014/main" id="{00000000-0008-0000-0400-000008010000}"/>
              </a:ext>
            </a:extLst>
          </xdr:cNvPr>
          <xdr:cNvSpPr txBox="1"/>
        </xdr:nvSpPr>
        <xdr:spPr>
          <a:xfrm>
            <a:off x="11971972" y="5104448"/>
            <a:ext cx="487680" cy="256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39060D85-EB79-4402-B699-C47D254EFB94}" type="TxLink">
              <a:rPr lang="en-US" sz="1100" u="none">
                <a:ln>
                  <a:noFill/>
                </a:ln>
                <a:solidFill>
                  <a:srgbClr val="ABABAB"/>
                </a:solidFill>
                <a:latin typeface="+mn-lt"/>
                <a:ea typeface="+mn-ea"/>
                <a:cs typeface="+mn-cs"/>
              </a:rPr>
              <a:pPr marL="0" indent="0" algn="r"/>
              <a:t>0</a:t>
            </a:fld>
            <a:endParaRPr lang="en-US" sz="1100" u="none">
              <a:ln>
                <a:noFill/>
              </a:ln>
              <a:solidFill>
                <a:srgbClr val="ABABAB"/>
              </a:solidFill>
              <a:latin typeface="+mn-lt"/>
              <a:ea typeface="+mn-ea"/>
              <a:cs typeface="+mn-cs"/>
            </a:endParaRPr>
          </a:p>
        </xdr:txBody>
      </xdr:sp>
      <xdr:cxnSp macro="">
        <xdr:nvCxnSpPr>
          <xdr:cNvPr id="265" name="Straight Connector 264">
            <a:extLst>
              <a:ext uri="{FF2B5EF4-FFF2-40B4-BE49-F238E27FC236}">
                <a16:creationId xmlns:a16="http://schemas.microsoft.com/office/drawing/2014/main" id="{00000000-0008-0000-0400-000009010000}"/>
              </a:ext>
            </a:extLst>
          </xdr:cNvPr>
          <xdr:cNvCxnSpPr/>
        </xdr:nvCxnSpPr>
        <xdr:spPr>
          <a:xfrm flipH="1">
            <a:off x="12460605" y="4838703"/>
            <a:ext cx="2858" cy="594650"/>
          </a:xfrm>
          <a:prstGeom prst="line">
            <a:avLst/>
          </a:prstGeom>
          <a:ln w="9525">
            <a:solidFill>
              <a:srgbClr val="A40707"/>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6</xdr:col>
      <xdr:colOff>504115</xdr:colOff>
      <xdr:row>5</xdr:row>
      <xdr:rowOff>67387</xdr:rowOff>
    </xdr:from>
    <xdr:to>
      <xdr:col>7</xdr:col>
      <xdr:colOff>475849</xdr:colOff>
      <xdr:row>8</xdr:row>
      <xdr:rowOff>110207</xdr:rowOff>
    </xdr:to>
    <xdr:pic>
      <xdr:nvPicPr>
        <xdr:cNvPr id="9" name="Picture 8">
          <a:extLst>
            <a:ext uri="{FF2B5EF4-FFF2-40B4-BE49-F238E27FC236}">
              <a16:creationId xmlns:a16="http://schemas.microsoft.com/office/drawing/2014/main" id="{64DB1B7A-1EC2-479B-B6F0-B8BC4DA3B048}"/>
            </a:ext>
          </a:extLst>
        </xdr:cNvPr>
        <xdr:cNvPicPr>
          <a:picLocks noChangeAspect="1"/>
        </xdr:cNvPicPr>
      </xdr:nvPicPr>
      <xdr:blipFill>
        <a:blip xmlns:r="http://schemas.openxmlformats.org/officeDocument/2006/relationships" r:embed="rId13"/>
        <a:stretch>
          <a:fillRect/>
        </a:stretch>
      </xdr:blipFill>
      <xdr:spPr>
        <a:xfrm>
          <a:off x="4161715" y="981787"/>
          <a:ext cx="581334" cy="5914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rian" refreshedDate="44511.915540972223" missingItemsLimit="0" createdVersion="7" refreshedVersion="7" minRefreshableVersion="3" recordCount="229" xr:uid="{048581DF-C264-4EFA-BB2A-EB5CEE06C96E}">
  <cacheSource type="worksheet">
    <worksheetSource ref="A2:AN231" sheet="Data_Raw_workable"/>
  </cacheSource>
  <cacheFields count="43">
    <cacheField name="Session" numFmtId="0">
      <sharedItems containsNonDate="0" containsDate="1" containsString="0" containsBlank="1" minDate="2021-10-16T00:00:00" maxDate="2021-11-08T00:00:00" count="5">
        <m/>
        <d v="2021-10-16T00:00:00"/>
        <d v="2021-10-17T00:00:00"/>
        <d v="2021-11-02T00:00:00"/>
        <d v="2021-11-07T00:00:00"/>
      </sharedItems>
      <fieldGroup par="41" base="0">
        <rangePr groupBy="days" startDate="2021-10-16T00:00:00" endDate="2021-11-08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8/11/2021"/>
        </groupItems>
      </fieldGroup>
    </cacheField>
    <cacheField name="Turn" numFmtId="0">
      <sharedItems containsString="0" containsBlank="1" containsNumber="1" containsInteger="1" minValue="-1" maxValue="8"/>
    </cacheField>
    <cacheField name="Character name" numFmtId="0">
      <sharedItems containsBlank="1" count="19">
        <s v="Angatparul"/>
        <s v="Arthus"/>
        <s v="Bylo"/>
        <s v="Ciri Ruple"/>
        <s v="Sev"/>
        <s v="Venythria"/>
        <s v="Mother"/>
        <s v="AAA"/>
        <m/>
        <s v="Noface creature"/>
        <s v="Plaguedoc"/>
        <s v="big"/>
        <s v="Child"/>
        <s v="Statue"/>
        <s v="Spirit"/>
        <s v="Quadraped"/>
        <s v="Bird"/>
        <s v="Big Quadraped"/>
        <s v="Deacon"/>
      </sharedItems>
    </cacheField>
    <cacheField name="Ctype" numFmtId="0">
      <sharedItems containsString="0" containsBlank="1" containsNumber="1" containsInteger="1" minValue="0" maxValue="3" count="4">
        <m/>
        <n v="1"/>
        <n v="0"/>
        <n v="3"/>
      </sharedItems>
    </cacheField>
    <cacheField name="Movement" numFmtId="0">
      <sharedItems containsBlank="1" containsMixedTypes="1" containsNumber="1" containsInteger="1" minValue="5" maxValue="140"/>
    </cacheField>
    <cacheField name="Movment direction" numFmtId="0">
      <sharedItems containsBlank="1"/>
    </cacheField>
    <cacheField name="Action" numFmtId="0">
      <sharedItems containsBlank="1" count="56">
        <m/>
        <s v="Ram"/>
        <s v="Zone of truth"/>
        <s v="Random rock"/>
        <s v="Monk unarmed strike"/>
        <s v="Pike"/>
        <s v="Electric shot"/>
        <s v="Curewounds"/>
        <s v="Sword"/>
        <s v="Aid"/>
        <s v="Graple"/>
        <s v="Ready sword"/>
        <s v="Spear"/>
        <s v="Break-free"/>
        <s v="Throw knife"/>
        <s v="Scythe"/>
        <s v="Knuckles"/>
        <s v="Crowbar"/>
        <s v="Guardian"/>
        <s v="Claw"/>
        <s v="Halberd"/>
        <s v="Opportunity"/>
        <s v="Gun"/>
        <s v="Hatchet"/>
        <s v="Dash"/>
        <s v="Punch"/>
        <s v="Flintlock"/>
        <s v="Vandel"/>
        <s v="Gunblade"/>
        <s v="Slap"/>
        <s v="Ground spikes"/>
        <s v="Flintlock pistol"/>
        <s v="Javalin"/>
        <s v="Bloodied but unborrrowed"/>
        <s v="Snap"/>
        <s v="Slash"/>
        <s v="Hatched"/>
        <s v="Greatclub"/>
        <s v="Inflict wounds"/>
        <s v="Bling knuckles"/>
        <s v="Vandal"/>
        <s v="Bottle"/>
        <s v="Peck"/>
        <s v="Revivify"/>
        <s v="Scepter"/>
        <s v="Sacred Weapon"/>
        <s v="Dark energy eruption"/>
        <s v="Candle "/>
        <s v="Hand spawn"/>
        <s v="Black lightning"/>
        <s v="Fire bolt"/>
        <s v="finger point"/>
        <s v="Fire breath"/>
        <s v="Sickle"/>
        <s v="Curewounds "/>
        <s v="Prayer of healing"/>
      </sharedItems>
    </cacheField>
    <cacheField name="Target " numFmtId="0">
      <sharedItems containsBlank="1" count="22">
        <s v="Angatparul"/>
        <s v="Arthus"/>
        <s v="Bylo"/>
        <s v="Ciri Ruple"/>
        <s v="Sev"/>
        <s v="Venythria"/>
        <m/>
        <s v="Mother"/>
        <s v="Everyone"/>
        <s v="Ciri, Bylo, Sev"/>
        <s v="Noface creature"/>
        <s v="Plaguedoc"/>
        <s v="Big"/>
        <s v="Angatparul, ciri, arthus"/>
        <s v="Spirit"/>
        <s v="Statue"/>
        <s v="Bird"/>
        <s v="Jelly"/>
        <s v="Quadraped"/>
        <s v="Big Quadraped"/>
        <s v="Deacon"/>
        <s v="Halberd"/>
      </sharedItems>
    </cacheField>
    <cacheField name="Modifyer" numFmtId="0">
      <sharedItems containsBlank="1" containsMixedTypes="1" containsNumber="1" containsInteger="1" minValue="9" maxValue="9"/>
    </cacheField>
    <cacheField name="Hit/miss" numFmtId="0">
      <sharedItems containsString="0" containsBlank="1" containsNumber="1" containsInteger="1" minValue="0" maxValue="4"/>
    </cacheField>
    <cacheField name="Crit" numFmtId="0">
      <sharedItems containsString="0" containsBlank="1" containsNumber="1" containsInteger="1" minValue="0" maxValue="1"/>
    </cacheField>
    <cacheField name="Dmg" numFmtId="0">
      <sharedItems containsString="0" containsBlank="1" containsNumber="1" containsInteger="1" minValue="0" maxValue="42"/>
    </cacheField>
    <cacheField name="Dmg 2" numFmtId="0">
      <sharedItems containsBlank="1" containsMixedTypes="1" containsNumber="1" containsInteger="1" minValue="1" maxValue="55"/>
    </cacheField>
    <cacheField name="Dmg type" numFmtId="0">
      <sharedItems containsBlank="1" count="7">
        <m/>
        <s v="Bludgeoning"/>
        <s v="Necrotic"/>
        <s v="Piercing"/>
        <s v="Slashing"/>
        <s v="Necrotc"/>
        <s v="Fire"/>
      </sharedItems>
    </cacheField>
    <cacheField name="Dmg type 2" numFmtId="0">
      <sharedItems containsBlank="1" count="5">
        <m/>
        <s v="Blood"/>
        <s v="Piercing"/>
        <s v="Bludgeoning"/>
        <s v="Radiant"/>
      </sharedItems>
    </cacheField>
    <cacheField name="Healing" numFmtId="0">
      <sharedItems containsString="0" containsBlank="1" containsNumber="1" containsInteger="1" minValue="1" maxValue="35"/>
    </cacheField>
    <cacheField name="Kills" numFmtId="0">
      <sharedItems containsString="0" containsBlank="1" containsNumber="1" containsInteger="1" minValue="1" maxValue="1"/>
    </cacheField>
    <cacheField name="Action 2" numFmtId="0">
      <sharedItems containsBlank="1" count="33">
        <m/>
        <s v="Shild-bash"/>
        <s v="Monk unarmed strike"/>
        <s v="Pike"/>
        <s v="Electic shot"/>
        <s v="Random rock"/>
        <s v="Scythe"/>
        <s v="Graple"/>
        <s v="Crowbar"/>
        <s v="Spear"/>
        <s v="Knuckles"/>
        <s v="Guardian"/>
        <s v="Halberd"/>
        <s v="Vandal"/>
        <s v="Bash"/>
        <s v="Vandel"/>
        <s v="Flintlock pistol"/>
        <s v="Spiritual weapon"/>
        <s v="Shield bash"/>
        <s v="GB bullets"/>
        <s v="Slaps"/>
        <s v="Javalin"/>
        <s v="Claw"/>
        <s v="Greatclub"/>
        <s v="Bling knuckles"/>
        <s v="Ground spikes"/>
        <s v="Scepter"/>
        <s v="Dark energy eruption"/>
        <s v="Aid"/>
        <s v="Hand spawn"/>
        <s v="Healing word"/>
        <s v="Finger poit"/>
        <s v="Prayer of healing"/>
      </sharedItems>
    </cacheField>
    <cacheField name="Target 2" numFmtId="0">
      <sharedItems containsBlank="1" count="20">
        <s v="Angatparul"/>
        <s v="Arthus"/>
        <s v="Bylo"/>
        <s v="Ciri Ruple"/>
        <s v="Sev"/>
        <s v="Venythria"/>
        <m/>
        <s v="Mother"/>
        <s v="Noface creature"/>
        <s v="Plaguedoc"/>
        <s v="Nofacecreature"/>
        <s v="Kid"/>
        <s v="Big"/>
        <s v="Spirit"/>
        <s v="Statue"/>
        <s v="Bird"/>
        <s v="Quadraped"/>
        <s v="Jelly"/>
        <s v="Big Quadraped"/>
        <s v="Deacon"/>
      </sharedItems>
    </cacheField>
    <cacheField name="Modifyer 2" numFmtId="0">
      <sharedItems containsBlank="1"/>
    </cacheField>
    <cacheField name="Hit/miss 2" numFmtId="0">
      <sharedItems containsString="0" containsBlank="1" containsNumber="1" containsInteger="1" minValue="0" maxValue="1"/>
    </cacheField>
    <cacheField name="Crit 2" numFmtId="0">
      <sharedItems containsString="0" containsBlank="1" containsNumber="1" containsInteger="1" minValue="0" maxValue="1"/>
    </cacheField>
    <cacheField name="Dmg 3" numFmtId="0">
      <sharedItems containsString="0" containsBlank="1" containsNumber="1" containsInteger="1" minValue="0" maxValue="42"/>
    </cacheField>
    <cacheField name="Dmg 4" numFmtId="0">
      <sharedItems containsString="0" containsBlank="1" containsNumber="1" containsInteger="1" minValue="1" maxValue="14"/>
    </cacheField>
    <cacheField name="Dmg type 3" numFmtId="0">
      <sharedItems containsBlank="1" count="6">
        <m/>
        <s v="Bludgeoning"/>
        <s v="Piercing"/>
        <s v="Necrotic"/>
        <s v="Slashing"/>
        <s v="Force"/>
      </sharedItems>
    </cacheField>
    <cacheField name="Dmg type 4" numFmtId="0">
      <sharedItems containsBlank="1" count="2">
        <m/>
        <s v="Bludgeoning"/>
      </sharedItems>
    </cacheField>
    <cacheField name="Healing 2" numFmtId="0">
      <sharedItems containsString="0" containsBlank="1" containsNumber="1" containsInteger="1" minValue="1" maxValue="26"/>
    </cacheField>
    <cacheField name="Kills 2" numFmtId="0">
      <sharedItems containsString="0" containsBlank="1" containsNumber="1" containsInteger="1" minValue="1" maxValue="1"/>
    </cacheField>
    <cacheField name="Bonus Action" numFmtId="0">
      <sharedItems containsBlank="1" count="31">
        <m/>
        <s v="Graple"/>
        <s v="Pike"/>
        <s v="Daunting roar"/>
        <s v="Disengaded"/>
        <s v="Disappere and reappare"/>
        <s v="Healing-word"/>
        <s v="Brace-up"/>
        <s v="Claw"/>
        <s v="Dig deep"/>
        <s v="Disengade"/>
        <s v="Scythe"/>
        <s v="Monk unarmed strike"/>
        <s v="Stick and move"/>
        <s v="Healing word"/>
        <s v="Rage"/>
        <s v="Divine smite"/>
        <s v="Climb"/>
        <s v="Speak"/>
        <s v="Knuckles"/>
        <s v="Bling knuckles"/>
        <s v="Greatclub"/>
        <s v="Warhammer"/>
        <s v="Scepter"/>
        <s v="Shield of faith"/>
        <s v="Candle"/>
        <s v="Aid"/>
        <s v="One,Two, Floor"/>
        <s v="Dark energy eruption"/>
        <s v="Hand spawn"/>
        <s v="Prayer of healing"/>
      </sharedItems>
    </cacheField>
    <cacheField name="Target 3" numFmtId="0">
      <sharedItems containsBlank="1" count="18">
        <s v="Angatparul"/>
        <s v="Arthus"/>
        <s v="Bylo"/>
        <s v="Ciri Ruple"/>
        <s v="Sev"/>
        <s v="Venythria"/>
        <m/>
        <s v="Mother"/>
        <s v="Sky"/>
        <s v="everyone"/>
        <s v="Plaguedoc"/>
        <s v="Plaugedoc"/>
        <s v="Venythri"/>
        <s v="Noface creature"/>
        <s v="Statue"/>
        <s v="Quadraped"/>
        <s v="Jelly"/>
        <s v="Deacon"/>
      </sharedItems>
    </cacheField>
    <cacheField name="Modifyer 3" numFmtId="0">
      <sharedItems containsBlank="1" containsMixedTypes="1" containsNumber="1" containsInteger="1" minValue="11" maxValue="18"/>
    </cacheField>
    <cacheField name="Hit/miss 3" numFmtId="0">
      <sharedItems containsBlank="1" containsMixedTypes="1" containsNumber="1" containsInteger="1" minValue="0" maxValue="1"/>
    </cacheField>
    <cacheField name="Crit 3" numFmtId="0">
      <sharedItems containsString="0" containsBlank="1" containsNumber="1" containsInteger="1" minValue="0" maxValue="1"/>
    </cacheField>
    <cacheField name="Dmg 5" numFmtId="0">
      <sharedItems containsString="0" containsBlank="1" containsNumber="1" containsInteger="1" minValue="1" maxValue="63"/>
    </cacheField>
    <cacheField name="Dmg  6" numFmtId="0">
      <sharedItems containsString="0" containsBlank="1" containsNumber="1" containsInteger="1" minValue="1" maxValue="1"/>
    </cacheField>
    <cacheField name="Dmg type 5" numFmtId="0">
      <sharedItems containsBlank="1" count="6">
        <m/>
        <s v="Piercing"/>
        <s v="Slashing"/>
        <s v="Bludgeoning"/>
        <s v="Radiant"/>
        <s v="Necrotic"/>
      </sharedItems>
    </cacheField>
    <cacheField name="Dmg type 6" numFmtId="0">
      <sharedItems containsNonDate="0" containsString="0" containsBlank="1" count="1">
        <m/>
      </sharedItems>
    </cacheField>
    <cacheField name="Healing 3" numFmtId="0">
      <sharedItems containsString="0" containsBlank="1" containsNumber="1" containsInteger="1" minValue="1" maxValue="48"/>
    </cacheField>
    <cacheField name="Kills 3" numFmtId="0">
      <sharedItems containsString="0" containsBlank="1" containsNumber="1" containsInteger="1" minValue="1" maxValue="1"/>
    </cacheField>
    <cacheField name="Location" numFmtId="0">
      <sharedItems containsBlank="1" count="5">
        <m/>
        <s v="Mother's lair"/>
        <s v="First town"/>
        <s v="Decons lair"/>
        <s v="Deacon's chambers"/>
      </sharedItems>
    </cacheField>
    <cacheField name="Total Dmg" numFmtId="0" formula="Dmg+'Dmg 2'+'Dmg 3'+'Dmg 4'+'Dmg 5'+'Dmg  6'" databaseField="0"/>
    <cacheField name="Months" numFmtId="0" databaseField="0">
      <fieldGroup base="0">
        <rangePr groupBy="months" startDate="2021-10-16T00:00:00" endDate="2021-11-08T00:00:00"/>
        <groupItems count="14">
          <s v="&lt;16/10/2021"/>
          <s v="Jan"/>
          <s v="Feb"/>
          <s v="Mar"/>
          <s v="Apr"/>
          <s v="May"/>
          <s v="Jun"/>
          <s v="Jul"/>
          <s v="Aug"/>
          <s v="Sep"/>
          <s v="Oct"/>
          <s v="Nov"/>
          <s v="Dec"/>
          <s v="&gt;08/11/2021"/>
        </groupItems>
      </fieldGroup>
    </cacheField>
    <cacheField name="All Dmgtypes" numFmtId="0" formula=" (#NAME?+'Dmg type 2')+(#NAME?+#NAME?)+(#NAME?+#NAME?)" databaseField="0"/>
  </cacheFields>
  <extLst>
    <ext xmlns:x14="http://schemas.microsoft.com/office/spreadsheetml/2009/9/main" uri="{725AE2AE-9491-48be-B2B4-4EB974FC3084}">
      <x14:pivotCacheDefinition pivotCacheId="16439603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9">
  <r>
    <x v="0"/>
    <m/>
    <x v="0"/>
    <x v="0"/>
    <m/>
    <m/>
    <x v="0"/>
    <x v="0"/>
    <m/>
    <m/>
    <m/>
    <n v="1"/>
    <n v="1"/>
    <x v="0"/>
    <x v="0"/>
    <n v="1"/>
    <m/>
    <x v="0"/>
    <x v="0"/>
    <m/>
    <m/>
    <m/>
    <n v="1"/>
    <n v="1"/>
    <x v="0"/>
    <x v="0"/>
    <n v="1"/>
    <m/>
    <x v="0"/>
    <x v="0"/>
    <m/>
    <m/>
    <m/>
    <n v="1"/>
    <n v="1"/>
    <x v="0"/>
    <x v="0"/>
    <n v="1"/>
    <m/>
    <x v="0"/>
  </r>
  <r>
    <x v="0"/>
    <m/>
    <x v="1"/>
    <x v="0"/>
    <m/>
    <m/>
    <x v="0"/>
    <x v="1"/>
    <m/>
    <m/>
    <m/>
    <n v="2"/>
    <n v="1"/>
    <x v="0"/>
    <x v="0"/>
    <n v="1"/>
    <m/>
    <x v="0"/>
    <x v="1"/>
    <m/>
    <m/>
    <m/>
    <n v="1"/>
    <n v="1"/>
    <x v="0"/>
    <x v="0"/>
    <n v="1"/>
    <m/>
    <x v="0"/>
    <x v="1"/>
    <m/>
    <m/>
    <m/>
    <n v="1"/>
    <n v="1"/>
    <x v="0"/>
    <x v="0"/>
    <n v="1"/>
    <m/>
    <x v="0"/>
  </r>
  <r>
    <x v="0"/>
    <m/>
    <x v="2"/>
    <x v="0"/>
    <m/>
    <m/>
    <x v="0"/>
    <x v="2"/>
    <m/>
    <m/>
    <m/>
    <n v="1"/>
    <n v="1"/>
    <x v="0"/>
    <x v="0"/>
    <n v="1"/>
    <m/>
    <x v="0"/>
    <x v="2"/>
    <m/>
    <m/>
    <m/>
    <n v="1"/>
    <n v="1"/>
    <x v="0"/>
    <x v="0"/>
    <n v="1"/>
    <m/>
    <x v="0"/>
    <x v="2"/>
    <m/>
    <m/>
    <m/>
    <n v="1"/>
    <n v="1"/>
    <x v="0"/>
    <x v="0"/>
    <n v="1"/>
    <m/>
    <x v="0"/>
  </r>
  <r>
    <x v="0"/>
    <m/>
    <x v="3"/>
    <x v="0"/>
    <m/>
    <m/>
    <x v="0"/>
    <x v="3"/>
    <m/>
    <m/>
    <m/>
    <n v="1"/>
    <n v="1"/>
    <x v="0"/>
    <x v="0"/>
    <n v="1"/>
    <m/>
    <x v="0"/>
    <x v="3"/>
    <m/>
    <m/>
    <m/>
    <n v="1"/>
    <n v="1"/>
    <x v="0"/>
    <x v="0"/>
    <n v="1"/>
    <m/>
    <x v="0"/>
    <x v="3"/>
    <m/>
    <m/>
    <m/>
    <n v="1"/>
    <n v="1"/>
    <x v="0"/>
    <x v="0"/>
    <n v="1"/>
    <m/>
    <x v="0"/>
  </r>
  <r>
    <x v="0"/>
    <m/>
    <x v="4"/>
    <x v="0"/>
    <m/>
    <m/>
    <x v="0"/>
    <x v="4"/>
    <m/>
    <m/>
    <m/>
    <n v="1"/>
    <n v="1"/>
    <x v="0"/>
    <x v="0"/>
    <n v="1"/>
    <m/>
    <x v="0"/>
    <x v="4"/>
    <m/>
    <m/>
    <m/>
    <n v="1"/>
    <n v="1"/>
    <x v="0"/>
    <x v="0"/>
    <n v="1"/>
    <m/>
    <x v="0"/>
    <x v="4"/>
    <m/>
    <m/>
    <m/>
    <n v="1"/>
    <n v="1"/>
    <x v="0"/>
    <x v="0"/>
    <n v="1"/>
    <m/>
    <x v="0"/>
  </r>
  <r>
    <x v="0"/>
    <m/>
    <x v="5"/>
    <x v="0"/>
    <m/>
    <m/>
    <x v="0"/>
    <x v="5"/>
    <m/>
    <m/>
    <m/>
    <n v="1"/>
    <n v="1"/>
    <x v="0"/>
    <x v="0"/>
    <n v="1"/>
    <m/>
    <x v="0"/>
    <x v="5"/>
    <m/>
    <m/>
    <m/>
    <n v="1"/>
    <n v="1"/>
    <x v="0"/>
    <x v="0"/>
    <n v="1"/>
    <m/>
    <x v="0"/>
    <x v="5"/>
    <m/>
    <m/>
    <m/>
    <n v="1"/>
    <n v="1"/>
    <x v="0"/>
    <x v="0"/>
    <n v="1"/>
    <m/>
    <x v="0"/>
  </r>
  <r>
    <x v="1"/>
    <n v="1"/>
    <x v="6"/>
    <x v="1"/>
    <n v="25"/>
    <s v="S"/>
    <x v="1"/>
    <x v="2"/>
    <m/>
    <n v="1"/>
    <m/>
    <n v="10"/>
    <m/>
    <x v="1"/>
    <x v="0"/>
    <m/>
    <m/>
    <x v="1"/>
    <x v="0"/>
    <m/>
    <n v="1"/>
    <m/>
    <n v="6"/>
    <m/>
    <x v="1"/>
    <x v="0"/>
    <m/>
    <m/>
    <x v="0"/>
    <x v="6"/>
    <m/>
    <m/>
    <m/>
    <m/>
    <m/>
    <x v="0"/>
    <x v="0"/>
    <m/>
    <m/>
    <x v="1"/>
  </r>
  <r>
    <x v="1"/>
    <n v="1"/>
    <x v="2"/>
    <x v="2"/>
    <n v="10"/>
    <s v="N"/>
    <x v="2"/>
    <x v="6"/>
    <m/>
    <m/>
    <m/>
    <n v="0"/>
    <m/>
    <x v="0"/>
    <x v="0"/>
    <m/>
    <m/>
    <x v="0"/>
    <x v="6"/>
    <m/>
    <m/>
    <m/>
    <m/>
    <m/>
    <x v="0"/>
    <x v="0"/>
    <m/>
    <m/>
    <x v="0"/>
    <x v="6"/>
    <m/>
    <m/>
    <m/>
    <m/>
    <m/>
    <x v="0"/>
    <x v="0"/>
    <m/>
    <m/>
    <x v="1"/>
  </r>
  <r>
    <x v="1"/>
    <n v="1"/>
    <x v="4"/>
    <x v="2"/>
    <n v="30"/>
    <s v="E-N"/>
    <x v="3"/>
    <x v="7"/>
    <m/>
    <n v="1"/>
    <m/>
    <n v="9"/>
    <n v="9"/>
    <x v="1"/>
    <x v="0"/>
    <m/>
    <m/>
    <x v="0"/>
    <x v="6"/>
    <m/>
    <m/>
    <m/>
    <m/>
    <m/>
    <x v="0"/>
    <x v="0"/>
    <m/>
    <m/>
    <x v="1"/>
    <x v="7"/>
    <m/>
    <n v="0"/>
    <m/>
    <m/>
    <m/>
    <x v="0"/>
    <x v="0"/>
    <m/>
    <m/>
    <x v="1"/>
  </r>
  <r>
    <x v="1"/>
    <n v="1"/>
    <x v="3"/>
    <x v="2"/>
    <n v="30"/>
    <s v="N"/>
    <x v="4"/>
    <x v="7"/>
    <m/>
    <n v="1"/>
    <m/>
    <n v="1"/>
    <m/>
    <x v="1"/>
    <x v="0"/>
    <m/>
    <m/>
    <x v="2"/>
    <x v="7"/>
    <m/>
    <n v="1"/>
    <m/>
    <n v="9"/>
    <m/>
    <x v="1"/>
    <x v="0"/>
    <m/>
    <m/>
    <x v="0"/>
    <x v="6"/>
    <m/>
    <m/>
    <m/>
    <m/>
    <m/>
    <x v="0"/>
    <x v="0"/>
    <m/>
    <m/>
    <x v="1"/>
  </r>
  <r>
    <x v="1"/>
    <n v="1"/>
    <x v="0"/>
    <x v="2"/>
    <m/>
    <m/>
    <x v="5"/>
    <x v="7"/>
    <m/>
    <n v="0"/>
    <m/>
    <n v="0"/>
    <m/>
    <x v="0"/>
    <x v="0"/>
    <m/>
    <m/>
    <x v="3"/>
    <x v="7"/>
    <m/>
    <n v="1"/>
    <m/>
    <n v="5"/>
    <m/>
    <x v="2"/>
    <x v="0"/>
    <m/>
    <m/>
    <x v="2"/>
    <x v="7"/>
    <m/>
    <n v="1"/>
    <m/>
    <n v="10"/>
    <m/>
    <x v="1"/>
    <x v="0"/>
    <m/>
    <m/>
    <x v="1"/>
  </r>
  <r>
    <x v="1"/>
    <n v="2"/>
    <x v="6"/>
    <x v="1"/>
    <s v="?"/>
    <s v="N"/>
    <x v="6"/>
    <x v="0"/>
    <m/>
    <n v="1"/>
    <m/>
    <n v="10"/>
    <m/>
    <x v="2"/>
    <x v="0"/>
    <m/>
    <m/>
    <x v="4"/>
    <x v="0"/>
    <m/>
    <n v="1"/>
    <m/>
    <n v="10"/>
    <m/>
    <x v="3"/>
    <x v="0"/>
    <m/>
    <m/>
    <x v="2"/>
    <x v="8"/>
    <m/>
    <m/>
    <m/>
    <m/>
    <m/>
    <x v="0"/>
    <x v="0"/>
    <m/>
    <m/>
    <x v="1"/>
  </r>
  <r>
    <x v="1"/>
    <n v="2"/>
    <x v="2"/>
    <x v="2"/>
    <m/>
    <m/>
    <x v="7"/>
    <x v="0"/>
    <m/>
    <n v="1"/>
    <m/>
    <n v="0"/>
    <m/>
    <x v="0"/>
    <x v="0"/>
    <n v="17"/>
    <m/>
    <x v="0"/>
    <x v="6"/>
    <m/>
    <m/>
    <m/>
    <m/>
    <m/>
    <x v="0"/>
    <x v="0"/>
    <m/>
    <m/>
    <x v="3"/>
    <x v="7"/>
    <m/>
    <n v="1"/>
    <m/>
    <m/>
    <m/>
    <x v="0"/>
    <x v="0"/>
    <m/>
    <m/>
    <x v="1"/>
  </r>
  <r>
    <x v="1"/>
    <n v="2"/>
    <x v="4"/>
    <x v="2"/>
    <m/>
    <m/>
    <x v="3"/>
    <x v="7"/>
    <m/>
    <n v="0"/>
    <m/>
    <n v="0"/>
    <m/>
    <x v="0"/>
    <x v="0"/>
    <m/>
    <m/>
    <x v="5"/>
    <x v="7"/>
    <m/>
    <n v="0"/>
    <m/>
    <m/>
    <m/>
    <x v="0"/>
    <x v="0"/>
    <m/>
    <m/>
    <x v="1"/>
    <x v="6"/>
    <m/>
    <m/>
    <m/>
    <m/>
    <m/>
    <x v="0"/>
    <x v="0"/>
    <m/>
    <m/>
    <x v="1"/>
  </r>
  <r>
    <x v="1"/>
    <n v="2"/>
    <x v="3"/>
    <x v="2"/>
    <n v="10"/>
    <s v="N"/>
    <x v="4"/>
    <x v="7"/>
    <m/>
    <n v="1"/>
    <m/>
    <n v="22"/>
    <m/>
    <x v="1"/>
    <x v="0"/>
    <m/>
    <m/>
    <x v="2"/>
    <x v="7"/>
    <m/>
    <n v="1"/>
    <m/>
    <n v="14"/>
    <m/>
    <x v="1"/>
    <x v="0"/>
    <m/>
    <m/>
    <x v="4"/>
    <x v="7"/>
    <m/>
    <n v="0"/>
    <m/>
    <m/>
    <m/>
    <x v="0"/>
    <x v="0"/>
    <m/>
    <m/>
    <x v="1"/>
  </r>
  <r>
    <x v="1"/>
    <n v="2"/>
    <x v="0"/>
    <x v="2"/>
    <n v="15"/>
    <m/>
    <x v="5"/>
    <x v="7"/>
    <m/>
    <n v="1"/>
    <m/>
    <n v="8"/>
    <m/>
    <x v="3"/>
    <x v="0"/>
    <m/>
    <m/>
    <x v="3"/>
    <x v="6"/>
    <m/>
    <m/>
    <m/>
    <m/>
    <m/>
    <x v="0"/>
    <x v="0"/>
    <m/>
    <m/>
    <x v="2"/>
    <x v="7"/>
    <m/>
    <n v="1"/>
    <m/>
    <n v="14"/>
    <m/>
    <x v="1"/>
    <x v="0"/>
    <m/>
    <m/>
    <x v="1"/>
  </r>
  <r>
    <x v="1"/>
    <n v="3"/>
    <x v="6"/>
    <x v="1"/>
    <n v="140"/>
    <m/>
    <x v="8"/>
    <x v="8"/>
    <m/>
    <n v="4"/>
    <m/>
    <n v="19"/>
    <m/>
    <x v="4"/>
    <x v="0"/>
    <m/>
    <m/>
    <x v="0"/>
    <x v="6"/>
    <m/>
    <m/>
    <m/>
    <m/>
    <m/>
    <x v="0"/>
    <x v="0"/>
    <m/>
    <m/>
    <x v="5"/>
    <x v="6"/>
    <m/>
    <m/>
    <m/>
    <m/>
    <m/>
    <x v="0"/>
    <x v="0"/>
    <m/>
    <m/>
    <x v="1"/>
  </r>
  <r>
    <x v="1"/>
    <n v="3"/>
    <x v="2"/>
    <x v="2"/>
    <m/>
    <m/>
    <x v="9"/>
    <x v="8"/>
    <m/>
    <n v="4"/>
    <m/>
    <n v="0"/>
    <m/>
    <x v="0"/>
    <x v="0"/>
    <n v="15"/>
    <m/>
    <x v="0"/>
    <x v="6"/>
    <m/>
    <m/>
    <m/>
    <m/>
    <m/>
    <x v="0"/>
    <x v="0"/>
    <m/>
    <m/>
    <x v="6"/>
    <x v="2"/>
    <m/>
    <n v="1"/>
    <m/>
    <m/>
    <m/>
    <x v="0"/>
    <x v="0"/>
    <n v="15"/>
    <m/>
    <x v="1"/>
  </r>
  <r>
    <x v="1"/>
    <n v="3"/>
    <x v="4"/>
    <x v="2"/>
    <n v="25"/>
    <s v="S"/>
    <x v="10"/>
    <x v="7"/>
    <m/>
    <n v="0"/>
    <m/>
    <n v="0"/>
    <m/>
    <x v="0"/>
    <x v="0"/>
    <m/>
    <m/>
    <x v="0"/>
    <x v="6"/>
    <m/>
    <m/>
    <m/>
    <m/>
    <m/>
    <x v="0"/>
    <x v="0"/>
    <m/>
    <m/>
    <x v="7"/>
    <x v="6"/>
    <m/>
    <m/>
    <m/>
    <m/>
    <m/>
    <x v="0"/>
    <x v="0"/>
    <n v="13"/>
    <m/>
    <x v="1"/>
  </r>
  <r>
    <x v="1"/>
    <n v="3"/>
    <x v="3"/>
    <x v="2"/>
    <m/>
    <m/>
    <x v="4"/>
    <x v="7"/>
    <m/>
    <n v="1"/>
    <m/>
    <n v="15"/>
    <m/>
    <x v="1"/>
    <x v="0"/>
    <m/>
    <m/>
    <x v="2"/>
    <x v="7"/>
    <m/>
    <n v="1"/>
    <m/>
    <n v="8"/>
    <m/>
    <x v="1"/>
    <x v="0"/>
    <m/>
    <m/>
    <x v="4"/>
    <x v="6"/>
    <m/>
    <m/>
    <m/>
    <m/>
    <m/>
    <x v="0"/>
    <x v="0"/>
    <m/>
    <m/>
    <x v="1"/>
  </r>
  <r>
    <x v="1"/>
    <n v="3"/>
    <x v="0"/>
    <x v="2"/>
    <n v="5"/>
    <m/>
    <x v="5"/>
    <x v="7"/>
    <m/>
    <n v="1"/>
    <m/>
    <n v="11"/>
    <m/>
    <x v="3"/>
    <x v="0"/>
    <m/>
    <m/>
    <x v="3"/>
    <x v="7"/>
    <m/>
    <n v="0"/>
    <m/>
    <m/>
    <m/>
    <x v="0"/>
    <x v="0"/>
    <m/>
    <m/>
    <x v="2"/>
    <x v="7"/>
    <m/>
    <n v="0"/>
    <m/>
    <m/>
    <m/>
    <x v="0"/>
    <x v="0"/>
    <m/>
    <m/>
    <x v="1"/>
  </r>
  <r>
    <x v="1"/>
    <n v="4"/>
    <x v="6"/>
    <x v="1"/>
    <m/>
    <m/>
    <x v="11"/>
    <x v="6"/>
    <m/>
    <m/>
    <m/>
    <n v="0"/>
    <m/>
    <x v="0"/>
    <x v="0"/>
    <m/>
    <m/>
    <x v="0"/>
    <x v="6"/>
    <m/>
    <m/>
    <m/>
    <m/>
    <m/>
    <x v="0"/>
    <x v="0"/>
    <m/>
    <m/>
    <x v="0"/>
    <x v="6"/>
    <m/>
    <m/>
    <m/>
    <m/>
    <m/>
    <x v="0"/>
    <x v="0"/>
    <m/>
    <m/>
    <x v="1"/>
  </r>
  <r>
    <x v="1"/>
    <n v="4"/>
    <x v="2"/>
    <x v="2"/>
    <m/>
    <m/>
    <x v="7"/>
    <x v="2"/>
    <m/>
    <n v="1"/>
    <m/>
    <n v="0"/>
    <m/>
    <x v="0"/>
    <x v="0"/>
    <n v="16"/>
    <m/>
    <x v="0"/>
    <x v="6"/>
    <m/>
    <m/>
    <m/>
    <m/>
    <m/>
    <x v="0"/>
    <x v="0"/>
    <m/>
    <m/>
    <x v="8"/>
    <x v="7"/>
    <m/>
    <n v="1"/>
    <m/>
    <n v="5"/>
    <m/>
    <x v="2"/>
    <x v="0"/>
    <m/>
    <m/>
    <x v="1"/>
  </r>
  <r>
    <x v="1"/>
    <n v="4"/>
    <x v="4"/>
    <x v="2"/>
    <m/>
    <m/>
    <x v="10"/>
    <x v="7"/>
    <m/>
    <m/>
    <m/>
    <n v="0"/>
    <m/>
    <x v="0"/>
    <x v="0"/>
    <m/>
    <m/>
    <x v="0"/>
    <x v="6"/>
    <m/>
    <m/>
    <m/>
    <m/>
    <m/>
    <x v="0"/>
    <x v="0"/>
    <m/>
    <m/>
    <x v="9"/>
    <x v="7"/>
    <m/>
    <n v="1"/>
    <m/>
    <m/>
    <m/>
    <x v="0"/>
    <x v="0"/>
    <m/>
    <m/>
    <x v="1"/>
  </r>
  <r>
    <x v="1"/>
    <n v="4"/>
    <x v="3"/>
    <x v="2"/>
    <n v="30"/>
    <s v="S-W"/>
    <x v="12"/>
    <x v="7"/>
    <m/>
    <n v="1"/>
    <m/>
    <n v="10"/>
    <m/>
    <x v="3"/>
    <x v="0"/>
    <m/>
    <m/>
    <x v="2"/>
    <x v="7"/>
    <m/>
    <n v="0"/>
    <m/>
    <m/>
    <m/>
    <x v="0"/>
    <x v="0"/>
    <m/>
    <m/>
    <x v="0"/>
    <x v="6"/>
    <m/>
    <m/>
    <m/>
    <m/>
    <m/>
    <x v="0"/>
    <x v="0"/>
    <m/>
    <m/>
    <x v="1"/>
  </r>
  <r>
    <x v="1"/>
    <n v="4"/>
    <x v="0"/>
    <x v="2"/>
    <m/>
    <m/>
    <x v="5"/>
    <x v="7"/>
    <m/>
    <n v="1"/>
    <m/>
    <n v="15"/>
    <m/>
    <x v="3"/>
    <x v="0"/>
    <m/>
    <m/>
    <x v="3"/>
    <x v="7"/>
    <m/>
    <n v="1"/>
    <m/>
    <n v="17"/>
    <m/>
    <x v="2"/>
    <x v="0"/>
    <m/>
    <m/>
    <x v="2"/>
    <x v="7"/>
    <m/>
    <n v="1"/>
    <m/>
    <n v="11"/>
    <m/>
    <x v="1"/>
    <x v="0"/>
    <m/>
    <m/>
    <x v="1"/>
  </r>
  <r>
    <x v="1"/>
    <n v="5"/>
    <x v="6"/>
    <x v="1"/>
    <n v="60"/>
    <m/>
    <x v="13"/>
    <x v="6"/>
    <m/>
    <m/>
    <m/>
    <n v="0"/>
    <m/>
    <x v="0"/>
    <x v="0"/>
    <m/>
    <m/>
    <x v="0"/>
    <x v="6"/>
    <m/>
    <m/>
    <m/>
    <m/>
    <m/>
    <x v="0"/>
    <x v="0"/>
    <m/>
    <m/>
    <x v="5"/>
    <x v="6"/>
    <m/>
    <m/>
    <m/>
    <m/>
    <m/>
    <x v="0"/>
    <x v="0"/>
    <m/>
    <m/>
    <x v="1"/>
  </r>
  <r>
    <x v="1"/>
    <n v="5"/>
    <x v="2"/>
    <x v="2"/>
    <n v="20"/>
    <m/>
    <x v="7"/>
    <x v="0"/>
    <m/>
    <n v="1"/>
    <m/>
    <n v="0"/>
    <m/>
    <x v="0"/>
    <x v="0"/>
    <n v="15"/>
    <m/>
    <x v="0"/>
    <x v="6"/>
    <m/>
    <m/>
    <m/>
    <m/>
    <m/>
    <x v="0"/>
    <x v="0"/>
    <m/>
    <m/>
    <x v="6"/>
    <x v="0"/>
    <m/>
    <n v="1"/>
    <m/>
    <m/>
    <m/>
    <x v="0"/>
    <x v="0"/>
    <n v="11"/>
    <m/>
    <x v="1"/>
  </r>
  <r>
    <x v="1"/>
    <n v="5"/>
    <x v="4"/>
    <x v="2"/>
    <m/>
    <m/>
    <x v="14"/>
    <x v="7"/>
    <m/>
    <n v="1"/>
    <m/>
    <n v="7"/>
    <m/>
    <x v="3"/>
    <x v="0"/>
    <m/>
    <m/>
    <x v="0"/>
    <x v="6"/>
    <m/>
    <m/>
    <m/>
    <m/>
    <m/>
    <x v="0"/>
    <x v="0"/>
    <m/>
    <m/>
    <x v="0"/>
    <x v="6"/>
    <m/>
    <m/>
    <m/>
    <m/>
    <m/>
    <x v="0"/>
    <x v="0"/>
    <m/>
    <m/>
    <x v="1"/>
  </r>
  <r>
    <x v="1"/>
    <n v="5"/>
    <x v="3"/>
    <x v="2"/>
    <n v="15"/>
    <s v="S-E"/>
    <x v="12"/>
    <x v="7"/>
    <m/>
    <n v="1"/>
    <m/>
    <n v="9"/>
    <m/>
    <x v="3"/>
    <x v="0"/>
    <m/>
    <m/>
    <x v="2"/>
    <x v="7"/>
    <m/>
    <n v="1"/>
    <m/>
    <n v="11"/>
    <m/>
    <x v="1"/>
    <x v="0"/>
    <m/>
    <m/>
    <x v="10"/>
    <x v="6"/>
    <m/>
    <m/>
    <m/>
    <m/>
    <m/>
    <x v="0"/>
    <x v="0"/>
    <m/>
    <m/>
    <x v="1"/>
  </r>
  <r>
    <x v="1"/>
    <n v="5"/>
    <x v="0"/>
    <x v="2"/>
    <m/>
    <m/>
    <x v="5"/>
    <x v="7"/>
    <m/>
    <n v="1"/>
    <m/>
    <n v="12"/>
    <m/>
    <x v="3"/>
    <x v="0"/>
    <m/>
    <m/>
    <x v="3"/>
    <x v="7"/>
    <m/>
    <n v="1"/>
    <m/>
    <n v="11"/>
    <m/>
    <x v="2"/>
    <x v="0"/>
    <m/>
    <m/>
    <x v="2"/>
    <x v="7"/>
    <m/>
    <n v="1"/>
    <m/>
    <n v="9"/>
    <m/>
    <x v="1"/>
    <x v="0"/>
    <m/>
    <m/>
    <x v="1"/>
  </r>
  <r>
    <x v="1"/>
    <n v="6"/>
    <x v="6"/>
    <x v="1"/>
    <m/>
    <m/>
    <x v="15"/>
    <x v="2"/>
    <m/>
    <n v="1"/>
    <m/>
    <n v="24"/>
    <n v="25"/>
    <x v="4"/>
    <x v="1"/>
    <m/>
    <m/>
    <x v="6"/>
    <x v="2"/>
    <m/>
    <n v="1"/>
    <m/>
    <n v="33"/>
    <m/>
    <x v="4"/>
    <x v="0"/>
    <m/>
    <n v="1"/>
    <x v="0"/>
    <x v="6"/>
    <m/>
    <m/>
    <m/>
    <m/>
    <m/>
    <x v="0"/>
    <x v="0"/>
    <m/>
    <m/>
    <x v="1"/>
  </r>
  <r>
    <x v="1"/>
    <n v="6"/>
    <x v="4"/>
    <x v="2"/>
    <n v="30"/>
    <m/>
    <x v="10"/>
    <x v="7"/>
    <m/>
    <n v="0"/>
    <m/>
    <n v="0"/>
    <m/>
    <x v="0"/>
    <x v="0"/>
    <m/>
    <m/>
    <x v="7"/>
    <x v="7"/>
    <m/>
    <n v="0"/>
    <m/>
    <m/>
    <m/>
    <x v="0"/>
    <x v="0"/>
    <m/>
    <m/>
    <x v="7"/>
    <x v="6"/>
    <m/>
    <m/>
    <m/>
    <m/>
    <m/>
    <x v="0"/>
    <x v="0"/>
    <m/>
    <m/>
    <x v="1"/>
  </r>
  <r>
    <x v="1"/>
    <n v="6"/>
    <x v="3"/>
    <x v="2"/>
    <m/>
    <m/>
    <x v="4"/>
    <x v="7"/>
    <m/>
    <n v="1"/>
    <m/>
    <n v="12"/>
    <m/>
    <x v="1"/>
    <x v="0"/>
    <m/>
    <m/>
    <x v="2"/>
    <x v="7"/>
    <m/>
    <n v="1"/>
    <m/>
    <n v="11"/>
    <m/>
    <x v="1"/>
    <x v="0"/>
    <m/>
    <m/>
    <x v="0"/>
    <x v="6"/>
    <m/>
    <m/>
    <m/>
    <m/>
    <m/>
    <x v="0"/>
    <x v="0"/>
    <m/>
    <m/>
    <x v="1"/>
  </r>
  <r>
    <x v="1"/>
    <m/>
    <x v="0"/>
    <x v="2"/>
    <m/>
    <m/>
    <x v="5"/>
    <x v="7"/>
    <m/>
    <n v="1"/>
    <m/>
    <n v="16"/>
    <m/>
    <x v="3"/>
    <x v="0"/>
    <m/>
    <m/>
    <x v="3"/>
    <x v="7"/>
    <m/>
    <n v="1"/>
    <m/>
    <m/>
    <m/>
    <x v="0"/>
    <x v="0"/>
    <m/>
    <m/>
    <x v="2"/>
    <x v="6"/>
    <m/>
    <m/>
    <m/>
    <m/>
    <m/>
    <x v="0"/>
    <x v="0"/>
    <m/>
    <m/>
    <x v="1"/>
  </r>
  <r>
    <x v="1"/>
    <n v="7"/>
    <x v="6"/>
    <x v="1"/>
    <m/>
    <m/>
    <x v="15"/>
    <x v="7"/>
    <m/>
    <n v="1"/>
    <m/>
    <n v="9"/>
    <n v="30"/>
    <x v="4"/>
    <x v="1"/>
    <m/>
    <m/>
    <x v="0"/>
    <x v="6"/>
    <m/>
    <m/>
    <m/>
    <m/>
    <m/>
    <x v="0"/>
    <x v="0"/>
    <m/>
    <m/>
    <x v="11"/>
    <x v="9"/>
    <m/>
    <s v="3 (sev=necrotic)"/>
    <m/>
    <m/>
    <m/>
    <x v="0"/>
    <x v="0"/>
    <m/>
    <m/>
    <x v="1"/>
  </r>
  <r>
    <x v="1"/>
    <n v="7"/>
    <x v="4"/>
    <x v="2"/>
    <m/>
    <m/>
    <x v="10"/>
    <x v="7"/>
    <m/>
    <n v="1"/>
    <m/>
    <n v="0"/>
    <m/>
    <x v="0"/>
    <x v="0"/>
    <m/>
    <m/>
    <x v="8"/>
    <x v="7"/>
    <m/>
    <n v="1"/>
    <m/>
    <n v="16"/>
    <m/>
    <x v="1"/>
    <x v="0"/>
    <m/>
    <m/>
    <x v="7"/>
    <x v="6"/>
    <m/>
    <m/>
    <m/>
    <m/>
    <m/>
    <x v="0"/>
    <x v="0"/>
    <m/>
    <m/>
    <x v="1"/>
  </r>
  <r>
    <x v="1"/>
    <n v="7"/>
    <x v="3"/>
    <x v="2"/>
    <m/>
    <m/>
    <x v="12"/>
    <x v="7"/>
    <m/>
    <n v="1"/>
    <m/>
    <n v="0"/>
    <m/>
    <x v="0"/>
    <x v="0"/>
    <m/>
    <m/>
    <x v="9"/>
    <x v="6"/>
    <m/>
    <m/>
    <m/>
    <m/>
    <m/>
    <x v="0"/>
    <x v="0"/>
    <m/>
    <m/>
    <x v="0"/>
    <x v="6"/>
    <m/>
    <m/>
    <m/>
    <m/>
    <m/>
    <x v="0"/>
    <x v="0"/>
    <m/>
    <m/>
    <x v="1"/>
  </r>
  <r>
    <x v="1"/>
    <n v="7"/>
    <x v="0"/>
    <x v="2"/>
    <m/>
    <m/>
    <x v="5"/>
    <x v="7"/>
    <m/>
    <n v="1"/>
    <m/>
    <n v="7"/>
    <m/>
    <x v="3"/>
    <x v="0"/>
    <m/>
    <m/>
    <x v="3"/>
    <x v="7"/>
    <m/>
    <n v="1"/>
    <m/>
    <n v="10"/>
    <m/>
    <x v="2"/>
    <x v="0"/>
    <m/>
    <m/>
    <x v="0"/>
    <x v="6"/>
    <m/>
    <m/>
    <m/>
    <m/>
    <m/>
    <x v="0"/>
    <x v="0"/>
    <m/>
    <m/>
    <x v="1"/>
  </r>
  <r>
    <x v="1"/>
    <n v="8"/>
    <x v="6"/>
    <x v="1"/>
    <m/>
    <m/>
    <x v="15"/>
    <x v="3"/>
    <m/>
    <n v="0"/>
    <m/>
    <n v="0"/>
    <m/>
    <x v="0"/>
    <x v="0"/>
    <m/>
    <m/>
    <x v="0"/>
    <x v="6"/>
    <m/>
    <m/>
    <m/>
    <m/>
    <m/>
    <x v="0"/>
    <x v="0"/>
    <m/>
    <m/>
    <x v="0"/>
    <x v="6"/>
    <m/>
    <m/>
    <m/>
    <m/>
    <m/>
    <x v="0"/>
    <x v="0"/>
    <m/>
    <m/>
    <x v="1"/>
  </r>
  <r>
    <x v="1"/>
    <n v="8"/>
    <x v="2"/>
    <x v="2"/>
    <m/>
    <m/>
    <x v="9"/>
    <x v="9"/>
    <m/>
    <n v="3"/>
    <m/>
    <n v="0"/>
    <m/>
    <x v="0"/>
    <x v="0"/>
    <n v="15"/>
    <m/>
    <x v="0"/>
    <x v="6"/>
    <m/>
    <m/>
    <m/>
    <m/>
    <m/>
    <x v="0"/>
    <x v="0"/>
    <m/>
    <m/>
    <x v="6"/>
    <x v="2"/>
    <m/>
    <n v="1"/>
    <m/>
    <m/>
    <m/>
    <x v="0"/>
    <x v="0"/>
    <n v="16"/>
    <m/>
    <x v="1"/>
  </r>
  <r>
    <x v="1"/>
    <n v="8"/>
    <x v="4"/>
    <x v="2"/>
    <m/>
    <m/>
    <x v="16"/>
    <x v="7"/>
    <m/>
    <n v="1"/>
    <m/>
    <n v="21"/>
    <m/>
    <x v="1"/>
    <x v="0"/>
    <m/>
    <m/>
    <x v="10"/>
    <x v="7"/>
    <m/>
    <n v="1"/>
    <m/>
    <n v="12"/>
    <m/>
    <x v="1"/>
    <x v="0"/>
    <m/>
    <m/>
    <x v="0"/>
    <x v="6"/>
    <m/>
    <m/>
    <m/>
    <m/>
    <m/>
    <x v="0"/>
    <x v="0"/>
    <m/>
    <m/>
    <x v="1"/>
  </r>
  <r>
    <x v="1"/>
    <n v="8"/>
    <x v="3"/>
    <x v="2"/>
    <m/>
    <m/>
    <x v="12"/>
    <x v="7"/>
    <m/>
    <n v="1"/>
    <m/>
    <n v="7"/>
    <m/>
    <x v="3"/>
    <x v="0"/>
    <m/>
    <m/>
    <x v="9"/>
    <x v="7"/>
    <m/>
    <n v="1"/>
    <m/>
    <n v="11"/>
    <m/>
    <x v="2"/>
    <x v="0"/>
    <m/>
    <m/>
    <x v="12"/>
    <x v="7"/>
    <m/>
    <n v="1"/>
    <m/>
    <n v="15"/>
    <m/>
    <x v="3"/>
    <x v="0"/>
    <m/>
    <m/>
    <x v="1"/>
  </r>
  <r>
    <x v="0"/>
    <m/>
    <x v="7"/>
    <x v="0"/>
    <m/>
    <m/>
    <x v="0"/>
    <x v="6"/>
    <m/>
    <m/>
    <m/>
    <n v="0"/>
    <m/>
    <x v="0"/>
    <x v="0"/>
    <m/>
    <m/>
    <x v="0"/>
    <x v="6"/>
    <m/>
    <m/>
    <m/>
    <m/>
    <m/>
    <x v="0"/>
    <x v="0"/>
    <m/>
    <m/>
    <x v="0"/>
    <x v="6"/>
    <m/>
    <m/>
    <m/>
    <m/>
    <m/>
    <x v="0"/>
    <x v="0"/>
    <m/>
    <m/>
    <x v="0"/>
  </r>
  <r>
    <x v="0"/>
    <m/>
    <x v="8"/>
    <x v="0"/>
    <m/>
    <m/>
    <x v="0"/>
    <x v="6"/>
    <m/>
    <m/>
    <m/>
    <n v="0"/>
    <m/>
    <x v="0"/>
    <x v="0"/>
    <m/>
    <m/>
    <x v="0"/>
    <x v="6"/>
    <m/>
    <m/>
    <m/>
    <m/>
    <m/>
    <x v="0"/>
    <x v="0"/>
    <m/>
    <m/>
    <x v="0"/>
    <x v="6"/>
    <m/>
    <m/>
    <m/>
    <m/>
    <m/>
    <x v="0"/>
    <x v="0"/>
    <m/>
    <m/>
    <x v="0"/>
  </r>
  <r>
    <x v="2"/>
    <n v="1"/>
    <x v="4"/>
    <x v="2"/>
    <m/>
    <m/>
    <x v="17"/>
    <x v="10"/>
    <m/>
    <n v="1"/>
    <m/>
    <n v="12"/>
    <m/>
    <x v="3"/>
    <x v="0"/>
    <m/>
    <m/>
    <x v="10"/>
    <x v="8"/>
    <m/>
    <n v="1"/>
    <m/>
    <n v="12"/>
    <m/>
    <x v="1"/>
    <x v="0"/>
    <m/>
    <m/>
    <x v="7"/>
    <x v="6"/>
    <n v="12"/>
    <m/>
    <m/>
    <m/>
    <m/>
    <x v="0"/>
    <x v="0"/>
    <m/>
    <m/>
    <x v="2"/>
  </r>
  <r>
    <x v="0"/>
    <n v="1"/>
    <x v="5"/>
    <x v="2"/>
    <m/>
    <m/>
    <x v="18"/>
    <x v="10"/>
    <m/>
    <n v="1"/>
    <n v="1"/>
    <n v="19"/>
    <m/>
    <x v="3"/>
    <x v="0"/>
    <m/>
    <m/>
    <x v="11"/>
    <x v="8"/>
    <m/>
    <n v="1"/>
    <m/>
    <n v="22"/>
    <m/>
    <x v="2"/>
    <x v="0"/>
    <m/>
    <m/>
    <x v="0"/>
    <x v="6"/>
    <m/>
    <m/>
    <m/>
    <m/>
    <m/>
    <x v="0"/>
    <x v="0"/>
    <m/>
    <m/>
    <x v="2"/>
  </r>
  <r>
    <x v="2"/>
    <n v="1"/>
    <x v="8"/>
    <x v="0"/>
    <m/>
    <m/>
    <x v="0"/>
    <x v="6"/>
    <m/>
    <m/>
    <m/>
    <n v="0"/>
    <m/>
    <x v="0"/>
    <x v="0"/>
    <m/>
    <m/>
    <x v="0"/>
    <x v="6"/>
    <m/>
    <m/>
    <m/>
    <m/>
    <m/>
    <x v="0"/>
    <x v="0"/>
    <m/>
    <m/>
    <x v="0"/>
    <x v="6"/>
    <m/>
    <m/>
    <m/>
    <m/>
    <m/>
    <x v="0"/>
    <x v="0"/>
    <m/>
    <m/>
    <x v="2"/>
  </r>
  <r>
    <x v="2"/>
    <n v="2"/>
    <x v="4"/>
    <x v="2"/>
    <m/>
    <m/>
    <x v="17"/>
    <x v="10"/>
    <m/>
    <n v="1"/>
    <m/>
    <n v="11"/>
    <m/>
    <x v="1"/>
    <x v="0"/>
    <m/>
    <m/>
    <x v="8"/>
    <x v="8"/>
    <m/>
    <n v="1"/>
    <m/>
    <n v="11"/>
    <m/>
    <x v="1"/>
    <x v="0"/>
    <m/>
    <m/>
    <x v="0"/>
    <x v="6"/>
    <m/>
    <m/>
    <m/>
    <m/>
    <m/>
    <x v="0"/>
    <x v="0"/>
    <m/>
    <m/>
    <x v="2"/>
  </r>
  <r>
    <x v="2"/>
    <n v="2"/>
    <x v="0"/>
    <x v="2"/>
    <m/>
    <m/>
    <x v="5"/>
    <x v="10"/>
    <m/>
    <n v="1"/>
    <n v="1"/>
    <n v="22"/>
    <m/>
    <x v="3"/>
    <x v="0"/>
    <m/>
    <m/>
    <x v="0"/>
    <x v="6"/>
    <m/>
    <m/>
    <m/>
    <m/>
    <m/>
    <x v="0"/>
    <x v="0"/>
    <m/>
    <n v="1"/>
    <x v="0"/>
    <x v="6"/>
    <m/>
    <m/>
    <m/>
    <m/>
    <m/>
    <x v="0"/>
    <x v="0"/>
    <m/>
    <m/>
    <x v="2"/>
  </r>
  <r>
    <x v="2"/>
    <n v="2"/>
    <x v="9"/>
    <x v="1"/>
    <m/>
    <m/>
    <x v="19"/>
    <x v="2"/>
    <m/>
    <n v="0"/>
    <m/>
    <n v="0"/>
    <m/>
    <x v="0"/>
    <x v="0"/>
    <m/>
    <m/>
    <x v="0"/>
    <x v="6"/>
    <m/>
    <m/>
    <m/>
    <m/>
    <m/>
    <x v="0"/>
    <x v="0"/>
    <m/>
    <m/>
    <x v="0"/>
    <x v="6"/>
    <m/>
    <m/>
    <m/>
    <m/>
    <m/>
    <x v="0"/>
    <x v="0"/>
    <m/>
    <m/>
    <x v="2"/>
  </r>
  <r>
    <x v="2"/>
    <n v="2"/>
    <x v="9"/>
    <x v="1"/>
    <n v="10"/>
    <m/>
    <x v="19"/>
    <x v="2"/>
    <m/>
    <n v="0"/>
    <m/>
    <n v="0"/>
    <m/>
    <x v="0"/>
    <x v="0"/>
    <m/>
    <m/>
    <x v="0"/>
    <x v="6"/>
    <m/>
    <m/>
    <m/>
    <m/>
    <m/>
    <x v="0"/>
    <x v="0"/>
    <m/>
    <m/>
    <x v="0"/>
    <x v="6"/>
    <m/>
    <m/>
    <m/>
    <m/>
    <m/>
    <x v="0"/>
    <x v="0"/>
    <m/>
    <m/>
    <x v="2"/>
  </r>
  <r>
    <x v="2"/>
    <n v="2"/>
    <x v="9"/>
    <x v="1"/>
    <n v="25"/>
    <m/>
    <x v="19"/>
    <x v="2"/>
    <m/>
    <n v="0"/>
    <m/>
    <n v="0"/>
    <m/>
    <x v="0"/>
    <x v="0"/>
    <m/>
    <m/>
    <x v="0"/>
    <x v="6"/>
    <m/>
    <m/>
    <m/>
    <m/>
    <m/>
    <x v="0"/>
    <x v="0"/>
    <m/>
    <m/>
    <x v="0"/>
    <x v="6"/>
    <m/>
    <m/>
    <m/>
    <m/>
    <m/>
    <x v="0"/>
    <x v="0"/>
    <m/>
    <m/>
    <x v="2"/>
  </r>
  <r>
    <x v="2"/>
    <n v="2"/>
    <x v="1"/>
    <x v="2"/>
    <m/>
    <m/>
    <x v="20"/>
    <x v="11"/>
    <m/>
    <n v="1"/>
    <m/>
    <n v="11"/>
    <m/>
    <x v="4"/>
    <x v="0"/>
    <m/>
    <m/>
    <x v="12"/>
    <x v="8"/>
    <m/>
    <n v="1"/>
    <m/>
    <n v="8"/>
    <m/>
    <x v="4"/>
    <x v="0"/>
    <m/>
    <m/>
    <x v="0"/>
    <x v="6"/>
    <m/>
    <m/>
    <m/>
    <m/>
    <m/>
    <x v="0"/>
    <x v="0"/>
    <m/>
    <m/>
    <x v="2"/>
  </r>
  <r>
    <x v="2"/>
    <n v="2"/>
    <x v="5"/>
    <x v="2"/>
    <n v="15"/>
    <m/>
    <x v="18"/>
    <x v="11"/>
    <m/>
    <n v="1"/>
    <m/>
    <n v="20"/>
    <m/>
    <x v="3"/>
    <x v="0"/>
    <m/>
    <m/>
    <x v="11"/>
    <x v="8"/>
    <m/>
    <n v="1"/>
    <m/>
    <n v="25"/>
    <m/>
    <x v="2"/>
    <x v="0"/>
    <m/>
    <m/>
    <x v="0"/>
    <x v="6"/>
    <m/>
    <m/>
    <m/>
    <m/>
    <m/>
    <x v="0"/>
    <x v="0"/>
    <m/>
    <m/>
    <x v="2"/>
  </r>
  <r>
    <x v="2"/>
    <n v="2"/>
    <x v="3"/>
    <x v="2"/>
    <n v="5"/>
    <m/>
    <x v="4"/>
    <x v="11"/>
    <m/>
    <n v="1"/>
    <m/>
    <n v="11"/>
    <m/>
    <x v="1"/>
    <x v="0"/>
    <m/>
    <m/>
    <x v="0"/>
    <x v="6"/>
    <m/>
    <m/>
    <m/>
    <m/>
    <m/>
    <x v="0"/>
    <x v="0"/>
    <m/>
    <m/>
    <x v="0"/>
    <x v="6"/>
    <m/>
    <m/>
    <m/>
    <m/>
    <m/>
    <x v="0"/>
    <x v="0"/>
    <m/>
    <m/>
    <x v="2"/>
  </r>
  <r>
    <x v="2"/>
    <n v="3"/>
    <x v="4"/>
    <x v="2"/>
    <m/>
    <m/>
    <x v="17"/>
    <x v="11"/>
    <m/>
    <n v="1"/>
    <m/>
    <n v="13"/>
    <m/>
    <x v="1"/>
    <x v="0"/>
    <m/>
    <m/>
    <x v="8"/>
    <x v="8"/>
    <m/>
    <n v="1"/>
    <m/>
    <n v="8"/>
    <m/>
    <x v="1"/>
    <x v="0"/>
    <m/>
    <m/>
    <x v="13"/>
    <x v="6"/>
    <m/>
    <m/>
    <m/>
    <m/>
    <m/>
    <x v="0"/>
    <x v="0"/>
    <m/>
    <m/>
    <x v="2"/>
  </r>
  <r>
    <x v="2"/>
    <n v="3"/>
    <x v="9"/>
    <x v="1"/>
    <m/>
    <m/>
    <x v="21"/>
    <x v="4"/>
    <m/>
    <n v="1"/>
    <m/>
    <n v="16"/>
    <m/>
    <x v="4"/>
    <x v="0"/>
    <m/>
    <m/>
    <x v="0"/>
    <x v="6"/>
    <m/>
    <m/>
    <m/>
    <m/>
    <m/>
    <x v="0"/>
    <x v="0"/>
    <m/>
    <m/>
    <x v="0"/>
    <x v="6"/>
    <m/>
    <m/>
    <m/>
    <m/>
    <m/>
    <x v="0"/>
    <x v="0"/>
    <m/>
    <m/>
    <x v="2"/>
  </r>
  <r>
    <x v="2"/>
    <n v="3"/>
    <x v="2"/>
    <x v="2"/>
    <m/>
    <m/>
    <x v="0"/>
    <x v="6"/>
    <m/>
    <m/>
    <m/>
    <n v="0"/>
    <m/>
    <x v="0"/>
    <x v="0"/>
    <m/>
    <m/>
    <x v="0"/>
    <x v="6"/>
    <m/>
    <m/>
    <m/>
    <m/>
    <m/>
    <x v="0"/>
    <x v="0"/>
    <m/>
    <m/>
    <x v="0"/>
    <x v="6"/>
    <m/>
    <m/>
    <m/>
    <m/>
    <m/>
    <x v="0"/>
    <x v="0"/>
    <m/>
    <m/>
    <x v="2"/>
  </r>
  <r>
    <x v="2"/>
    <n v="3"/>
    <x v="0"/>
    <x v="2"/>
    <m/>
    <m/>
    <x v="5"/>
    <x v="11"/>
    <m/>
    <n v="1"/>
    <m/>
    <n v="14"/>
    <m/>
    <x v="3"/>
    <x v="0"/>
    <m/>
    <m/>
    <x v="3"/>
    <x v="8"/>
    <m/>
    <n v="1"/>
    <m/>
    <n v="5"/>
    <m/>
    <x v="2"/>
    <x v="0"/>
    <m/>
    <m/>
    <x v="0"/>
    <x v="6"/>
    <m/>
    <m/>
    <m/>
    <m/>
    <m/>
    <x v="0"/>
    <x v="0"/>
    <m/>
    <m/>
    <x v="2"/>
  </r>
  <r>
    <x v="2"/>
    <n v="3"/>
    <x v="10"/>
    <x v="1"/>
    <m/>
    <m/>
    <x v="22"/>
    <x v="4"/>
    <m/>
    <n v="0"/>
    <m/>
    <n v="0"/>
    <m/>
    <x v="0"/>
    <x v="0"/>
    <m/>
    <m/>
    <x v="0"/>
    <x v="6"/>
    <m/>
    <m/>
    <m/>
    <m/>
    <m/>
    <x v="0"/>
    <x v="0"/>
    <m/>
    <m/>
    <x v="0"/>
    <x v="6"/>
    <m/>
    <m/>
    <m/>
    <m/>
    <m/>
    <x v="0"/>
    <x v="0"/>
    <m/>
    <m/>
    <x v="2"/>
  </r>
  <r>
    <x v="2"/>
    <n v="3"/>
    <x v="10"/>
    <x v="1"/>
    <m/>
    <m/>
    <x v="22"/>
    <x v="4"/>
    <m/>
    <n v="1"/>
    <m/>
    <n v="8"/>
    <m/>
    <x v="3"/>
    <x v="0"/>
    <m/>
    <m/>
    <x v="0"/>
    <x v="6"/>
    <m/>
    <m/>
    <m/>
    <m/>
    <m/>
    <x v="0"/>
    <x v="0"/>
    <m/>
    <m/>
    <x v="0"/>
    <x v="6"/>
    <m/>
    <m/>
    <m/>
    <m/>
    <m/>
    <x v="0"/>
    <x v="0"/>
    <m/>
    <m/>
    <x v="2"/>
  </r>
  <r>
    <x v="2"/>
    <n v="3"/>
    <x v="10"/>
    <x v="1"/>
    <m/>
    <m/>
    <x v="22"/>
    <x v="4"/>
    <m/>
    <n v="1"/>
    <m/>
    <n v="8"/>
    <m/>
    <x v="3"/>
    <x v="0"/>
    <m/>
    <m/>
    <x v="0"/>
    <x v="6"/>
    <m/>
    <m/>
    <m/>
    <m/>
    <m/>
    <x v="0"/>
    <x v="0"/>
    <m/>
    <m/>
    <x v="0"/>
    <x v="6"/>
    <m/>
    <m/>
    <m/>
    <m/>
    <m/>
    <x v="0"/>
    <x v="0"/>
    <m/>
    <m/>
    <x v="2"/>
  </r>
  <r>
    <x v="2"/>
    <n v="3"/>
    <x v="10"/>
    <x v="1"/>
    <m/>
    <m/>
    <x v="23"/>
    <x v="0"/>
    <m/>
    <n v="0"/>
    <m/>
    <n v="0"/>
    <m/>
    <x v="0"/>
    <x v="0"/>
    <m/>
    <m/>
    <x v="0"/>
    <x v="6"/>
    <m/>
    <m/>
    <m/>
    <m/>
    <m/>
    <x v="0"/>
    <x v="0"/>
    <m/>
    <m/>
    <x v="0"/>
    <x v="6"/>
    <m/>
    <m/>
    <m/>
    <m/>
    <m/>
    <x v="0"/>
    <x v="0"/>
    <m/>
    <m/>
    <x v="2"/>
  </r>
  <r>
    <x v="2"/>
    <n v="3"/>
    <x v="10"/>
    <x v="1"/>
    <m/>
    <m/>
    <x v="23"/>
    <x v="0"/>
    <m/>
    <n v="1"/>
    <m/>
    <n v="5"/>
    <n v="4"/>
    <x v="4"/>
    <x v="2"/>
    <m/>
    <m/>
    <x v="0"/>
    <x v="6"/>
    <m/>
    <m/>
    <m/>
    <m/>
    <m/>
    <x v="0"/>
    <x v="0"/>
    <m/>
    <m/>
    <x v="0"/>
    <x v="6"/>
    <m/>
    <m/>
    <m/>
    <m/>
    <m/>
    <x v="0"/>
    <x v="0"/>
    <m/>
    <m/>
    <x v="2"/>
  </r>
  <r>
    <x v="2"/>
    <n v="3"/>
    <x v="1"/>
    <x v="2"/>
    <n v="45"/>
    <m/>
    <x v="24"/>
    <x v="6"/>
    <m/>
    <m/>
    <m/>
    <n v="0"/>
    <m/>
    <x v="0"/>
    <x v="0"/>
    <m/>
    <m/>
    <x v="0"/>
    <x v="6"/>
    <m/>
    <m/>
    <m/>
    <m/>
    <m/>
    <x v="0"/>
    <x v="0"/>
    <m/>
    <m/>
    <x v="0"/>
    <x v="6"/>
    <m/>
    <m/>
    <m/>
    <m/>
    <m/>
    <x v="0"/>
    <x v="0"/>
    <m/>
    <m/>
    <x v="2"/>
  </r>
  <r>
    <x v="2"/>
    <n v="3"/>
    <x v="5"/>
    <x v="2"/>
    <m/>
    <m/>
    <x v="18"/>
    <x v="11"/>
    <m/>
    <n v="1"/>
    <m/>
    <n v="19"/>
    <m/>
    <x v="3"/>
    <x v="0"/>
    <m/>
    <m/>
    <x v="13"/>
    <x v="9"/>
    <s v="Deadeye"/>
    <n v="1"/>
    <m/>
    <n v="9"/>
    <m/>
    <x v="2"/>
    <x v="0"/>
    <m/>
    <m/>
    <x v="0"/>
    <x v="6"/>
    <m/>
    <m/>
    <m/>
    <m/>
    <m/>
    <x v="0"/>
    <x v="0"/>
    <m/>
    <m/>
    <x v="2"/>
  </r>
  <r>
    <x v="2"/>
    <n v="3"/>
    <x v="3"/>
    <x v="2"/>
    <n v="15"/>
    <m/>
    <x v="4"/>
    <x v="11"/>
    <m/>
    <n v="1"/>
    <m/>
    <n v="9"/>
    <n v="9"/>
    <x v="1"/>
    <x v="3"/>
    <m/>
    <m/>
    <x v="2"/>
    <x v="9"/>
    <m/>
    <n v="1"/>
    <m/>
    <n v="9"/>
    <m/>
    <x v="1"/>
    <x v="0"/>
    <m/>
    <m/>
    <x v="12"/>
    <x v="10"/>
    <m/>
    <n v="1"/>
    <m/>
    <n v="7"/>
    <m/>
    <x v="3"/>
    <x v="0"/>
    <m/>
    <m/>
    <x v="2"/>
  </r>
  <r>
    <x v="2"/>
    <n v="3"/>
    <x v="2"/>
    <x v="2"/>
    <n v="35"/>
    <m/>
    <x v="0"/>
    <x v="6"/>
    <m/>
    <m/>
    <m/>
    <m/>
    <m/>
    <x v="0"/>
    <x v="0"/>
    <m/>
    <m/>
    <x v="0"/>
    <x v="6"/>
    <m/>
    <m/>
    <m/>
    <m/>
    <m/>
    <x v="0"/>
    <x v="0"/>
    <m/>
    <m/>
    <x v="14"/>
    <x v="0"/>
    <m/>
    <n v="1"/>
    <m/>
    <m/>
    <m/>
    <x v="0"/>
    <x v="0"/>
    <n v="14"/>
    <m/>
    <x v="2"/>
  </r>
  <r>
    <x v="2"/>
    <n v="4"/>
    <x v="4"/>
    <x v="2"/>
    <m/>
    <m/>
    <x v="16"/>
    <x v="11"/>
    <m/>
    <n v="0"/>
    <m/>
    <m/>
    <m/>
    <x v="0"/>
    <x v="0"/>
    <m/>
    <m/>
    <x v="0"/>
    <x v="6"/>
    <m/>
    <m/>
    <m/>
    <m/>
    <m/>
    <x v="0"/>
    <x v="0"/>
    <m/>
    <m/>
    <x v="7"/>
    <x v="6"/>
    <n v="11"/>
    <m/>
    <m/>
    <m/>
    <m/>
    <x v="0"/>
    <x v="0"/>
    <m/>
    <m/>
    <x v="2"/>
  </r>
  <r>
    <x v="2"/>
    <n v="4"/>
    <x v="0"/>
    <x v="2"/>
    <m/>
    <m/>
    <x v="5"/>
    <x v="11"/>
    <s v="Rage"/>
    <n v="1"/>
    <m/>
    <n v="13"/>
    <m/>
    <x v="3"/>
    <x v="0"/>
    <m/>
    <m/>
    <x v="3"/>
    <x v="9"/>
    <m/>
    <n v="0"/>
    <m/>
    <m/>
    <m/>
    <x v="0"/>
    <x v="0"/>
    <m/>
    <m/>
    <x v="15"/>
    <x v="6"/>
    <m/>
    <m/>
    <m/>
    <m/>
    <m/>
    <x v="0"/>
    <x v="0"/>
    <m/>
    <m/>
    <x v="2"/>
  </r>
  <r>
    <x v="2"/>
    <n v="4"/>
    <x v="10"/>
    <x v="1"/>
    <m/>
    <m/>
    <x v="25"/>
    <x v="1"/>
    <m/>
    <n v="0"/>
    <m/>
    <n v="0"/>
    <m/>
    <x v="0"/>
    <x v="0"/>
    <m/>
    <m/>
    <x v="0"/>
    <x v="6"/>
    <m/>
    <m/>
    <m/>
    <m/>
    <m/>
    <x v="0"/>
    <x v="0"/>
    <m/>
    <m/>
    <x v="0"/>
    <x v="6"/>
    <m/>
    <m/>
    <m/>
    <m/>
    <m/>
    <x v="0"/>
    <x v="0"/>
    <m/>
    <m/>
    <x v="2"/>
  </r>
  <r>
    <x v="2"/>
    <n v="4"/>
    <x v="10"/>
    <x v="1"/>
    <m/>
    <m/>
    <x v="25"/>
    <x v="4"/>
    <m/>
    <n v="1"/>
    <m/>
    <n v="8"/>
    <m/>
    <x v="1"/>
    <x v="0"/>
    <m/>
    <m/>
    <x v="0"/>
    <x v="6"/>
    <m/>
    <m/>
    <m/>
    <m/>
    <m/>
    <x v="0"/>
    <x v="0"/>
    <m/>
    <m/>
    <x v="0"/>
    <x v="6"/>
    <m/>
    <m/>
    <m/>
    <m/>
    <m/>
    <x v="0"/>
    <x v="0"/>
    <m/>
    <m/>
    <x v="2"/>
  </r>
  <r>
    <x v="2"/>
    <n v="4"/>
    <x v="10"/>
    <x v="1"/>
    <n v="30"/>
    <m/>
    <x v="25"/>
    <x v="2"/>
    <m/>
    <n v="0"/>
    <m/>
    <n v="0"/>
    <m/>
    <x v="0"/>
    <x v="0"/>
    <m/>
    <m/>
    <x v="0"/>
    <x v="6"/>
    <m/>
    <m/>
    <m/>
    <m/>
    <m/>
    <x v="0"/>
    <x v="0"/>
    <m/>
    <m/>
    <x v="0"/>
    <x v="6"/>
    <m/>
    <m/>
    <m/>
    <m/>
    <m/>
    <x v="0"/>
    <x v="0"/>
    <m/>
    <m/>
    <x v="2"/>
  </r>
  <r>
    <x v="2"/>
    <n v="4"/>
    <x v="10"/>
    <x v="1"/>
    <m/>
    <m/>
    <x v="26"/>
    <x v="2"/>
    <m/>
    <m/>
    <m/>
    <n v="14"/>
    <m/>
    <x v="3"/>
    <x v="0"/>
    <m/>
    <m/>
    <x v="0"/>
    <x v="6"/>
    <m/>
    <m/>
    <m/>
    <m/>
    <m/>
    <x v="0"/>
    <x v="0"/>
    <m/>
    <m/>
    <x v="0"/>
    <x v="6"/>
    <m/>
    <m/>
    <m/>
    <m/>
    <m/>
    <x v="0"/>
    <x v="0"/>
    <m/>
    <m/>
    <x v="2"/>
  </r>
  <r>
    <x v="2"/>
    <n v="4"/>
    <x v="10"/>
    <x v="1"/>
    <m/>
    <m/>
    <x v="0"/>
    <x v="2"/>
    <m/>
    <m/>
    <m/>
    <n v="0"/>
    <m/>
    <x v="0"/>
    <x v="0"/>
    <m/>
    <m/>
    <x v="0"/>
    <x v="6"/>
    <m/>
    <m/>
    <m/>
    <m/>
    <m/>
    <x v="0"/>
    <x v="0"/>
    <m/>
    <m/>
    <x v="0"/>
    <x v="6"/>
    <m/>
    <m/>
    <m/>
    <m/>
    <m/>
    <x v="0"/>
    <x v="0"/>
    <m/>
    <m/>
    <x v="2"/>
  </r>
  <r>
    <x v="2"/>
    <n v="4"/>
    <x v="10"/>
    <x v="1"/>
    <m/>
    <m/>
    <x v="23"/>
    <x v="0"/>
    <m/>
    <n v="1"/>
    <m/>
    <n v="13"/>
    <m/>
    <x v="4"/>
    <x v="0"/>
    <m/>
    <m/>
    <x v="14"/>
    <x v="0"/>
    <m/>
    <n v="1"/>
    <m/>
    <n v="18"/>
    <m/>
    <x v="1"/>
    <x v="0"/>
    <m/>
    <m/>
    <x v="0"/>
    <x v="6"/>
    <m/>
    <m/>
    <m/>
    <m/>
    <m/>
    <x v="0"/>
    <x v="0"/>
    <m/>
    <m/>
    <x v="2"/>
  </r>
  <r>
    <x v="2"/>
    <n v="4"/>
    <x v="1"/>
    <x v="2"/>
    <m/>
    <m/>
    <x v="20"/>
    <x v="11"/>
    <m/>
    <n v="0"/>
    <m/>
    <n v="0"/>
    <m/>
    <x v="0"/>
    <x v="0"/>
    <m/>
    <m/>
    <x v="12"/>
    <x v="9"/>
    <m/>
    <n v="0"/>
    <m/>
    <m/>
    <m/>
    <x v="0"/>
    <x v="0"/>
    <m/>
    <m/>
    <x v="16"/>
    <x v="11"/>
    <m/>
    <n v="0"/>
    <m/>
    <m/>
    <m/>
    <x v="0"/>
    <x v="0"/>
    <m/>
    <m/>
    <x v="2"/>
  </r>
  <r>
    <x v="2"/>
    <n v="4"/>
    <x v="5"/>
    <x v="2"/>
    <m/>
    <m/>
    <x v="27"/>
    <x v="10"/>
    <m/>
    <n v="0"/>
    <m/>
    <m/>
    <m/>
    <x v="0"/>
    <x v="0"/>
    <m/>
    <m/>
    <x v="15"/>
    <x v="9"/>
    <m/>
    <n v="0"/>
    <m/>
    <m/>
    <m/>
    <x v="0"/>
    <x v="0"/>
    <m/>
    <m/>
    <x v="17"/>
    <x v="6"/>
    <m/>
    <m/>
    <m/>
    <m/>
    <m/>
    <x v="0"/>
    <x v="0"/>
    <m/>
    <m/>
    <x v="2"/>
  </r>
  <r>
    <x v="2"/>
    <n v="4"/>
    <x v="3"/>
    <x v="2"/>
    <n v="20"/>
    <m/>
    <x v="12"/>
    <x v="11"/>
    <m/>
    <n v="1"/>
    <n v="0"/>
    <n v="0"/>
    <n v="10"/>
    <x v="0"/>
    <x v="2"/>
    <m/>
    <m/>
    <x v="2"/>
    <x v="9"/>
    <m/>
    <n v="1"/>
    <m/>
    <n v="0"/>
    <n v="7"/>
    <x v="0"/>
    <x v="1"/>
    <m/>
    <m/>
    <x v="0"/>
    <x v="6"/>
    <m/>
    <m/>
    <m/>
    <m/>
    <m/>
    <x v="0"/>
    <x v="0"/>
    <m/>
    <m/>
    <x v="2"/>
  </r>
  <r>
    <x v="2"/>
    <n v="5"/>
    <x v="4"/>
    <x v="2"/>
    <n v="5"/>
    <m/>
    <x v="16"/>
    <x v="11"/>
    <m/>
    <n v="1"/>
    <m/>
    <n v="7"/>
    <m/>
    <x v="1"/>
    <x v="0"/>
    <m/>
    <n v="1"/>
    <x v="16"/>
    <x v="9"/>
    <m/>
    <n v="1"/>
    <m/>
    <n v="13"/>
    <m/>
    <x v="1"/>
    <x v="0"/>
    <m/>
    <n v="1"/>
    <x v="0"/>
    <x v="6"/>
    <m/>
    <m/>
    <m/>
    <m/>
    <m/>
    <x v="0"/>
    <x v="0"/>
    <m/>
    <m/>
    <x v="2"/>
  </r>
  <r>
    <x v="2"/>
    <n v="5"/>
    <x v="2"/>
    <x v="2"/>
    <m/>
    <m/>
    <x v="7"/>
    <x v="0"/>
    <m/>
    <n v="1"/>
    <m/>
    <m/>
    <m/>
    <x v="0"/>
    <x v="0"/>
    <n v="27"/>
    <m/>
    <x v="17"/>
    <x v="9"/>
    <m/>
    <n v="1"/>
    <m/>
    <n v="9"/>
    <m/>
    <x v="5"/>
    <x v="0"/>
    <m/>
    <m/>
    <x v="18"/>
    <x v="6"/>
    <m/>
    <m/>
    <m/>
    <m/>
    <m/>
    <x v="0"/>
    <x v="0"/>
    <m/>
    <m/>
    <x v="2"/>
  </r>
  <r>
    <x v="2"/>
    <n v="5"/>
    <x v="0"/>
    <x v="2"/>
    <m/>
    <m/>
    <x v="5"/>
    <x v="11"/>
    <m/>
    <n v="1"/>
    <n v="1"/>
    <n v="19"/>
    <m/>
    <x v="3"/>
    <x v="0"/>
    <m/>
    <m/>
    <x v="3"/>
    <x v="9"/>
    <m/>
    <n v="1"/>
    <m/>
    <n v="13"/>
    <m/>
    <x v="2"/>
    <x v="0"/>
    <m/>
    <n v="1"/>
    <x v="0"/>
    <x v="6"/>
    <m/>
    <m/>
    <m/>
    <m/>
    <m/>
    <x v="0"/>
    <x v="0"/>
    <m/>
    <m/>
    <x v="2"/>
  </r>
  <r>
    <x v="2"/>
    <n v="5"/>
    <x v="10"/>
    <x v="1"/>
    <m/>
    <m/>
    <x v="0"/>
    <x v="6"/>
    <m/>
    <m/>
    <m/>
    <n v="0"/>
    <m/>
    <x v="0"/>
    <x v="0"/>
    <m/>
    <m/>
    <x v="0"/>
    <x v="6"/>
    <m/>
    <m/>
    <m/>
    <m/>
    <m/>
    <x v="0"/>
    <x v="0"/>
    <m/>
    <m/>
    <x v="0"/>
    <x v="6"/>
    <m/>
    <m/>
    <m/>
    <m/>
    <m/>
    <x v="0"/>
    <x v="0"/>
    <m/>
    <m/>
    <x v="2"/>
  </r>
  <r>
    <x v="2"/>
    <n v="5"/>
    <x v="10"/>
    <x v="1"/>
    <m/>
    <m/>
    <x v="23"/>
    <x v="0"/>
    <m/>
    <n v="1"/>
    <m/>
    <n v="7"/>
    <m/>
    <x v="4"/>
    <x v="0"/>
    <m/>
    <m/>
    <x v="18"/>
    <x v="0"/>
    <m/>
    <n v="1"/>
    <m/>
    <n v="7"/>
    <m/>
    <x v="1"/>
    <x v="0"/>
    <m/>
    <m/>
    <x v="0"/>
    <x v="6"/>
    <m/>
    <m/>
    <m/>
    <m/>
    <m/>
    <x v="0"/>
    <x v="0"/>
    <m/>
    <m/>
    <x v="2"/>
  </r>
  <r>
    <x v="2"/>
    <n v="5"/>
    <x v="10"/>
    <x v="1"/>
    <m/>
    <m/>
    <x v="22"/>
    <x v="2"/>
    <m/>
    <n v="1"/>
    <m/>
    <n v="11"/>
    <m/>
    <x v="3"/>
    <x v="0"/>
    <m/>
    <m/>
    <x v="0"/>
    <x v="6"/>
    <m/>
    <m/>
    <m/>
    <m/>
    <m/>
    <x v="0"/>
    <x v="0"/>
    <m/>
    <m/>
    <x v="0"/>
    <x v="6"/>
    <m/>
    <m/>
    <m/>
    <m/>
    <m/>
    <x v="0"/>
    <x v="0"/>
    <m/>
    <m/>
    <x v="2"/>
  </r>
  <r>
    <x v="2"/>
    <n v="5"/>
    <x v="10"/>
    <x v="1"/>
    <m/>
    <m/>
    <x v="22"/>
    <x v="2"/>
    <m/>
    <n v="1"/>
    <m/>
    <n v="10"/>
    <m/>
    <x v="3"/>
    <x v="0"/>
    <m/>
    <m/>
    <x v="0"/>
    <x v="6"/>
    <m/>
    <m/>
    <m/>
    <m/>
    <m/>
    <x v="0"/>
    <x v="0"/>
    <m/>
    <m/>
    <x v="0"/>
    <x v="6"/>
    <m/>
    <m/>
    <m/>
    <m/>
    <m/>
    <x v="0"/>
    <x v="0"/>
    <m/>
    <m/>
    <x v="2"/>
  </r>
  <r>
    <x v="2"/>
    <n v="5"/>
    <x v="10"/>
    <x v="1"/>
    <m/>
    <m/>
    <x v="0"/>
    <x v="6"/>
    <m/>
    <m/>
    <m/>
    <n v="0"/>
    <m/>
    <x v="0"/>
    <x v="0"/>
    <m/>
    <m/>
    <x v="0"/>
    <x v="6"/>
    <m/>
    <m/>
    <m/>
    <m/>
    <m/>
    <x v="0"/>
    <x v="0"/>
    <m/>
    <m/>
    <x v="0"/>
    <x v="6"/>
    <m/>
    <m/>
    <m/>
    <m/>
    <m/>
    <x v="0"/>
    <x v="0"/>
    <m/>
    <m/>
    <x v="2"/>
  </r>
  <r>
    <x v="2"/>
    <n v="5"/>
    <x v="9"/>
    <x v="1"/>
    <n v="55"/>
    <m/>
    <x v="0"/>
    <x v="5"/>
    <m/>
    <n v="1"/>
    <m/>
    <n v="22"/>
    <m/>
    <x v="3"/>
    <x v="0"/>
    <m/>
    <m/>
    <x v="0"/>
    <x v="6"/>
    <m/>
    <m/>
    <m/>
    <m/>
    <m/>
    <x v="0"/>
    <x v="0"/>
    <m/>
    <m/>
    <x v="0"/>
    <x v="6"/>
    <m/>
    <m/>
    <m/>
    <m/>
    <m/>
    <x v="0"/>
    <x v="0"/>
    <m/>
    <m/>
    <x v="2"/>
  </r>
  <r>
    <x v="2"/>
    <n v="5"/>
    <x v="1"/>
    <x v="2"/>
    <m/>
    <m/>
    <x v="20"/>
    <x v="11"/>
    <s v="Divine smite"/>
    <n v="1"/>
    <m/>
    <n v="5"/>
    <n v="11"/>
    <x v="4"/>
    <x v="4"/>
    <m/>
    <m/>
    <x v="0"/>
    <x v="6"/>
    <m/>
    <m/>
    <m/>
    <m/>
    <m/>
    <x v="0"/>
    <x v="0"/>
    <m/>
    <m/>
    <x v="0"/>
    <x v="6"/>
    <m/>
    <m/>
    <m/>
    <m/>
    <m/>
    <x v="0"/>
    <x v="0"/>
    <m/>
    <m/>
    <x v="2"/>
  </r>
  <r>
    <x v="2"/>
    <n v="5"/>
    <x v="5"/>
    <x v="2"/>
    <n v="40"/>
    <m/>
    <x v="28"/>
    <x v="10"/>
    <m/>
    <n v="1"/>
    <m/>
    <n v="9"/>
    <m/>
    <x v="4"/>
    <x v="0"/>
    <m/>
    <m/>
    <x v="19"/>
    <x v="10"/>
    <m/>
    <n v="1"/>
    <m/>
    <n v="8"/>
    <m/>
    <x v="2"/>
    <x v="0"/>
    <m/>
    <m/>
    <x v="0"/>
    <x v="6"/>
    <m/>
    <m/>
    <m/>
    <m/>
    <m/>
    <x v="0"/>
    <x v="0"/>
    <m/>
    <m/>
    <x v="2"/>
  </r>
  <r>
    <x v="2"/>
    <n v="5"/>
    <x v="9"/>
    <x v="1"/>
    <m/>
    <m/>
    <x v="21"/>
    <x v="5"/>
    <m/>
    <n v="1"/>
    <m/>
    <n v="14"/>
    <m/>
    <x v="4"/>
    <x v="0"/>
    <m/>
    <m/>
    <x v="0"/>
    <x v="6"/>
    <m/>
    <m/>
    <m/>
    <m/>
    <m/>
    <x v="0"/>
    <x v="0"/>
    <m/>
    <m/>
    <x v="0"/>
    <x v="6"/>
    <m/>
    <m/>
    <m/>
    <m/>
    <m/>
    <x v="0"/>
    <x v="0"/>
    <m/>
    <m/>
    <x v="2"/>
  </r>
  <r>
    <x v="2"/>
    <n v="5"/>
    <x v="3"/>
    <x v="2"/>
    <n v="20"/>
    <m/>
    <x v="4"/>
    <x v="11"/>
    <m/>
    <n v="1"/>
    <m/>
    <n v="10"/>
    <n v="9"/>
    <x v="1"/>
    <x v="3"/>
    <m/>
    <n v="1"/>
    <x v="2"/>
    <x v="8"/>
    <m/>
    <n v="1"/>
    <n v="1"/>
    <n v="17"/>
    <m/>
    <x v="1"/>
    <x v="0"/>
    <m/>
    <m/>
    <x v="0"/>
    <x v="6"/>
    <m/>
    <m/>
    <m/>
    <m/>
    <m/>
    <x v="0"/>
    <x v="0"/>
    <m/>
    <m/>
    <x v="2"/>
  </r>
  <r>
    <x v="2"/>
    <n v="6"/>
    <x v="2"/>
    <x v="2"/>
    <m/>
    <m/>
    <x v="7"/>
    <x v="5"/>
    <m/>
    <n v="1"/>
    <m/>
    <n v="0"/>
    <m/>
    <x v="0"/>
    <x v="0"/>
    <n v="15"/>
    <m/>
    <x v="0"/>
    <x v="6"/>
    <m/>
    <m/>
    <m/>
    <m/>
    <m/>
    <x v="0"/>
    <x v="0"/>
    <m/>
    <m/>
    <x v="14"/>
    <x v="12"/>
    <m/>
    <n v="1"/>
    <m/>
    <m/>
    <m/>
    <x v="0"/>
    <x v="0"/>
    <n v="13"/>
    <m/>
    <x v="2"/>
  </r>
  <r>
    <x v="2"/>
    <n v="6"/>
    <x v="4"/>
    <x v="2"/>
    <n v="30"/>
    <m/>
    <x v="16"/>
    <x v="10"/>
    <m/>
    <n v="1"/>
    <m/>
    <n v="9"/>
    <m/>
    <x v="0"/>
    <x v="0"/>
    <m/>
    <m/>
    <x v="10"/>
    <x v="8"/>
    <m/>
    <n v="1"/>
    <m/>
    <n v="6"/>
    <m/>
    <x v="1"/>
    <x v="0"/>
    <m/>
    <m/>
    <x v="19"/>
    <x v="13"/>
    <m/>
    <n v="1"/>
    <m/>
    <n v="10"/>
    <m/>
    <x v="3"/>
    <x v="0"/>
    <m/>
    <m/>
    <x v="2"/>
  </r>
  <r>
    <x v="2"/>
    <n v="6"/>
    <x v="0"/>
    <x v="2"/>
    <m/>
    <m/>
    <x v="5"/>
    <x v="10"/>
    <m/>
    <n v="0"/>
    <m/>
    <n v="0"/>
    <m/>
    <x v="0"/>
    <x v="0"/>
    <m/>
    <m/>
    <x v="3"/>
    <x v="8"/>
    <s v="Rage"/>
    <n v="1"/>
    <m/>
    <n v="7"/>
    <m/>
    <x v="2"/>
    <x v="0"/>
    <m/>
    <m/>
    <x v="0"/>
    <x v="6"/>
    <m/>
    <m/>
    <m/>
    <m/>
    <m/>
    <x v="0"/>
    <x v="0"/>
    <m/>
    <m/>
    <x v="2"/>
  </r>
  <r>
    <x v="2"/>
    <n v="6"/>
    <x v="9"/>
    <x v="1"/>
    <m/>
    <m/>
    <x v="29"/>
    <x v="4"/>
    <m/>
    <n v="1"/>
    <m/>
    <n v="17"/>
    <m/>
    <x v="1"/>
    <x v="0"/>
    <m/>
    <m/>
    <x v="0"/>
    <x v="6"/>
    <m/>
    <m/>
    <m/>
    <m/>
    <m/>
    <x v="0"/>
    <x v="0"/>
    <m/>
    <m/>
    <x v="0"/>
    <x v="6"/>
    <m/>
    <m/>
    <m/>
    <m/>
    <m/>
    <x v="0"/>
    <x v="0"/>
    <m/>
    <m/>
    <x v="2"/>
  </r>
  <r>
    <x v="2"/>
    <n v="6"/>
    <x v="10"/>
    <x v="1"/>
    <m/>
    <m/>
    <x v="28"/>
    <x v="6"/>
    <m/>
    <m/>
    <m/>
    <n v="0"/>
    <m/>
    <x v="0"/>
    <x v="0"/>
    <m/>
    <m/>
    <x v="0"/>
    <x v="6"/>
    <m/>
    <m/>
    <m/>
    <m/>
    <m/>
    <x v="0"/>
    <x v="0"/>
    <m/>
    <m/>
    <x v="0"/>
    <x v="6"/>
    <m/>
    <m/>
    <m/>
    <m/>
    <m/>
    <x v="0"/>
    <x v="0"/>
    <m/>
    <m/>
    <x v="2"/>
  </r>
  <r>
    <x v="2"/>
    <n v="6"/>
    <x v="11"/>
    <x v="1"/>
    <m/>
    <m/>
    <x v="30"/>
    <x v="0"/>
    <m/>
    <n v="1"/>
    <m/>
    <n v="32"/>
    <m/>
    <x v="3"/>
    <x v="0"/>
    <m/>
    <m/>
    <x v="20"/>
    <x v="0"/>
    <m/>
    <n v="1"/>
    <m/>
    <n v="8"/>
    <m/>
    <x v="4"/>
    <x v="0"/>
    <m/>
    <n v="1"/>
    <x v="0"/>
    <x v="6"/>
    <m/>
    <m/>
    <m/>
    <m/>
    <m/>
    <x v="0"/>
    <x v="0"/>
    <m/>
    <m/>
    <x v="2"/>
  </r>
  <r>
    <x v="2"/>
    <n v="6"/>
    <x v="1"/>
    <x v="2"/>
    <n v="30"/>
    <m/>
    <x v="7"/>
    <x v="0"/>
    <m/>
    <n v="1"/>
    <m/>
    <n v="0"/>
    <m/>
    <x v="0"/>
    <x v="0"/>
    <n v="14"/>
    <m/>
    <x v="0"/>
    <x v="6"/>
    <m/>
    <m/>
    <m/>
    <m/>
    <m/>
    <x v="0"/>
    <x v="0"/>
    <m/>
    <m/>
    <x v="0"/>
    <x v="6"/>
    <m/>
    <m/>
    <m/>
    <m/>
    <m/>
    <x v="0"/>
    <x v="0"/>
    <m/>
    <m/>
    <x v="2"/>
  </r>
  <r>
    <x v="2"/>
    <n v="6"/>
    <x v="5"/>
    <x v="2"/>
    <n v="15"/>
    <m/>
    <x v="31"/>
    <x v="11"/>
    <m/>
    <n v="1"/>
    <m/>
    <n v="10"/>
    <m/>
    <x v="0"/>
    <x v="0"/>
    <m/>
    <m/>
    <x v="13"/>
    <x v="11"/>
    <m/>
    <n v="0"/>
    <m/>
    <m/>
    <m/>
    <x v="0"/>
    <x v="0"/>
    <m/>
    <m/>
    <x v="0"/>
    <x v="6"/>
    <m/>
    <m/>
    <m/>
    <m/>
    <m/>
    <x v="0"/>
    <x v="0"/>
    <m/>
    <m/>
    <x v="2"/>
  </r>
  <r>
    <x v="2"/>
    <n v="6"/>
    <x v="3"/>
    <x v="2"/>
    <n v="20"/>
    <m/>
    <x v="12"/>
    <x v="11"/>
    <m/>
    <n v="1"/>
    <m/>
    <n v="0"/>
    <n v="11"/>
    <x v="3"/>
    <x v="0"/>
    <m/>
    <m/>
    <x v="2"/>
    <x v="12"/>
    <m/>
    <n v="1"/>
    <n v="1"/>
    <n v="0"/>
    <n v="14"/>
    <x v="1"/>
    <x v="1"/>
    <m/>
    <m/>
    <x v="0"/>
    <x v="6"/>
    <m/>
    <m/>
    <m/>
    <m/>
    <m/>
    <x v="0"/>
    <x v="0"/>
    <m/>
    <m/>
    <x v="2"/>
  </r>
  <r>
    <x v="2"/>
    <n v="7"/>
    <x v="4"/>
    <x v="2"/>
    <n v="20"/>
    <m/>
    <x v="31"/>
    <x v="12"/>
    <m/>
    <n v="1"/>
    <m/>
    <n v="0"/>
    <n v="6"/>
    <x v="1"/>
    <x v="0"/>
    <m/>
    <m/>
    <x v="16"/>
    <x v="12"/>
    <m/>
    <n v="0"/>
    <m/>
    <m/>
    <m/>
    <x v="0"/>
    <x v="0"/>
    <m/>
    <m/>
    <x v="9"/>
    <x v="6"/>
    <m/>
    <m/>
    <m/>
    <m/>
    <m/>
    <x v="0"/>
    <x v="0"/>
    <m/>
    <m/>
    <x v="2"/>
  </r>
  <r>
    <x v="2"/>
    <n v="7"/>
    <x v="2"/>
    <x v="2"/>
    <n v="35"/>
    <m/>
    <x v="9"/>
    <x v="13"/>
    <m/>
    <n v="1"/>
    <m/>
    <n v="0"/>
    <m/>
    <x v="0"/>
    <x v="0"/>
    <m/>
    <m/>
    <x v="0"/>
    <x v="6"/>
    <m/>
    <m/>
    <m/>
    <m/>
    <m/>
    <x v="0"/>
    <x v="0"/>
    <m/>
    <m/>
    <x v="14"/>
    <x v="6"/>
    <m/>
    <n v="1"/>
    <m/>
    <m/>
    <m/>
    <x v="0"/>
    <x v="0"/>
    <n v="13"/>
    <m/>
    <x v="2"/>
  </r>
  <r>
    <x v="2"/>
    <n v="7"/>
    <x v="0"/>
    <x v="2"/>
    <m/>
    <m/>
    <x v="32"/>
    <x v="12"/>
    <m/>
    <n v="0"/>
    <m/>
    <m/>
    <m/>
    <x v="0"/>
    <x v="0"/>
    <m/>
    <m/>
    <x v="21"/>
    <x v="12"/>
    <s v="Rage"/>
    <n v="1"/>
    <m/>
    <n v="7"/>
    <m/>
    <x v="2"/>
    <x v="0"/>
    <m/>
    <m/>
    <x v="0"/>
    <x v="6"/>
    <m/>
    <m/>
    <m/>
    <m/>
    <m/>
    <x v="0"/>
    <x v="0"/>
    <m/>
    <m/>
    <x v="2"/>
  </r>
  <r>
    <x v="2"/>
    <n v="7"/>
    <x v="10"/>
    <x v="1"/>
    <m/>
    <m/>
    <x v="22"/>
    <x v="4"/>
    <m/>
    <n v="1"/>
    <m/>
    <n v="22"/>
    <m/>
    <x v="3"/>
    <x v="0"/>
    <m/>
    <m/>
    <x v="0"/>
    <x v="6"/>
    <m/>
    <m/>
    <m/>
    <m/>
    <m/>
    <x v="0"/>
    <x v="0"/>
    <m/>
    <m/>
    <x v="0"/>
    <x v="6"/>
    <m/>
    <m/>
    <m/>
    <m/>
    <m/>
    <x v="0"/>
    <x v="0"/>
    <m/>
    <m/>
    <x v="2"/>
  </r>
  <r>
    <x v="2"/>
    <n v="7"/>
    <x v="11"/>
    <x v="1"/>
    <m/>
    <m/>
    <x v="30"/>
    <x v="4"/>
    <m/>
    <n v="1"/>
    <m/>
    <n v="25"/>
    <m/>
    <x v="3"/>
    <x v="0"/>
    <m/>
    <m/>
    <x v="22"/>
    <x v="4"/>
    <m/>
    <n v="1"/>
    <m/>
    <n v="8"/>
    <m/>
    <x v="4"/>
    <x v="0"/>
    <m/>
    <m/>
    <x v="0"/>
    <x v="6"/>
    <m/>
    <m/>
    <m/>
    <m/>
    <m/>
    <x v="0"/>
    <x v="0"/>
    <m/>
    <m/>
    <x v="2"/>
  </r>
  <r>
    <x v="2"/>
    <n v="7"/>
    <x v="4"/>
    <x v="2"/>
    <m/>
    <m/>
    <x v="33"/>
    <x v="6"/>
    <n v="9"/>
    <m/>
    <m/>
    <m/>
    <m/>
    <x v="0"/>
    <x v="0"/>
    <m/>
    <m/>
    <x v="0"/>
    <x v="6"/>
    <m/>
    <m/>
    <m/>
    <m/>
    <m/>
    <x v="0"/>
    <x v="0"/>
    <m/>
    <m/>
    <x v="0"/>
    <x v="6"/>
    <m/>
    <m/>
    <m/>
    <m/>
    <m/>
    <x v="0"/>
    <x v="0"/>
    <m/>
    <m/>
    <x v="2"/>
  </r>
  <r>
    <x v="2"/>
    <n v="7"/>
    <x v="1"/>
    <x v="2"/>
    <n v="25"/>
    <m/>
    <x v="7"/>
    <x v="4"/>
    <m/>
    <n v="1"/>
    <m/>
    <n v="0"/>
    <m/>
    <x v="0"/>
    <x v="0"/>
    <n v="10"/>
    <m/>
    <x v="0"/>
    <x v="6"/>
    <m/>
    <m/>
    <m/>
    <m/>
    <m/>
    <x v="0"/>
    <x v="0"/>
    <m/>
    <m/>
    <x v="0"/>
    <x v="6"/>
    <m/>
    <m/>
    <m/>
    <m/>
    <m/>
    <x v="0"/>
    <x v="0"/>
    <m/>
    <m/>
    <x v="2"/>
  </r>
  <r>
    <x v="2"/>
    <n v="7"/>
    <x v="12"/>
    <x v="3"/>
    <m/>
    <m/>
    <x v="34"/>
    <x v="6"/>
    <m/>
    <m/>
    <m/>
    <m/>
    <m/>
    <x v="0"/>
    <x v="0"/>
    <m/>
    <m/>
    <x v="0"/>
    <x v="6"/>
    <m/>
    <m/>
    <m/>
    <m/>
    <m/>
    <x v="0"/>
    <x v="0"/>
    <m/>
    <m/>
    <x v="0"/>
    <x v="6"/>
    <m/>
    <m/>
    <m/>
    <m/>
    <m/>
    <x v="0"/>
    <x v="0"/>
    <m/>
    <m/>
    <x v="2"/>
  </r>
  <r>
    <x v="0"/>
    <m/>
    <x v="8"/>
    <x v="0"/>
    <m/>
    <m/>
    <x v="0"/>
    <x v="6"/>
    <m/>
    <m/>
    <m/>
    <n v="0"/>
    <m/>
    <x v="0"/>
    <x v="0"/>
    <m/>
    <m/>
    <x v="0"/>
    <x v="6"/>
    <m/>
    <m/>
    <m/>
    <m/>
    <m/>
    <x v="0"/>
    <x v="0"/>
    <m/>
    <m/>
    <x v="0"/>
    <x v="6"/>
    <m/>
    <m/>
    <m/>
    <m/>
    <m/>
    <x v="0"/>
    <x v="0"/>
    <m/>
    <m/>
    <x v="0"/>
  </r>
  <r>
    <x v="3"/>
    <n v="0"/>
    <x v="0"/>
    <x v="2"/>
    <m/>
    <m/>
    <x v="5"/>
    <x v="11"/>
    <s v="Rage, Surprise"/>
    <n v="1"/>
    <m/>
    <n v="8"/>
    <n v="8"/>
    <x v="3"/>
    <x v="2"/>
    <m/>
    <m/>
    <x v="3"/>
    <x v="9"/>
    <s v="Rage"/>
    <n v="1"/>
    <m/>
    <n v="9"/>
    <m/>
    <x v="2"/>
    <x v="0"/>
    <m/>
    <m/>
    <x v="0"/>
    <x v="6"/>
    <m/>
    <m/>
    <m/>
    <m/>
    <m/>
    <x v="0"/>
    <x v="0"/>
    <m/>
    <m/>
    <x v="3"/>
  </r>
  <r>
    <x v="3"/>
    <n v="1"/>
    <x v="0"/>
    <x v="2"/>
    <m/>
    <m/>
    <x v="5"/>
    <x v="11"/>
    <s v="Rage"/>
    <n v="1"/>
    <m/>
    <n v="9"/>
    <m/>
    <x v="0"/>
    <x v="0"/>
    <m/>
    <m/>
    <x v="3"/>
    <x v="9"/>
    <s v="Rage"/>
    <n v="1"/>
    <m/>
    <n v="13"/>
    <m/>
    <x v="2"/>
    <x v="0"/>
    <m/>
    <n v="1"/>
    <x v="0"/>
    <x v="6"/>
    <m/>
    <m/>
    <m/>
    <m/>
    <m/>
    <x v="0"/>
    <x v="0"/>
    <m/>
    <m/>
    <x v="3"/>
  </r>
  <r>
    <x v="3"/>
    <n v="1"/>
    <x v="10"/>
    <x v="1"/>
    <m/>
    <m/>
    <x v="35"/>
    <x v="1"/>
    <m/>
    <n v="0"/>
    <m/>
    <n v="0"/>
    <m/>
    <x v="0"/>
    <x v="0"/>
    <m/>
    <m/>
    <x v="0"/>
    <x v="6"/>
    <m/>
    <m/>
    <m/>
    <m/>
    <m/>
    <x v="0"/>
    <x v="0"/>
    <m/>
    <m/>
    <x v="0"/>
    <x v="6"/>
    <m/>
    <m/>
    <m/>
    <m/>
    <m/>
    <x v="0"/>
    <x v="0"/>
    <m/>
    <m/>
    <x v="3"/>
  </r>
  <r>
    <x v="3"/>
    <n v="1"/>
    <x v="1"/>
    <x v="2"/>
    <m/>
    <m/>
    <x v="20"/>
    <x v="11"/>
    <m/>
    <n v="1"/>
    <m/>
    <n v="6"/>
    <m/>
    <x v="4"/>
    <x v="0"/>
    <m/>
    <m/>
    <x v="12"/>
    <x v="9"/>
    <m/>
    <n v="0"/>
    <m/>
    <m/>
    <m/>
    <x v="0"/>
    <x v="0"/>
    <m/>
    <m/>
    <x v="0"/>
    <x v="6"/>
    <m/>
    <m/>
    <m/>
    <m/>
    <m/>
    <x v="0"/>
    <x v="0"/>
    <m/>
    <m/>
    <x v="3"/>
  </r>
  <r>
    <x v="3"/>
    <n v="2"/>
    <x v="0"/>
    <x v="2"/>
    <m/>
    <m/>
    <x v="5"/>
    <x v="11"/>
    <s v="Rage"/>
    <n v="1"/>
    <m/>
    <n v="9"/>
    <m/>
    <x v="3"/>
    <x v="0"/>
    <m/>
    <m/>
    <x v="3"/>
    <x v="9"/>
    <s v="Rage"/>
    <n v="1"/>
    <m/>
    <n v="13"/>
    <m/>
    <x v="2"/>
    <x v="0"/>
    <m/>
    <m/>
    <x v="0"/>
    <x v="6"/>
    <m/>
    <m/>
    <m/>
    <m/>
    <m/>
    <x v="0"/>
    <x v="0"/>
    <m/>
    <m/>
    <x v="3"/>
  </r>
  <r>
    <x v="3"/>
    <n v="2"/>
    <x v="10"/>
    <x v="1"/>
    <m/>
    <m/>
    <x v="36"/>
    <x v="1"/>
    <m/>
    <n v="1"/>
    <n v="1"/>
    <n v="28"/>
    <m/>
    <x v="4"/>
    <x v="0"/>
    <m/>
    <m/>
    <x v="0"/>
    <x v="6"/>
    <m/>
    <m/>
    <m/>
    <m/>
    <m/>
    <x v="0"/>
    <x v="0"/>
    <m/>
    <m/>
    <x v="0"/>
    <x v="6"/>
    <m/>
    <m/>
    <m/>
    <m/>
    <m/>
    <x v="0"/>
    <x v="0"/>
    <m/>
    <m/>
    <x v="3"/>
  </r>
  <r>
    <x v="3"/>
    <n v="2"/>
    <x v="1"/>
    <x v="2"/>
    <m/>
    <m/>
    <x v="20"/>
    <x v="11"/>
    <m/>
    <n v="1"/>
    <n v="1"/>
    <n v="30"/>
    <m/>
    <x v="4"/>
    <x v="0"/>
    <m/>
    <n v="1"/>
    <x v="12"/>
    <x v="9"/>
    <m/>
    <n v="1"/>
    <m/>
    <n v="12"/>
    <m/>
    <x v="4"/>
    <x v="0"/>
    <m/>
    <m/>
    <x v="0"/>
    <x v="6"/>
    <m/>
    <m/>
    <m/>
    <m/>
    <m/>
    <x v="0"/>
    <x v="0"/>
    <m/>
    <m/>
    <x v="3"/>
  </r>
  <r>
    <x v="3"/>
    <n v="2"/>
    <x v="1"/>
    <x v="2"/>
    <m/>
    <m/>
    <x v="7"/>
    <x v="1"/>
    <m/>
    <n v="1"/>
    <m/>
    <n v="0"/>
    <m/>
    <x v="0"/>
    <x v="0"/>
    <n v="12"/>
    <m/>
    <x v="0"/>
    <x v="6"/>
    <m/>
    <m/>
    <m/>
    <m/>
    <m/>
    <x v="0"/>
    <x v="0"/>
    <m/>
    <m/>
    <x v="0"/>
    <x v="6"/>
    <m/>
    <m/>
    <m/>
    <m/>
    <m/>
    <x v="0"/>
    <x v="0"/>
    <m/>
    <m/>
    <x v="3"/>
  </r>
  <r>
    <x v="3"/>
    <n v="-1"/>
    <x v="4"/>
    <x v="2"/>
    <m/>
    <m/>
    <x v="0"/>
    <x v="6"/>
    <m/>
    <m/>
    <m/>
    <m/>
    <m/>
    <x v="0"/>
    <x v="0"/>
    <m/>
    <m/>
    <x v="0"/>
    <x v="6"/>
    <m/>
    <m/>
    <m/>
    <m/>
    <m/>
    <x v="0"/>
    <x v="0"/>
    <m/>
    <m/>
    <x v="7"/>
    <x v="6"/>
    <n v="18"/>
    <m/>
    <m/>
    <m/>
    <m/>
    <x v="0"/>
    <x v="0"/>
    <m/>
    <m/>
    <x v="3"/>
  </r>
  <r>
    <x v="3"/>
    <n v="0"/>
    <x v="0"/>
    <x v="2"/>
    <m/>
    <m/>
    <x v="37"/>
    <x v="11"/>
    <s v="Rage, Surprise"/>
    <n v="1"/>
    <m/>
    <n v="8"/>
    <n v="7"/>
    <x v="1"/>
    <x v="3"/>
    <m/>
    <m/>
    <x v="0"/>
    <x v="6"/>
    <m/>
    <m/>
    <m/>
    <m/>
    <m/>
    <x v="0"/>
    <x v="0"/>
    <m/>
    <m/>
    <x v="0"/>
    <x v="6"/>
    <m/>
    <m/>
    <m/>
    <m/>
    <m/>
    <x v="0"/>
    <x v="0"/>
    <m/>
    <m/>
    <x v="3"/>
  </r>
  <r>
    <x v="3"/>
    <n v="0"/>
    <x v="1"/>
    <x v="2"/>
    <m/>
    <m/>
    <x v="20"/>
    <x v="11"/>
    <m/>
    <n v="1"/>
    <n v="1"/>
    <n v="19"/>
    <m/>
    <x v="4"/>
    <x v="0"/>
    <m/>
    <n v="1"/>
    <x v="0"/>
    <x v="6"/>
    <m/>
    <m/>
    <m/>
    <m/>
    <m/>
    <x v="0"/>
    <x v="0"/>
    <m/>
    <m/>
    <x v="0"/>
    <x v="6"/>
    <m/>
    <m/>
    <m/>
    <m/>
    <m/>
    <x v="0"/>
    <x v="0"/>
    <m/>
    <m/>
    <x v="3"/>
  </r>
  <r>
    <x v="3"/>
    <n v="0"/>
    <x v="0"/>
    <x v="2"/>
    <m/>
    <m/>
    <x v="37"/>
    <x v="14"/>
    <s v="Rage, Surprise"/>
    <n v="1"/>
    <m/>
    <n v="7"/>
    <n v="6"/>
    <x v="1"/>
    <x v="3"/>
    <m/>
    <m/>
    <x v="23"/>
    <x v="13"/>
    <s v="Rage"/>
    <n v="1"/>
    <m/>
    <n v="7"/>
    <m/>
    <x v="1"/>
    <x v="0"/>
    <m/>
    <m/>
    <x v="0"/>
    <x v="6"/>
    <m/>
    <m/>
    <m/>
    <m/>
    <m/>
    <x v="0"/>
    <x v="0"/>
    <m/>
    <m/>
    <x v="3"/>
  </r>
  <r>
    <x v="3"/>
    <n v="0"/>
    <x v="1"/>
    <x v="2"/>
    <m/>
    <m/>
    <x v="20"/>
    <x v="14"/>
    <s v="Surprise"/>
    <n v="1"/>
    <m/>
    <n v="12"/>
    <m/>
    <x v="4"/>
    <x v="0"/>
    <m/>
    <m/>
    <x v="12"/>
    <x v="13"/>
    <m/>
    <n v="1"/>
    <m/>
    <n v="6"/>
    <m/>
    <x v="4"/>
    <x v="0"/>
    <m/>
    <n v="1"/>
    <x v="0"/>
    <x v="6"/>
    <m/>
    <m/>
    <m/>
    <m/>
    <m/>
    <x v="0"/>
    <x v="0"/>
    <m/>
    <m/>
    <x v="3"/>
  </r>
  <r>
    <x v="3"/>
    <n v="0"/>
    <x v="13"/>
    <x v="1"/>
    <m/>
    <m/>
    <x v="19"/>
    <x v="1"/>
    <m/>
    <n v="0"/>
    <n v="0"/>
    <n v="0"/>
    <m/>
    <x v="0"/>
    <x v="0"/>
    <m/>
    <m/>
    <x v="22"/>
    <x v="1"/>
    <m/>
    <n v="0"/>
    <n v="0"/>
    <m/>
    <m/>
    <x v="0"/>
    <x v="0"/>
    <m/>
    <m/>
    <x v="0"/>
    <x v="6"/>
    <m/>
    <m/>
    <m/>
    <m/>
    <m/>
    <x v="0"/>
    <x v="0"/>
    <m/>
    <m/>
    <x v="3"/>
  </r>
  <r>
    <x v="3"/>
    <n v="1"/>
    <x v="0"/>
    <x v="2"/>
    <m/>
    <m/>
    <x v="37"/>
    <x v="15"/>
    <m/>
    <n v="1"/>
    <m/>
    <n v="5"/>
    <m/>
    <x v="1"/>
    <x v="0"/>
    <m/>
    <m/>
    <x v="23"/>
    <x v="14"/>
    <m/>
    <n v="1"/>
    <m/>
    <n v="8"/>
    <m/>
    <x v="1"/>
    <x v="0"/>
    <m/>
    <m/>
    <x v="0"/>
    <x v="6"/>
    <m/>
    <m/>
    <m/>
    <m/>
    <m/>
    <x v="0"/>
    <x v="0"/>
    <m/>
    <m/>
    <x v="3"/>
  </r>
  <r>
    <x v="3"/>
    <n v="1"/>
    <x v="2"/>
    <x v="2"/>
    <m/>
    <m/>
    <x v="38"/>
    <x v="15"/>
    <m/>
    <n v="1"/>
    <m/>
    <n v="35"/>
    <m/>
    <x v="2"/>
    <x v="0"/>
    <m/>
    <m/>
    <x v="0"/>
    <x v="6"/>
    <m/>
    <m/>
    <m/>
    <m/>
    <m/>
    <x v="0"/>
    <x v="0"/>
    <m/>
    <m/>
    <x v="3"/>
    <x v="14"/>
    <m/>
    <m/>
    <m/>
    <m/>
    <m/>
    <x v="0"/>
    <x v="0"/>
    <m/>
    <m/>
    <x v="3"/>
  </r>
  <r>
    <x v="3"/>
    <n v="1"/>
    <x v="13"/>
    <x v="1"/>
    <m/>
    <m/>
    <x v="19"/>
    <x v="2"/>
    <s v="Feared"/>
    <n v="0"/>
    <m/>
    <n v="0"/>
    <m/>
    <x v="0"/>
    <x v="0"/>
    <m/>
    <m/>
    <x v="0"/>
    <x v="6"/>
    <m/>
    <m/>
    <m/>
    <m/>
    <m/>
    <x v="0"/>
    <x v="0"/>
    <m/>
    <m/>
    <x v="0"/>
    <x v="6"/>
    <m/>
    <m/>
    <m/>
    <m/>
    <m/>
    <x v="0"/>
    <x v="0"/>
    <m/>
    <m/>
    <x v="3"/>
  </r>
  <r>
    <x v="3"/>
    <n v="1"/>
    <x v="3"/>
    <x v="2"/>
    <m/>
    <m/>
    <x v="12"/>
    <x v="15"/>
    <m/>
    <n v="1"/>
    <m/>
    <n v="6"/>
    <m/>
    <x v="3"/>
    <x v="0"/>
    <m/>
    <m/>
    <x v="9"/>
    <x v="14"/>
    <m/>
    <n v="0"/>
    <m/>
    <m/>
    <m/>
    <x v="0"/>
    <x v="0"/>
    <m/>
    <m/>
    <x v="12"/>
    <x v="14"/>
    <m/>
    <n v="1"/>
    <n v="1"/>
    <n v="16"/>
    <m/>
    <x v="3"/>
    <x v="0"/>
    <m/>
    <m/>
    <x v="3"/>
  </r>
  <r>
    <x v="3"/>
    <n v="1"/>
    <x v="5"/>
    <x v="2"/>
    <m/>
    <m/>
    <x v="18"/>
    <x v="15"/>
    <m/>
    <n v="1"/>
    <m/>
    <n v="25"/>
    <m/>
    <x v="3"/>
    <x v="0"/>
    <m/>
    <m/>
    <x v="11"/>
    <x v="14"/>
    <m/>
    <n v="1"/>
    <m/>
    <n v="12"/>
    <m/>
    <x v="2"/>
    <x v="0"/>
    <m/>
    <m/>
    <x v="0"/>
    <x v="6"/>
    <m/>
    <m/>
    <m/>
    <m/>
    <m/>
    <x v="0"/>
    <x v="0"/>
    <m/>
    <m/>
    <x v="3"/>
  </r>
  <r>
    <x v="3"/>
    <n v="1"/>
    <x v="1"/>
    <x v="2"/>
    <m/>
    <m/>
    <x v="20"/>
    <x v="15"/>
    <m/>
    <n v="1"/>
    <m/>
    <n v="5"/>
    <m/>
    <x v="4"/>
    <x v="0"/>
    <m/>
    <m/>
    <x v="12"/>
    <x v="14"/>
    <m/>
    <n v="1"/>
    <m/>
    <n v="9"/>
    <m/>
    <x v="4"/>
    <x v="0"/>
    <m/>
    <n v="1"/>
    <x v="0"/>
    <x v="6"/>
    <m/>
    <m/>
    <m/>
    <m/>
    <m/>
    <x v="0"/>
    <x v="0"/>
    <m/>
    <m/>
    <x v="3"/>
  </r>
  <r>
    <x v="3"/>
    <n v="-1"/>
    <x v="4"/>
    <x v="2"/>
    <m/>
    <m/>
    <x v="39"/>
    <x v="5"/>
    <m/>
    <n v="0"/>
    <n v="0"/>
    <m/>
    <m/>
    <x v="0"/>
    <x v="0"/>
    <m/>
    <m/>
    <x v="0"/>
    <x v="6"/>
    <m/>
    <m/>
    <m/>
    <m/>
    <m/>
    <x v="0"/>
    <x v="0"/>
    <m/>
    <m/>
    <x v="0"/>
    <x v="6"/>
    <m/>
    <m/>
    <m/>
    <m/>
    <m/>
    <x v="0"/>
    <x v="0"/>
    <m/>
    <m/>
    <x v="3"/>
  </r>
  <r>
    <x v="3"/>
    <n v="-1"/>
    <x v="0"/>
    <x v="2"/>
    <m/>
    <m/>
    <x v="37"/>
    <x v="2"/>
    <m/>
    <n v="1"/>
    <m/>
    <n v="7"/>
    <m/>
    <x v="1"/>
    <x v="0"/>
    <m/>
    <m/>
    <x v="0"/>
    <x v="6"/>
    <m/>
    <m/>
    <m/>
    <m/>
    <m/>
    <x v="0"/>
    <x v="0"/>
    <m/>
    <m/>
    <x v="0"/>
    <x v="6"/>
    <m/>
    <m/>
    <m/>
    <m/>
    <m/>
    <x v="0"/>
    <x v="0"/>
    <m/>
    <m/>
    <x v="3"/>
  </r>
  <r>
    <x v="3"/>
    <n v="-1"/>
    <x v="5"/>
    <x v="2"/>
    <m/>
    <m/>
    <x v="18"/>
    <x v="2"/>
    <m/>
    <n v="1"/>
    <m/>
    <n v="19"/>
    <m/>
    <x v="3"/>
    <x v="0"/>
    <m/>
    <m/>
    <x v="0"/>
    <x v="6"/>
    <m/>
    <m/>
    <m/>
    <m/>
    <m/>
    <x v="0"/>
    <x v="0"/>
    <m/>
    <m/>
    <x v="0"/>
    <x v="6"/>
    <m/>
    <m/>
    <m/>
    <m/>
    <m/>
    <x v="0"/>
    <x v="0"/>
    <m/>
    <m/>
    <x v="3"/>
  </r>
  <r>
    <x v="3"/>
    <n v="0"/>
    <x v="4"/>
    <x v="2"/>
    <m/>
    <m/>
    <x v="39"/>
    <x v="16"/>
    <s v="Heymaker"/>
    <n v="1"/>
    <m/>
    <n v="14"/>
    <m/>
    <x v="1"/>
    <x v="0"/>
    <m/>
    <m/>
    <x v="24"/>
    <x v="15"/>
    <m/>
    <n v="0"/>
    <n v="0"/>
    <m/>
    <m/>
    <x v="0"/>
    <x v="0"/>
    <m/>
    <m/>
    <x v="0"/>
    <x v="6"/>
    <m/>
    <m/>
    <m/>
    <m/>
    <m/>
    <x v="0"/>
    <x v="0"/>
    <m/>
    <m/>
    <x v="3"/>
  </r>
  <r>
    <x v="3"/>
    <n v="0"/>
    <x v="5"/>
    <x v="2"/>
    <m/>
    <m/>
    <x v="18"/>
    <x v="16"/>
    <m/>
    <n v="1"/>
    <m/>
    <n v="22"/>
    <m/>
    <x v="3"/>
    <x v="0"/>
    <m/>
    <n v="1"/>
    <x v="11"/>
    <x v="15"/>
    <m/>
    <n v="1"/>
    <m/>
    <n v="21"/>
    <m/>
    <x v="2"/>
    <x v="0"/>
    <m/>
    <n v="1"/>
    <x v="0"/>
    <x v="6"/>
    <m/>
    <m/>
    <m/>
    <m/>
    <m/>
    <x v="0"/>
    <x v="0"/>
    <m/>
    <m/>
    <x v="3"/>
  </r>
  <r>
    <x v="3"/>
    <n v="0"/>
    <x v="0"/>
    <x v="2"/>
    <m/>
    <m/>
    <x v="37"/>
    <x v="17"/>
    <s v="Surprise"/>
    <n v="1"/>
    <m/>
    <n v="19"/>
    <m/>
    <x v="1"/>
    <x v="0"/>
    <m/>
    <n v="1"/>
    <x v="0"/>
    <x v="6"/>
    <m/>
    <m/>
    <m/>
    <m/>
    <m/>
    <x v="0"/>
    <x v="0"/>
    <m/>
    <m/>
    <x v="0"/>
    <x v="6"/>
    <m/>
    <m/>
    <m/>
    <m/>
    <m/>
    <x v="0"/>
    <x v="0"/>
    <m/>
    <m/>
    <x v="3"/>
  </r>
  <r>
    <x v="3"/>
    <n v="0"/>
    <x v="5"/>
    <x v="2"/>
    <m/>
    <m/>
    <x v="40"/>
    <x v="17"/>
    <s v="Spray N Pray"/>
    <n v="1"/>
    <m/>
    <n v="14"/>
    <m/>
    <x v="3"/>
    <x v="2"/>
    <m/>
    <n v="1"/>
    <x v="13"/>
    <x v="16"/>
    <s v="Spray N Pray"/>
    <n v="1"/>
    <m/>
    <n v="14"/>
    <m/>
    <x v="2"/>
    <x v="0"/>
    <m/>
    <n v="1"/>
    <x v="0"/>
    <x v="6"/>
    <m/>
    <m/>
    <m/>
    <m/>
    <m/>
    <x v="0"/>
    <x v="0"/>
    <m/>
    <m/>
    <x v="3"/>
  </r>
  <r>
    <x v="3"/>
    <n v="0"/>
    <x v="0"/>
    <x v="2"/>
    <m/>
    <m/>
    <x v="5"/>
    <x v="16"/>
    <s v="Surprise"/>
    <n v="1"/>
    <m/>
    <n v="7"/>
    <n v="8"/>
    <x v="3"/>
    <x v="2"/>
    <m/>
    <m/>
    <x v="3"/>
    <x v="15"/>
    <m/>
    <n v="1"/>
    <m/>
    <n v="9"/>
    <m/>
    <x v="2"/>
    <x v="0"/>
    <m/>
    <n v="1"/>
    <x v="0"/>
    <x v="6"/>
    <m/>
    <m/>
    <m/>
    <m/>
    <m/>
    <x v="0"/>
    <x v="0"/>
    <m/>
    <m/>
    <x v="3"/>
  </r>
  <r>
    <x v="3"/>
    <n v="0"/>
    <x v="14"/>
    <x v="1"/>
    <m/>
    <m/>
    <x v="22"/>
    <x v="1"/>
    <m/>
    <n v="1"/>
    <m/>
    <n v="15"/>
    <m/>
    <x v="3"/>
    <x v="0"/>
    <m/>
    <m/>
    <x v="0"/>
    <x v="6"/>
    <m/>
    <m/>
    <m/>
    <m/>
    <m/>
    <x v="0"/>
    <x v="0"/>
    <m/>
    <m/>
    <x v="0"/>
    <x v="6"/>
    <m/>
    <m/>
    <m/>
    <m/>
    <m/>
    <x v="0"/>
    <x v="0"/>
    <m/>
    <m/>
    <x v="3"/>
  </r>
  <r>
    <x v="3"/>
    <n v="0"/>
    <x v="14"/>
    <x v="1"/>
    <m/>
    <m/>
    <x v="22"/>
    <x v="1"/>
    <m/>
    <n v="1"/>
    <m/>
    <n v="21"/>
    <m/>
    <x v="3"/>
    <x v="0"/>
    <m/>
    <m/>
    <x v="0"/>
    <x v="6"/>
    <m/>
    <m/>
    <m/>
    <m/>
    <m/>
    <x v="0"/>
    <x v="0"/>
    <m/>
    <m/>
    <x v="0"/>
    <x v="6"/>
    <m/>
    <m/>
    <m/>
    <m/>
    <m/>
    <x v="0"/>
    <x v="0"/>
    <m/>
    <m/>
    <x v="3"/>
  </r>
  <r>
    <x v="3"/>
    <n v="1"/>
    <x v="2"/>
    <x v="2"/>
    <m/>
    <m/>
    <x v="24"/>
    <x v="6"/>
    <m/>
    <m/>
    <m/>
    <n v="0"/>
    <m/>
    <x v="0"/>
    <x v="0"/>
    <m/>
    <m/>
    <x v="0"/>
    <x v="6"/>
    <m/>
    <m/>
    <m/>
    <m/>
    <m/>
    <x v="0"/>
    <x v="0"/>
    <m/>
    <m/>
    <x v="0"/>
    <x v="6"/>
    <m/>
    <m/>
    <m/>
    <m/>
    <m/>
    <x v="0"/>
    <x v="0"/>
    <m/>
    <m/>
    <x v="3"/>
  </r>
  <r>
    <x v="3"/>
    <n v="1"/>
    <x v="5"/>
    <x v="2"/>
    <m/>
    <m/>
    <x v="18"/>
    <x v="14"/>
    <m/>
    <n v="1"/>
    <m/>
    <n v="22"/>
    <m/>
    <x v="3"/>
    <x v="0"/>
    <m/>
    <m/>
    <x v="13"/>
    <x v="13"/>
    <m/>
    <n v="1"/>
    <n v="1"/>
    <n v="31"/>
    <m/>
    <x v="2"/>
    <x v="0"/>
    <m/>
    <n v="1"/>
    <x v="0"/>
    <x v="6"/>
    <m/>
    <m/>
    <m/>
    <m/>
    <m/>
    <x v="0"/>
    <x v="0"/>
    <m/>
    <m/>
    <x v="3"/>
  </r>
  <r>
    <x v="3"/>
    <n v="1"/>
    <x v="3"/>
    <x v="2"/>
    <n v="30"/>
    <m/>
    <x v="0"/>
    <x v="6"/>
    <m/>
    <m/>
    <m/>
    <n v="0"/>
    <m/>
    <x v="0"/>
    <x v="0"/>
    <m/>
    <m/>
    <x v="0"/>
    <x v="6"/>
    <m/>
    <m/>
    <m/>
    <m/>
    <m/>
    <x v="0"/>
    <x v="0"/>
    <m/>
    <m/>
    <x v="0"/>
    <x v="6"/>
    <m/>
    <m/>
    <m/>
    <m/>
    <m/>
    <x v="0"/>
    <x v="0"/>
    <m/>
    <m/>
    <x v="3"/>
  </r>
  <r>
    <x v="3"/>
    <n v="1"/>
    <x v="1"/>
    <x v="2"/>
    <m/>
    <m/>
    <x v="7"/>
    <x v="1"/>
    <m/>
    <n v="1"/>
    <m/>
    <n v="0"/>
    <m/>
    <x v="0"/>
    <x v="0"/>
    <n v="13"/>
    <m/>
    <x v="0"/>
    <x v="6"/>
    <m/>
    <m/>
    <m/>
    <m/>
    <m/>
    <x v="0"/>
    <x v="0"/>
    <m/>
    <m/>
    <x v="0"/>
    <x v="6"/>
    <m/>
    <m/>
    <m/>
    <m/>
    <m/>
    <x v="0"/>
    <x v="0"/>
    <m/>
    <m/>
    <x v="3"/>
  </r>
  <r>
    <x v="3"/>
    <n v="1"/>
    <x v="14"/>
    <x v="1"/>
    <m/>
    <m/>
    <x v="22"/>
    <x v="1"/>
    <s v="Opertunity"/>
    <n v="0"/>
    <m/>
    <n v="0"/>
    <m/>
    <x v="0"/>
    <x v="0"/>
    <m/>
    <m/>
    <x v="0"/>
    <x v="6"/>
    <m/>
    <m/>
    <m/>
    <m/>
    <m/>
    <x v="0"/>
    <x v="0"/>
    <m/>
    <m/>
    <x v="0"/>
    <x v="6"/>
    <m/>
    <m/>
    <m/>
    <m/>
    <m/>
    <x v="0"/>
    <x v="0"/>
    <m/>
    <m/>
    <x v="3"/>
  </r>
  <r>
    <x v="3"/>
    <n v="2"/>
    <x v="14"/>
    <x v="1"/>
    <m/>
    <m/>
    <x v="22"/>
    <x v="5"/>
    <m/>
    <n v="0"/>
    <m/>
    <n v="0"/>
    <m/>
    <x v="0"/>
    <x v="0"/>
    <m/>
    <m/>
    <x v="0"/>
    <x v="6"/>
    <m/>
    <m/>
    <m/>
    <m/>
    <m/>
    <x v="0"/>
    <x v="0"/>
    <m/>
    <m/>
    <x v="0"/>
    <x v="6"/>
    <m/>
    <m/>
    <m/>
    <m/>
    <m/>
    <x v="0"/>
    <x v="0"/>
    <m/>
    <m/>
    <x v="3"/>
  </r>
  <r>
    <x v="3"/>
    <n v="2"/>
    <x v="2"/>
    <x v="2"/>
    <n v="70"/>
    <m/>
    <x v="0"/>
    <x v="6"/>
    <m/>
    <m/>
    <m/>
    <n v="0"/>
    <m/>
    <x v="0"/>
    <x v="0"/>
    <m/>
    <m/>
    <x v="0"/>
    <x v="6"/>
    <m/>
    <m/>
    <m/>
    <m/>
    <m/>
    <x v="0"/>
    <x v="0"/>
    <m/>
    <m/>
    <x v="0"/>
    <x v="6"/>
    <m/>
    <m/>
    <m/>
    <m/>
    <m/>
    <x v="0"/>
    <x v="0"/>
    <m/>
    <m/>
    <x v="3"/>
  </r>
  <r>
    <x v="3"/>
    <n v="2"/>
    <x v="5"/>
    <x v="2"/>
    <m/>
    <m/>
    <x v="40"/>
    <x v="14"/>
    <m/>
    <n v="1"/>
    <m/>
    <n v="22"/>
    <m/>
    <x v="3"/>
    <x v="0"/>
    <m/>
    <m/>
    <x v="13"/>
    <x v="13"/>
    <m/>
    <n v="1"/>
    <m/>
    <n v="14"/>
    <m/>
    <x v="2"/>
    <x v="0"/>
    <m/>
    <n v="1"/>
    <x v="0"/>
    <x v="6"/>
    <m/>
    <m/>
    <m/>
    <m/>
    <m/>
    <x v="0"/>
    <x v="0"/>
    <m/>
    <m/>
    <x v="3"/>
  </r>
  <r>
    <x v="3"/>
    <n v="0"/>
    <x v="4"/>
    <x v="2"/>
    <s v=" "/>
    <m/>
    <x v="41"/>
    <x v="18"/>
    <m/>
    <n v="1"/>
    <m/>
    <n v="12"/>
    <m/>
    <x v="1"/>
    <x v="0"/>
    <m/>
    <m/>
    <x v="24"/>
    <x v="16"/>
    <m/>
    <n v="1"/>
    <m/>
    <n v="9"/>
    <m/>
    <x v="1"/>
    <x v="0"/>
    <m/>
    <n v="1"/>
    <x v="20"/>
    <x v="15"/>
    <m/>
    <n v="1"/>
    <m/>
    <n v="19"/>
    <m/>
    <x v="3"/>
    <x v="0"/>
    <m/>
    <n v="1"/>
    <x v="3"/>
  </r>
  <r>
    <x v="3"/>
    <n v="1"/>
    <x v="4"/>
    <x v="2"/>
    <m/>
    <m/>
    <x v="39"/>
    <x v="18"/>
    <m/>
    <n v="1"/>
    <m/>
    <n v="13"/>
    <m/>
    <x v="1"/>
    <x v="0"/>
    <m/>
    <m/>
    <x v="10"/>
    <x v="16"/>
    <m/>
    <n v="1"/>
    <m/>
    <n v="1"/>
    <m/>
    <x v="1"/>
    <x v="0"/>
    <m/>
    <m/>
    <x v="19"/>
    <x v="15"/>
    <m/>
    <n v="1"/>
    <n v="1"/>
    <n v="21"/>
    <m/>
    <x v="3"/>
    <x v="0"/>
    <m/>
    <n v="1"/>
    <x v="3"/>
  </r>
  <r>
    <x v="3"/>
    <n v="0"/>
    <x v="1"/>
    <x v="2"/>
    <m/>
    <m/>
    <x v="20"/>
    <x v="18"/>
    <m/>
    <n v="1"/>
    <m/>
    <n v="11"/>
    <s v=" "/>
    <x v="4"/>
    <x v="0"/>
    <m/>
    <m/>
    <x v="12"/>
    <x v="16"/>
    <m/>
    <n v="1"/>
    <m/>
    <n v="17"/>
    <m/>
    <x v="4"/>
    <x v="0"/>
    <m/>
    <n v="1"/>
    <x v="0"/>
    <x v="6"/>
    <m/>
    <m/>
    <m/>
    <m/>
    <m/>
    <x v="0"/>
    <x v="0"/>
    <m/>
    <m/>
    <x v="3"/>
  </r>
  <r>
    <x v="3"/>
    <n v="0"/>
    <x v="5"/>
    <x v="2"/>
    <m/>
    <m/>
    <x v="40"/>
    <x v="17"/>
    <m/>
    <n v="1"/>
    <m/>
    <n v="15"/>
    <m/>
    <x v="3"/>
    <x v="0"/>
    <m/>
    <n v="1"/>
    <x v="0"/>
    <x v="6"/>
    <m/>
    <m/>
    <m/>
    <m/>
    <m/>
    <x v="0"/>
    <x v="0"/>
    <m/>
    <m/>
    <x v="0"/>
    <x v="6"/>
    <m/>
    <m/>
    <m/>
    <m/>
    <m/>
    <x v="0"/>
    <x v="0"/>
    <m/>
    <m/>
    <x v="3"/>
  </r>
  <r>
    <x v="3"/>
    <n v="0"/>
    <x v="0"/>
    <x v="2"/>
    <m/>
    <m/>
    <x v="5"/>
    <x v="17"/>
    <s v="Rage"/>
    <n v="1"/>
    <m/>
    <n v="6"/>
    <n v="7"/>
    <x v="3"/>
    <x v="0"/>
    <m/>
    <n v="1"/>
    <x v="3"/>
    <x v="17"/>
    <s v="Rage"/>
    <n v="1"/>
    <m/>
    <n v="16"/>
    <m/>
    <x v="2"/>
    <x v="0"/>
    <m/>
    <n v="1"/>
    <x v="2"/>
    <x v="16"/>
    <m/>
    <n v="1"/>
    <m/>
    <n v="12"/>
    <m/>
    <x v="1"/>
    <x v="0"/>
    <m/>
    <n v="1"/>
    <x v="3"/>
  </r>
  <r>
    <x v="3"/>
    <n v="1"/>
    <x v="0"/>
    <x v="2"/>
    <m/>
    <m/>
    <x v="37"/>
    <x v="17"/>
    <m/>
    <n v="1"/>
    <m/>
    <n v="13"/>
    <m/>
    <x v="1"/>
    <x v="0"/>
    <m/>
    <n v="1"/>
    <x v="23"/>
    <x v="17"/>
    <m/>
    <n v="1"/>
    <m/>
    <n v="12"/>
    <m/>
    <x v="1"/>
    <x v="0"/>
    <m/>
    <n v="1"/>
    <x v="21"/>
    <x v="16"/>
    <m/>
    <n v="1"/>
    <m/>
    <n v="12"/>
    <m/>
    <x v="3"/>
    <x v="0"/>
    <m/>
    <n v="1"/>
    <x v="3"/>
  </r>
  <r>
    <x v="3"/>
    <n v="0"/>
    <x v="4"/>
    <x v="2"/>
    <m/>
    <m/>
    <x v="39"/>
    <x v="18"/>
    <m/>
    <n v="1"/>
    <m/>
    <n v="23"/>
    <m/>
    <x v="1"/>
    <x v="0"/>
    <m/>
    <n v="1"/>
    <x v="24"/>
    <x v="16"/>
    <m/>
    <n v="1"/>
    <m/>
    <n v="11"/>
    <m/>
    <x v="1"/>
    <x v="0"/>
    <m/>
    <m/>
    <x v="19"/>
    <x v="15"/>
    <m/>
    <n v="1"/>
    <n v="0"/>
    <m/>
    <m/>
    <x v="0"/>
    <x v="0"/>
    <m/>
    <m/>
    <x v="3"/>
  </r>
  <r>
    <x v="3"/>
    <n v="0"/>
    <x v="3"/>
    <x v="2"/>
    <m/>
    <m/>
    <x v="12"/>
    <x v="18"/>
    <m/>
    <n v="1"/>
    <m/>
    <n v="7"/>
    <m/>
    <x v="3"/>
    <x v="0"/>
    <m/>
    <m/>
    <x v="9"/>
    <x v="16"/>
    <m/>
    <n v="1"/>
    <m/>
    <n v="9"/>
    <m/>
    <x v="2"/>
    <x v="0"/>
    <m/>
    <n v="1"/>
    <x v="12"/>
    <x v="15"/>
    <m/>
    <n v="1"/>
    <m/>
    <n v="11"/>
    <m/>
    <x v="3"/>
    <x v="0"/>
    <m/>
    <n v="1"/>
    <x v="3"/>
  </r>
  <r>
    <x v="3"/>
    <n v="0"/>
    <x v="5"/>
    <x v="2"/>
    <m/>
    <m/>
    <x v="40"/>
    <x v="18"/>
    <m/>
    <n v="1"/>
    <m/>
    <n v="12"/>
    <m/>
    <x v="3"/>
    <x v="0"/>
    <m/>
    <m/>
    <x v="13"/>
    <x v="16"/>
    <m/>
    <n v="1"/>
    <m/>
    <n v="16"/>
    <m/>
    <x v="2"/>
    <x v="0"/>
    <m/>
    <n v="1"/>
    <x v="0"/>
    <x v="6"/>
    <m/>
    <m/>
    <m/>
    <m/>
    <m/>
    <x v="0"/>
    <x v="0"/>
    <m/>
    <m/>
    <x v="3"/>
  </r>
  <r>
    <x v="3"/>
    <n v="1"/>
    <x v="4"/>
    <x v="2"/>
    <m/>
    <m/>
    <x v="39"/>
    <x v="18"/>
    <m/>
    <n v="1"/>
    <m/>
    <n v="12"/>
    <m/>
    <x v="1"/>
    <x v="0"/>
    <m/>
    <m/>
    <x v="10"/>
    <x v="16"/>
    <m/>
    <n v="1"/>
    <m/>
    <n v="8"/>
    <m/>
    <x v="1"/>
    <x v="0"/>
    <m/>
    <n v="1"/>
    <x v="19"/>
    <x v="15"/>
    <m/>
    <n v="1"/>
    <m/>
    <n v="8"/>
    <m/>
    <x v="3"/>
    <x v="0"/>
    <m/>
    <m/>
    <x v="3"/>
  </r>
  <r>
    <x v="3"/>
    <n v="1"/>
    <x v="3"/>
    <x v="2"/>
    <m/>
    <m/>
    <x v="4"/>
    <x v="18"/>
    <m/>
    <n v="1"/>
    <m/>
    <n v="11"/>
    <m/>
    <x v="1"/>
    <x v="0"/>
    <m/>
    <m/>
    <x v="2"/>
    <x v="16"/>
    <m/>
    <n v="0"/>
    <m/>
    <m/>
    <m/>
    <x v="0"/>
    <x v="0"/>
    <m/>
    <m/>
    <x v="12"/>
    <x v="15"/>
    <m/>
    <n v="0"/>
    <m/>
    <m/>
    <m/>
    <x v="0"/>
    <x v="0"/>
    <m/>
    <m/>
    <x v="3"/>
  </r>
  <r>
    <x v="3"/>
    <n v="2"/>
    <x v="4"/>
    <x v="2"/>
    <m/>
    <m/>
    <x v="39"/>
    <x v="18"/>
    <m/>
    <n v="1"/>
    <m/>
    <n v="19"/>
    <m/>
    <x v="1"/>
    <x v="0"/>
    <m/>
    <n v="1"/>
    <x v="0"/>
    <x v="6"/>
    <m/>
    <m/>
    <m/>
    <m/>
    <m/>
    <x v="0"/>
    <x v="0"/>
    <m/>
    <m/>
    <x v="0"/>
    <x v="6"/>
    <m/>
    <m/>
    <m/>
    <m/>
    <m/>
    <x v="0"/>
    <x v="0"/>
    <m/>
    <m/>
    <x v="3"/>
  </r>
  <r>
    <x v="3"/>
    <n v="0"/>
    <x v="0"/>
    <x v="2"/>
    <m/>
    <m/>
    <x v="5"/>
    <x v="18"/>
    <s v="Surprise"/>
    <n v="1"/>
    <m/>
    <n v="16"/>
    <n v="4"/>
    <x v="3"/>
    <x v="2"/>
    <m/>
    <m/>
    <x v="3"/>
    <x v="16"/>
    <m/>
    <n v="1"/>
    <m/>
    <n v="15"/>
    <m/>
    <x v="2"/>
    <x v="0"/>
    <m/>
    <n v="1"/>
    <x v="2"/>
    <x v="15"/>
    <m/>
    <n v="1"/>
    <m/>
    <n v="12"/>
    <m/>
    <x v="1"/>
    <x v="0"/>
    <m/>
    <n v="1"/>
    <x v="3"/>
  </r>
  <r>
    <x v="3"/>
    <n v="1"/>
    <x v="0"/>
    <x v="2"/>
    <m/>
    <m/>
    <x v="37"/>
    <x v="18"/>
    <m/>
    <n v="1"/>
    <m/>
    <n v="7"/>
    <m/>
    <x v="1"/>
    <x v="0"/>
    <m/>
    <m/>
    <x v="23"/>
    <x v="6"/>
    <m/>
    <m/>
    <m/>
    <m/>
    <m/>
    <x v="0"/>
    <x v="0"/>
    <m/>
    <m/>
    <x v="0"/>
    <x v="6"/>
    <m/>
    <m/>
    <m/>
    <m/>
    <m/>
    <x v="0"/>
    <x v="0"/>
    <m/>
    <m/>
    <x v="3"/>
  </r>
  <r>
    <x v="3"/>
    <n v="1"/>
    <x v="5"/>
    <x v="2"/>
    <m/>
    <m/>
    <x v="28"/>
    <x v="16"/>
    <m/>
    <n v="1"/>
    <m/>
    <n v="9"/>
    <m/>
    <x v="4"/>
    <x v="0"/>
    <m/>
    <m/>
    <x v="13"/>
    <x v="15"/>
    <s v="Spray N Pray"/>
    <n v="1"/>
    <m/>
    <n v="15"/>
    <m/>
    <x v="2"/>
    <x v="0"/>
    <m/>
    <n v="1"/>
    <x v="0"/>
    <x v="6"/>
    <m/>
    <m/>
    <m/>
    <m/>
    <m/>
    <x v="0"/>
    <x v="0"/>
    <m/>
    <m/>
    <x v="3"/>
  </r>
  <r>
    <x v="3"/>
    <n v="1"/>
    <x v="5"/>
    <x v="2"/>
    <m/>
    <m/>
    <x v="40"/>
    <x v="5"/>
    <s v="Spray N Pray"/>
    <n v="1"/>
    <m/>
    <n v="15"/>
    <m/>
    <x v="3"/>
    <x v="0"/>
    <m/>
    <m/>
    <x v="13"/>
    <x v="17"/>
    <s v="Spray N Pray"/>
    <n v="1"/>
    <m/>
    <n v="15"/>
    <m/>
    <x v="2"/>
    <x v="0"/>
    <m/>
    <n v="1"/>
    <x v="0"/>
    <x v="6"/>
    <m/>
    <m/>
    <m/>
    <m/>
    <m/>
    <x v="0"/>
    <x v="0"/>
    <m/>
    <m/>
    <x v="3"/>
  </r>
  <r>
    <x v="3"/>
    <n v="1"/>
    <x v="15"/>
    <x v="1"/>
    <m/>
    <m/>
    <x v="19"/>
    <x v="5"/>
    <m/>
    <n v="1"/>
    <m/>
    <n v="20"/>
    <m/>
    <x v="4"/>
    <x v="0"/>
    <m/>
    <m/>
    <x v="0"/>
    <x v="6"/>
    <m/>
    <m/>
    <m/>
    <m/>
    <m/>
    <x v="0"/>
    <x v="0"/>
    <m/>
    <m/>
    <x v="0"/>
    <x v="6"/>
    <m/>
    <m/>
    <m/>
    <m/>
    <m/>
    <x v="0"/>
    <x v="0"/>
    <m/>
    <m/>
    <x v="3"/>
  </r>
  <r>
    <x v="3"/>
    <n v="1"/>
    <x v="15"/>
    <x v="1"/>
    <m/>
    <m/>
    <x v="19"/>
    <x v="5"/>
    <m/>
    <n v="1"/>
    <m/>
    <n v="18"/>
    <m/>
    <x v="4"/>
    <x v="0"/>
    <m/>
    <m/>
    <x v="0"/>
    <x v="6"/>
    <m/>
    <m/>
    <m/>
    <m/>
    <m/>
    <x v="0"/>
    <x v="0"/>
    <m/>
    <m/>
    <x v="0"/>
    <x v="6"/>
    <m/>
    <m/>
    <m/>
    <m/>
    <m/>
    <x v="0"/>
    <x v="0"/>
    <m/>
    <m/>
    <x v="3"/>
  </r>
  <r>
    <x v="3"/>
    <n v="1"/>
    <x v="16"/>
    <x v="1"/>
    <m/>
    <m/>
    <x v="42"/>
    <x v="5"/>
    <m/>
    <n v="1"/>
    <m/>
    <n v="26"/>
    <m/>
    <x v="3"/>
    <x v="0"/>
    <m/>
    <n v="1"/>
    <x v="0"/>
    <x v="6"/>
    <m/>
    <m/>
    <m/>
    <m/>
    <m/>
    <x v="0"/>
    <x v="0"/>
    <m/>
    <m/>
    <x v="0"/>
    <x v="6"/>
    <m/>
    <m/>
    <m/>
    <m/>
    <m/>
    <x v="0"/>
    <x v="0"/>
    <m/>
    <m/>
    <x v="3"/>
  </r>
  <r>
    <x v="3"/>
    <n v="-1"/>
    <x v="2"/>
    <x v="2"/>
    <m/>
    <m/>
    <x v="7"/>
    <x v="1"/>
    <m/>
    <n v="1"/>
    <m/>
    <n v="0"/>
    <m/>
    <x v="0"/>
    <x v="0"/>
    <n v="13"/>
    <m/>
    <x v="0"/>
    <x v="6"/>
    <m/>
    <m/>
    <m/>
    <m/>
    <m/>
    <x v="0"/>
    <x v="0"/>
    <m/>
    <m/>
    <x v="0"/>
    <x v="6"/>
    <m/>
    <m/>
    <m/>
    <m/>
    <m/>
    <x v="0"/>
    <x v="0"/>
    <m/>
    <m/>
    <x v="3"/>
  </r>
  <r>
    <x v="3"/>
    <n v="0"/>
    <x v="0"/>
    <x v="2"/>
    <m/>
    <m/>
    <x v="37"/>
    <x v="18"/>
    <s v="Rage"/>
    <n v="1"/>
    <m/>
    <n v="9"/>
    <m/>
    <x v="1"/>
    <x v="0"/>
    <m/>
    <m/>
    <x v="23"/>
    <x v="16"/>
    <s v="Rage"/>
    <n v="1"/>
    <m/>
    <n v="14"/>
    <m/>
    <x v="0"/>
    <x v="0"/>
    <m/>
    <n v="1"/>
    <x v="0"/>
    <x v="6"/>
    <m/>
    <m/>
    <m/>
    <m/>
    <m/>
    <x v="0"/>
    <x v="0"/>
    <m/>
    <m/>
    <x v="3"/>
  </r>
  <r>
    <x v="3"/>
    <n v="0"/>
    <x v="2"/>
    <x v="2"/>
    <m/>
    <m/>
    <x v="38"/>
    <x v="16"/>
    <m/>
    <n v="1"/>
    <m/>
    <n v="22"/>
    <m/>
    <x v="2"/>
    <x v="0"/>
    <m/>
    <n v="1"/>
    <x v="0"/>
    <x v="6"/>
    <m/>
    <m/>
    <m/>
    <m/>
    <m/>
    <x v="0"/>
    <x v="0"/>
    <m/>
    <m/>
    <x v="0"/>
    <x v="6"/>
    <m/>
    <m/>
    <m/>
    <m/>
    <m/>
    <x v="0"/>
    <x v="0"/>
    <m/>
    <m/>
    <x v="3"/>
  </r>
  <r>
    <x v="3"/>
    <n v="0"/>
    <x v="0"/>
    <x v="2"/>
    <m/>
    <m/>
    <x v="37"/>
    <x v="18"/>
    <m/>
    <n v="1"/>
    <m/>
    <n v="9"/>
    <m/>
    <x v="1"/>
    <x v="0"/>
    <m/>
    <n v="1"/>
    <x v="23"/>
    <x v="6"/>
    <m/>
    <n v="1"/>
    <n v="1"/>
    <n v="13"/>
    <m/>
    <x v="1"/>
    <x v="0"/>
    <m/>
    <n v="1"/>
    <x v="0"/>
    <x v="6"/>
    <m/>
    <m/>
    <m/>
    <m/>
    <m/>
    <x v="0"/>
    <x v="0"/>
    <m/>
    <m/>
    <x v="3"/>
  </r>
  <r>
    <x v="3"/>
    <n v="0"/>
    <x v="2"/>
    <x v="2"/>
    <m/>
    <m/>
    <x v="38"/>
    <x v="16"/>
    <m/>
    <n v="1"/>
    <m/>
    <n v="22"/>
    <m/>
    <x v="2"/>
    <x v="0"/>
    <m/>
    <n v="1"/>
    <x v="0"/>
    <x v="6"/>
    <m/>
    <m/>
    <m/>
    <m/>
    <m/>
    <x v="0"/>
    <x v="0"/>
    <m/>
    <m/>
    <x v="0"/>
    <x v="6"/>
    <m/>
    <m/>
    <m/>
    <m/>
    <m/>
    <x v="0"/>
    <x v="0"/>
    <m/>
    <m/>
    <x v="3"/>
  </r>
  <r>
    <x v="3"/>
    <n v="-1"/>
    <x v="2"/>
    <x v="2"/>
    <m/>
    <m/>
    <x v="43"/>
    <x v="5"/>
    <m/>
    <n v="1"/>
    <m/>
    <m/>
    <m/>
    <x v="0"/>
    <x v="0"/>
    <m/>
    <m/>
    <x v="0"/>
    <x v="6"/>
    <m/>
    <m/>
    <m/>
    <m/>
    <m/>
    <x v="0"/>
    <x v="0"/>
    <m/>
    <m/>
    <x v="0"/>
    <x v="6"/>
    <m/>
    <m/>
    <m/>
    <m/>
    <m/>
    <x v="0"/>
    <x v="0"/>
    <m/>
    <m/>
    <x v="3"/>
  </r>
  <r>
    <x v="3"/>
    <n v="0"/>
    <x v="1"/>
    <x v="2"/>
    <m/>
    <m/>
    <x v="20"/>
    <x v="17"/>
    <m/>
    <n v="1"/>
    <m/>
    <n v="11"/>
    <m/>
    <x v="4"/>
    <x v="0"/>
    <m/>
    <n v="1"/>
    <x v="12"/>
    <x v="16"/>
    <m/>
    <n v="1"/>
    <m/>
    <n v="12"/>
    <m/>
    <x v="4"/>
    <x v="0"/>
    <m/>
    <m/>
    <x v="0"/>
    <x v="6"/>
    <m/>
    <m/>
    <m/>
    <m/>
    <m/>
    <x v="0"/>
    <x v="0"/>
    <m/>
    <m/>
    <x v="3"/>
  </r>
  <r>
    <x v="3"/>
    <n v="0"/>
    <x v="0"/>
    <x v="2"/>
    <m/>
    <m/>
    <x v="37"/>
    <x v="18"/>
    <s v="Surprise"/>
    <n v="1"/>
    <m/>
    <n v="5"/>
    <n v="4"/>
    <x v="1"/>
    <x v="3"/>
    <m/>
    <m/>
    <x v="23"/>
    <x v="16"/>
    <m/>
    <n v="1"/>
    <m/>
    <n v="9"/>
    <m/>
    <x v="1"/>
    <x v="0"/>
    <m/>
    <n v="1"/>
    <x v="0"/>
    <x v="6"/>
    <m/>
    <m/>
    <m/>
    <m/>
    <m/>
    <x v="0"/>
    <x v="0"/>
    <m/>
    <m/>
    <x v="3"/>
  </r>
  <r>
    <x v="3"/>
    <n v="0"/>
    <x v="1"/>
    <x v="2"/>
    <m/>
    <m/>
    <x v="20"/>
    <x v="17"/>
    <m/>
    <n v="1"/>
    <m/>
    <n v="8"/>
    <m/>
    <x v="4"/>
    <x v="0"/>
    <m/>
    <n v="1"/>
    <x v="12"/>
    <x v="16"/>
    <m/>
    <n v="1"/>
    <m/>
    <n v="5"/>
    <m/>
    <x v="4"/>
    <x v="0"/>
    <m/>
    <m/>
    <x v="0"/>
    <x v="6"/>
    <m/>
    <m/>
    <m/>
    <m/>
    <m/>
    <x v="0"/>
    <x v="0"/>
    <m/>
    <m/>
    <x v="3"/>
  </r>
  <r>
    <x v="3"/>
    <n v="0"/>
    <x v="0"/>
    <x v="2"/>
    <m/>
    <m/>
    <x v="37"/>
    <x v="18"/>
    <s v="Surprise"/>
    <n v="1"/>
    <m/>
    <n v="9"/>
    <n v="5"/>
    <x v="1"/>
    <x v="3"/>
    <m/>
    <n v="1"/>
    <x v="0"/>
    <x v="6"/>
    <m/>
    <m/>
    <m/>
    <m/>
    <m/>
    <x v="0"/>
    <x v="0"/>
    <m/>
    <m/>
    <x v="0"/>
    <x v="6"/>
    <m/>
    <m/>
    <m/>
    <m/>
    <m/>
    <x v="0"/>
    <x v="0"/>
    <m/>
    <m/>
    <x v="3"/>
  </r>
  <r>
    <x v="3"/>
    <n v="1"/>
    <x v="3"/>
    <x v="2"/>
    <m/>
    <m/>
    <x v="4"/>
    <x v="19"/>
    <m/>
    <n v="1"/>
    <m/>
    <n v="6"/>
    <n v="11"/>
    <x v="1"/>
    <x v="3"/>
    <m/>
    <m/>
    <x v="2"/>
    <x v="18"/>
    <m/>
    <n v="1"/>
    <m/>
    <n v="11"/>
    <n v="8"/>
    <x v="1"/>
    <x v="1"/>
    <m/>
    <m/>
    <x v="0"/>
    <x v="6"/>
    <m/>
    <m/>
    <m/>
    <m/>
    <m/>
    <x v="0"/>
    <x v="0"/>
    <m/>
    <m/>
    <x v="3"/>
  </r>
  <r>
    <x v="3"/>
    <n v="1"/>
    <x v="4"/>
    <x v="2"/>
    <m/>
    <m/>
    <x v="16"/>
    <x v="19"/>
    <m/>
    <n v="1"/>
    <m/>
    <n v="10"/>
    <m/>
    <x v="1"/>
    <x v="0"/>
    <m/>
    <m/>
    <x v="24"/>
    <x v="18"/>
    <m/>
    <n v="1"/>
    <m/>
    <n v="13"/>
    <n v="9"/>
    <x v="1"/>
    <x v="1"/>
    <m/>
    <m/>
    <x v="0"/>
    <x v="6"/>
    <m/>
    <m/>
    <m/>
    <m/>
    <m/>
    <x v="0"/>
    <x v="0"/>
    <m/>
    <m/>
    <x v="3"/>
  </r>
  <r>
    <x v="3"/>
    <n v="1"/>
    <x v="2"/>
    <x v="2"/>
    <m/>
    <m/>
    <x v="38"/>
    <x v="4"/>
    <m/>
    <n v="1"/>
    <m/>
    <n v="22"/>
    <m/>
    <x v="2"/>
    <x v="0"/>
    <m/>
    <m/>
    <x v="0"/>
    <x v="6"/>
    <m/>
    <m/>
    <m/>
    <m/>
    <m/>
    <x v="0"/>
    <x v="0"/>
    <m/>
    <m/>
    <x v="0"/>
    <x v="6"/>
    <m/>
    <m/>
    <m/>
    <m/>
    <m/>
    <x v="0"/>
    <x v="0"/>
    <m/>
    <m/>
    <x v="3"/>
  </r>
  <r>
    <x v="3"/>
    <n v="1"/>
    <x v="17"/>
    <x v="1"/>
    <m/>
    <m/>
    <x v="30"/>
    <x v="4"/>
    <m/>
    <n v="1"/>
    <m/>
    <n v="19"/>
    <m/>
    <x v="4"/>
    <x v="0"/>
    <m/>
    <m/>
    <x v="22"/>
    <x v="4"/>
    <m/>
    <n v="0"/>
    <n v="0"/>
    <m/>
    <m/>
    <x v="0"/>
    <x v="0"/>
    <m/>
    <m/>
    <x v="0"/>
    <x v="6"/>
    <m/>
    <m/>
    <m/>
    <m/>
    <m/>
    <x v="0"/>
    <x v="0"/>
    <m/>
    <m/>
    <x v="3"/>
  </r>
  <r>
    <x v="3"/>
    <n v="2"/>
    <x v="2"/>
    <x v="2"/>
    <m/>
    <m/>
    <x v="38"/>
    <x v="4"/>
    <m/>
    <n v="1"/>
    <m/>
    <n v="27"/>
    <m/>
    <x v="2"/>
    <x v="0"/>
    <m/>
    <m/>
    <x v="0"/>
    <x v="6"/>
    <m/>
    <m/>
    <m/>
    <m/>
    <m/>
    <x v="0"/>
    <x v="0"/>
    <m/>
    <m/>
    <x v="22"/>
    <x v="4"/>
    <m/>
    <n v="1"/>
    <m/>
    <n v="11"/>
    <m/>
    <x v="3"/>
    <x v="0"/>
    <m/>
    <n v="1"/>
    <x v="3"/>
  </r>
  <r>
    <x v="3"/>
    <n v="2"/>
    <x v="5"/>
    <x v="2"/>
    <m/>
    <m/>
    <x v="18"/>
    <x v="3"/>
    <m/>
    <n v="0"/>
    <n v="0"/>
    <m/>
    <m/>
    <x v="0"/>
    <x v="0"/>
    <m/>
    <m/>
    <x v="13"/>
    <x v="3"/>
    <s v="Child fragment 4"/>
    <n v="1"/>
    <n v="1"/>
    <n v="36"/>
    <m/>
    <x v="2"/>
    <x v="0"/>
    <m/>
    <m/>
    <x v="0"/>
    <x v="6"/>
    <m/>
    <m/>
    <m/>
    <m/>
    <m/>
    <x v="0"/>
    <x v="0"/>
    <m/>
    <m/>
    <x v="3"/>
  </r>
  <r>
    <x v="3"/>
    <n v="2"/>
    <x v="5"/>
    <x v="2"/>
    <m/>
    <m/>
    <x v="40"/>
    <x v="3"/>
    <s v="Free Fighter"/>
    <n v="1"/>
    <m/>
    <n v="15"/>
    <m/>
    <x v="3"/>
    <x v="0"/>
    <m/>
    <m/>
    <x v="0"/>
    <x v="6"/>
    <m/>
    <m/>
    <m/>
    <m/>
    <m/>
    <x v="0"/>
    <x v="0"/>
    <m/>
    <m/>
    <x v="0"/>
    <x v="6"/>
    <m/>
    <m/>
    <m/>
    <m/>
    <m/>
    <x v="0"/>
    <x v="0"/>
    <m/>
    <m/>
    <x v="3"/>
  </r>
  <r>
    <x v="3"/>
    <n v="2"/>
    <x v="4"/>
    <x v="2"/>
    <m/>
    <m/>
    <x v="16"/>
    <x v="19"/>
    <m/>
    <n v="1"/>
    <n v="1"/>
    <n v="15"/>
    <n v="8"/>
    <x v="1"/>
    <x v="3"/>
    <m/>
    <m/>
    <x v="24"/>
    <x v="18"/>
    <m/>
    <n v="0"/>
    <m/>
    <m/>
    <m/>
    <x v="0"/>
    <x v="0"/>
    <m/>
    <m/>
    <x v="0"/>
    <x v="6"/>
    <m/>
    <m/>
    <m/>
    <m/>
    <m/>
    <x v="0"/>
    <x v="0"/>
    <m/>
    <m/>
    <x v="3"/>
  </r>
  <r>
    <x v="3"/>
    <n v="2"/>
    <x v="17"/>
    <x v="1"/>
    <m/>
    <m/>
    <x v="19"/>
    <x v="4"/>
    <m/>
    <n v="1"/>
    <m/>
    <n v="12"/>
    <m/>
    <x v="4"/>
    <x v="0"/>
    <m/>
    <m/>
    <x v="25"/>
    <x v="5"/>
    <m/>
    <n v="0"/>
    <m/>
    <m/>
    <m/>
    <x v="0"/>
    <x v="0"/>
    <m/>
    <m/>
    <x v="0"/>
    <x v="6"/>
    <m/>
    <m/>
    <m/>
    <m/>
    <m/>
    <x v="0"/>
    <x v="0"/>
    <m/>
    <m/>
    <x v="3"/>
  </r>
  <r>
    <x v="3"/>
    <n v="3"/>
    <x v="2"/>
    <x v="2"/>
    <m/>
    <m/>
    <x v="38"/>
    <x v="3"/>
    <m/>
    <n v="1"/>
    <m/>
    <n v="28"/>
    <m/>
    <x v="2"/>
    <x v="0"/>
    <m/>
    <n v="1"/>
    <x v="0"/>
    <x v="6"/>
    <m/>
    <m/>
    <m/>
    <m/>
    <m/>
    <x v="0"/>
    <x v="0"/>
    <m/>
    <m/>
    <x v="0"/>
    <x v="6"/>
    <m/>
    <m/>
    <m/>
    <m/>
    <m/>
    <x v="0"/>
    <x v="0"/>
    <m/>
    <m/>
    <x v="3"/>
  </r>
  <r>
    <x v="3"/>
    <n v="3"/>
    <x v="5"/>
    <x v="2"/>
    <m/>
    <m/>
    <x v="40"/>
    <x v="19"/>
    <m/>
    <n v="0"/>
    <m/>
    <m/>
    <m/>
    <x v="0"/>
    <x v="0"/>
    <m/>
    <m/>
    <x v="13"/>
    <x v="18"/>
    <m/>
    <n v="1"/>
    <m/>
    <n v="14"/>
    <m/>
    <x v="2"/>
    <x v="0"/>
    <m/>
    <m/>
    <x v="0"/>
    <x v="6"/>
    <m/>
    <m/>
    <m/>
    <m/>
    <m/>
    <x v="0"/>
    <x v="0"/>
    <m/>
    <m/>
    <x v="3"/>
  </r>
  <r>
    <x v="3"/>
    <n v="3"/>
    <x v="4"/>
    <x v="2"/>
    <m/>
    <m/>
    <x v="16"/>
    <x v="19"/>
    <m/>
    <n v="1"/>
    <m/>
    <n v="9"/>
    <n v="9"/>
    <x v="1"/>
    <x v="3"/>
    <m/>
    <m/>
    <x v="24"/>
    <x v="18"/>
    <m/>
    <n v="1"/>
    <m/>
    <n v="7"/>
    <m/>
    <x v="1"/>
    <x v="0"/>
    <m/>
    <n v="1"/>
    <x v="0"/>
    <x v="6"/>
    <m/>
    <m/>
    <m/>
    <m/>
    <m/>
    <x v="0"/>
    <x v="0"/>
    <m/>
    <m/>
    <x v="3"/>
  </r>
  <r>
    <x v="3"/>
    <n v="-1"/>
    <x v="3"/>
    <x v="2"/>
    <m/>
    <m/>
    <x v="4"/>
    <x v="2"/>
    <m/>
    <n v="1"/>
    <n v="1"/>
    <n v="14"/>
    <m/>
    <x v="1"/>
    <x v="0"/>
    <m/>
    <m/>
    <x v="2"/>
    <x v="2"/>
    <m/>
    <n v="1"/>
    <m/>
    <n v="11"/>
    <m/>
    <x v="1"/>
    <x v="0"/>
    <m/>
    <m/>
    <x v="0"/>
    <x v="6"/>
    <m/>
    <m/>
    <m/>
    <m/>
    <m/>
    <x v="0"/>
    <x v="0"/>
    <m/>
    <m/>
    <x v="3"/>
  </r>
  <r>
    <x v="3"/>
    <n v="-1"/>
    <x v="2"/>
    <x v="0"/>
    <m/>
    <m/>
    <x v="7"/>
    <x v="2"/>
    <s v="Beacon of hope"/>
    <n v="1"/>
    <m/>
    <m/>
    <m/>
    <x v="0"/>
    <x v="0"/>
    <n v="35"/>
    <m/>
    <x v="0"/>
    <x v="6"/>
    <m/>
    <m/>
    <m/>
    <m/>
    <m/>
    <x v="0"/>
    <x v="0"/>
    <m/>
    <m/>
    <x v="0"/>
    <x v="6"/>
    <m/>
    <m/>
    <m/>
    <m/>
    <m/>
    <x v="0"/>
    <x v="0"/>
    <m/>
    <m/>
    <x v="3"/>
  </r>
  <r>
    <x v="0"/>
    <m/>
    <x v="8"/>
    <x v="0"/>
    <m/>
    <m/>
    <x v="0"/>
    <x v="6"/>
    <m/>
    <m/>
    <m/>
    <m/>
    <m/>
    <x v="0"/>
    <x v="0"/>
    <m/>
    <m/>
    <x v="0"/>
    <x v="6"/>
    <m/>
    <m/>
    <m/>
    <m/>
    <m/>
    <x v="0"/>
    <x v="0"/>
    <m/>
    <m/>
    <x v="0"/>
    <x v="6"/>
    <m/>
    <m/>
    <m/>
    <m/>
    <m/>
    <x v="0"/>
    <x v="0"/>
    <m/>
    <m/>
    <x v="0"/>
  </r>
  <r>
    <x v="4"/>
    <n v="1"/>
    <x v="0"/>
    <x v="2"/>
    <m/>
    <m/>
    <x v="5"/>
    <x v="20"/>
    <s v="Rage"/>
    <n v="1"/>
    <m/>
    <n v="7"/>
    <m/>
    <x v="3"/>
    <x v="0"/>
    <m/>
    <m/>
    <x v="3"/>
    <x v="19"/>
    <s v="Rage"/>
    <n v="1"/>
    <m/>
    <n v="11"/>
    <m/>
    <x v="2"/>
    <x v="0"/>
    <m/>
    <m/>
    <x v="2"/>
    <x v="17"/>
    <m/>
    <m/>
    <m/>
    <m/>
    <m/>
    <x v="0"/>
    <x v="0"/>
    <m/>
    <m/>
    <x v="4"/>
  </r>
  <r>
    <x v="4"/>
    <n v="1"/>
    <x v="18"/>
    <x v="3"/>
    <m/>
    <m/>
    <x v="44"/>
    <x v="0"/>
    <m/>
    <n v="1"/>
    <m/>
    <n v="13"/>
    <m/>
    <x v="1"/>
    <x v="0"/>
    <m/>
    <m/>
    <x v="26"/>
    <x v="0"/>
    <m/>
    <n v="1"/>
    <m/>
    <n v="10"/>
    <m/>
    <x v="1"/>
    <x v="0"/>
    <m/>
    <m/>
    <x v="23"/>
    <x v="0"/>
    <m/>
    <n v="1"/>
    <m/>
    <m/>
    <m/>
    <x v="3"/>
    <x v="0"/>
    <m/>
    <m/>
    <x v="4"/>
  </r>
  <r>
    <x v="4"/>
    <n v="1"/>
    <x v="1"/>
    <x v="2"/>
    <m/>
    <m/>
    <x v="45"/>
    <x v="21"/>
    <m/>
    <m/>
    <m/>
    <m/>
    <m/>
    <x v="0"/>
    <x v="0"/>
    <m/>
    <m/>
    <x v="0"/>
    <x v="6"/>
    <m/>
    <m/>
    <m/>
    <m/>
    <m/>
    <x v="0"/>
    <x v="0"/>
    <m/>
    <m/>
    <x v="24"/>
    <x v="6"/>
    <m/>
    <m/>
    <m/>
    <m/>
    <m/>
    <x v="0"/>
    <x v="0"/>
    <m/>
    <m/>
    <x v="4"/>
  </r>
  <r>
    <x v="4"/>
    <n v="2"/>
    <x v="0"/>
    <x v="2"/>
    <m/>
    <m/>
    <x v="5"/>
    <x v="20"/>
    <s v="Rage"/>
    <n v="1"/>
    <m/>
    <n v="8"/>
    <m/>
    <x v="3"/>
    <x v="0"/>
    <m/>
    <m/>
    <x v="3"/>
    <x v="19"/>
    <s v="Rage"/>
    <n v="0"/>
    <m/>
    <m/>
    <m/>
    <x v="0"/>
    <x v="0"/>
    <m/>
    <m/>
    <x v="2"/>
    <x v="17"/>
    <s v="Rage"/>
    <n v="1"/>
    <m/>
    <n v="13"/>
    <m/>
    <x v="1"/>
    <x v="0"/>
    <m/>
    <m/>
    <x v="4"/>
  </r>
  <r>
    <x v="4"/>
    <n v="2"/>
    <x v="18"/>
    <x v="3"/>
    <m/>
    <m/>
    <x v="46"/>
    <x v="0"/>
    <m/>
    <n v="1"/>
    <m/>
    <n v="37"/>
    <m/>
    <x v="2"/>
    <x v="0"/>
    <m/>
    <m/>
    <x v="27"/>
    <x v="1"/>
    <m/>
    <n v="1"/>
    <m/>
    <n v="18"/>
    <m/>
    <x v="3"/>
    <x v="0"/>
    <m/>
    <m/>
    <x v="0"/>
    <x v="6"/>
    <m/>
    <m/>
    <m/>
    <m/>
    <m/>
    <x v="0"/>
    <x v="0"/>
    <m/>
    <m/>
    <x v="4"/>
  </r>
  <r>
    <x v="4"/>
    <n v="2"/>
    <x v="18"/>
    <x v="3"/>
    <m/>
    <m/>
    <x v="44"/>
    <x v="0"/>
    <m/>
    <n v="1"/>
    <m/>
    <n v="19"/>
    <m/>
    <x v="0"/>
    <x v="0"/>
    <m/>
    <m/>
    <x v="26"/>
    <x v="0"/>
    <m/>
    <n v="1"/>
    <m/>
    <n v="10"/>
    <m/>
    <x v="0"/>
    <x v="0"/>
    <m/>
    <n v="1"/>
    <x v="23"/>
    <x v="0"/>
    <m/>
    <n v="0"/>
    <n v="0"/>
    <m/>
    <m/>
    <x v="0"/>
    <x v="0"/>
    <m/>
    <m/>
    <x v="4"/>
  </r>
  <r>
    <x v="4"/>
    <n v="2"/>
    <x v="1"/>
    <x v="2"/>
    <m/>
    <m/>
    <x v="20"/>
    <x v="20"/>
    <s v="Sacred Weapon"/>
    <n v="1"/>
    <m/>
    <n v="12"/>
    <m/>
    <x v="4"/>
    <x v="0"/>
    <m/>
    <m/>
    <x v="12"/>
    <x v="19"/>
    <s v="Sacred Weapon"/>
    <n v="1"/>
    <m/>
    <n v="12"/>
    <m/>
    <x v="4"/>
    <x v="0"/>
    <m/>
    <m/>
    <x v="16"/>
    <x v="17"/>
    <m/>
    <n v="1"/>
    <m/>
    <n v="20"/>
    <m/>
    <x v="4"/>
    <x v="0"/>
    <m/>
    <m/>
    <x v="4"/>
  </r>
  <r>
    <x v="4"/>
    <n v="2"/>
    <x v="4"/>
    <x v="2"/>
    <m/>
    <m/>
    <x v="39"/>
    <x v="20"/>
    <m/>
    <n v="1"/>
    <n v="1"/>
    <n v="19"/>
    <m/>
    <x v="1"/>
    <x v="0"/>
    <m/>
    <m/>
    <x v="10"/>
    <x v="19"/>
    <m/>
    <n v="1"/>
    <m/>
    <n v="8"/>
    <m/>
    <x v="1"/>
    <x v="0"/>
    <m/>
    <m/>
    <x v="9"/>
    <x v="6"/>
    <m/>
    <m/>
    <m/>
    <m/>
    <m/>
    <x v="0"/>
    <x v="0"/>
    <m/>
    <m/>
    <x v="4"/>
  </r>
  <r>
    <x v="4"/>
    <n v="2"/>
    <x v="3"/>
    <x v="2"/>
    <m/>
    <m/>
    <x v="0"/>
    <x v="6"/>
    <m/>
    <m/>
    <m/>
    <m/>
    <m/>
    <x v="0"/>
    <x v="0"/>
    <m/>
    <m/>
    <x v="0"/>
    <x v="6"/>
    <m/>
    <m/>
    <m/>
    <m/>
    <m/>
    <x v="0"/>
    <x v="0"/>
    <m/>
    <m/>
    <x v="25"/>
    <x v="17"/>
    <m/>
    <m/>
    <m/>
    <m/>
    <m/>
    <x v="0"/>
    <x v="0"/>
    <m/>
    <m/>
    <x v="4"/>
  </r>
  <r>
    <x v="4"/>
    <n v="2"/>
    <x v="18"/>
    <x v="3"/>
    <m/>
    <m/>
    <x v="47"/>
    <x v="3"/>
    <s v="reaction"/>
    <n v="1"/>
    <m/>
    <n v="15"/>
    <m/>
    <x v="2"/>
    <x v="0"/>
    <m/>
    <m/>
    <x v="0"/>
    <x v="6"/>
    <m/>
    <m/>
    <m/>
    <m/>
    <m/>
    <x v="0"/>
    <x v="0"/>
    <m/>
    <m/>
    <x v="0"/>
    <x v="6"/>
    <m/>
    <m/>
    <m/>
    <m/>
    <m/>
    <x v="0"/>
    <x v="0"/>
    <m/>
    <m/>
    <x v="4"/>
  </r>
  <r>
    <x v="4"/>
    <n v="3"/>
    <x v="0"/>
    <x v="2"/>
    <m/>
    <m/>
    <x v="5"/>
    <x v="20"/>
    <s v="Rage"/>
    <n v="0"/>
    <m/>
    <m/>
    <m/>
    <x v="0"/>
    <x v="0"/>
    <m/>
    <m/>
    <x v="3"/>
    <x v="19"/>
    <s v="Rage"/>
    <n v="1"/>
    <m/>
    <n v="9"/>
    <m/>
    <x v="2"/>
    <x v="0"/>
    <m/>
    <m/>
    <x v="2"/>
    <x v="17"/>
    <s v="Rage"/>
    <n v="0"/>
    <m/>
    <m/>
    <m/>
    <x v="0"/>
    <x v="0"/>
    <m/>
    <m/>
    <x v="4"/>
  </r>
  <r>
    <x v="4"/>
    <n v="3"/>
    <x v="2"/>
    <x v="2"/>
    <m/>
    <m/>
    <x v="9"/>
    <x v="0"/>
    <m/>
    <n v="1"/>
    <m/>
    <m/>
    <m/>
    <x v="0"/>
    <x v="0"/>
    <n v="20"/>
    <m/>
    <x v="28"/>
    <x v="4"/>
    <m/>
    <n v="1"/>
    <m/>
    <m/>
    <m/>
    <x v="0"/>
    <x v="0"/>
    <n v="20"/>
    <m/>
    <x v="26"/>
    <x v="3"/>
    <m/>
    <n v="1"/>
    <m/>
    <m/>
    <m/>
    <x v="0"/>
    <x v="0"/>
    <n v="20"/>
    <m/>
    <x v="4"/>
  </r>
  <r>
    <x v="4"/>
    <n v="3"/>
    <x v="18"/>
    <x v="3"/>
    <m/>
    <m/>
    <x v="48"/>
    <x v="4"/>
    <m/>
    <n v="1"/>
    <m/>
    <m/>
    <m/>
    <x v="0"/>
    <x v="0"/>
    <m/>
    <m/>
    <x v="29"/>
    <x v="1"/>
    <m/>
    <n v="1"/>
    <m/>
    <m/>
    <m/>
    <x v="0"/>
    <x v="0"/>
    <m/>
    <m/>
    <x v="0"/>
    <x v="6"/>
    <m/>
    <m/>
    <m/>
    <m/>
    <m/>
    <x v="0"/>
    <x v="0"/>
    <m/>
    <m/>
    <x v="4"/>
  </r>
  <r>
    <x v="4"/>
    <n v="3"/>
    <x v="18"/>
    <x v="3"/>
    <m/>
    <m/>
    <x v="49"/>
    <x v="3"/>
    <s v="Child fragment 2"/>
    <n v="1"/>
    <m/>
    <n v="37"/>
    <m/>
    <x v="2"/>
    <x v="0"/>
    <m/>
    <m/>
    <x v="0"/>
    <x v="6"/>
    <m/>
    <m/>
    <m/>
    <m/>
    <m/>
    <x v="0"/>
    <x v="0"/>
    <m/>
    <m/>
    <x v="0"/>
    <x v="6"/>
    <m/>
    <m/>
    <m/>
    <m/>
    <m/>
    <x v="0"/>
    <x v="0"/>
    <m/>
    <m/>
    <x v="4"/>
  </r>
  <r>
    <x v="4"/>
    <n v="3"/>
    <x v="1"/>
    <x v="2"/>
    <m/>
    <m/>
    <x v="20"/>
    <x v="20"/>
    <s v="Sacred Weapon"/>
    <n v="1"/>
    <m/>
    <n v="8"/>
    <m/>
    <x v="4"/>
    <x v="0"/>
    <m/>
    <m/>
    <x v="12"/>
    <x v="19"/>
    <s v="Sacred Weapon"/>
    <n v="0"/>
    <m/>
    <m/>
    <m/>
    <x v="0"/>
    <x v="0"/>
    <m/>
    <m/>
    <x v="16"/>
    <x v="17"/>
    <m/>
    <n v="1"/>
    <m/>
    <n v="14"/>
    <m/>
    <x v="4"/>
    <x v="0"/>
    <m/>
    <m/>
    <x v="4"/>
  </r>
  <r>
    <x v="4"/>
    <n v="3"/>
    <x v="4"/>
    <x v="2"/>
    <m/>
    <m/>
    <x v="16"/>
    <x v="20"/>
    <m/>
    <n v="1"/>
    <n v="1"/>
    <n v="18"/>
    <n v="12"/>
    <x v="1"/>
    <x v="3"/>
    <m/>
    <m/>
    <x v="24"/>
    <x v="19"/>
    <m/>
    <n v="0"/>
    <m/>
    <m/>
    <m/>
    <x v="0"/>
    <x v="0"/>
    <m/>
    <m/>
    <x v="27"/>
    <x v="6"/>
    <m/>
    <m/>
    <m/>
    <m/>
    <m/>
    <x v="0"/>
    <x v="0"/>
    <m/>
    <m/>
    <x v="4"/>
  </r>
  <r>
    <x v="4"/>
    <n v="3"/>
    <x v="0"/>
    <x v="2"/>
    <m/>
    <m/>
    <x v="5"/>
    <x v="20"/>
    <s v="Free Fighter"/>
    <n v="1"/>
    <m/>
    <n v="7"/>
    <m/>
    <x v="3"/>
    <x v="0"/>
    <m/>
    <m/>
    <x v="0"/>
    <x v="6"/>
    <m/>
    <m/>
    <m/>
    <m/>
    <m/>
    <x v="0"/>
    <x v="0"/>
    <m/>
    <m/>
    <x v="0"/>
    <x v="6"/>
    <m/>
    <m/>
    <m/>
    <m/>
    <m/>
    <x v="0"/>
    <x v="0"/>
    <m/>
    <m/>
    <x v="4"/>
  </r>
  <r>
    <x v="4"/>
    <n v="3"/>
    <x v="3"/>
    <x v="2"/>
    <m/>
    <m/>
    <x v="50"/>
    <x v="20"/>
    <m/>
    <n v="0"/>
    <m/>
    <m/>
    <m/>
    <x v="0"/>
    <x v="0"/>
    <m/>
    <m/>
    <x v="2"/>
    <x v="19"/>
    <m/>
    <n v="0"/>
    <m/>
    <m/>
    <m/>
    <x v="0"/>
    <x v="0"/>
    <m/>
    <m/>
    <x v="12"/>
    <x v="17"/>
    <m/>
    <n v="1"/>
    <m/>
    <n v="10"/>
    <m/>
    <x v="3"/>
    <x v="0"/>
    <m/>
    <m/>
    <x v="4"/>
  </r>
  <r>
    <x v="4"/>
    <n v="4"/>
    <x v="0"/>
    <x v="2"/>
    <m/>
    <m/>
    <x v="5"/>
    <x v="20"/>
    <s v="Rage"/>
    <n v="1"/>
    <m/>
    <n v="15"/>
    <m/>
    <x v="3"/>
    <x v="0"/>
    <m/>
    <m/>
    <x v="3"/>
    <x v="19"/>
    <s v="Rage"/>
    <n v="0"/>
    <m/>
    <m/>
    <m/>
    <x v="0"/>
    <x v="0"/>
    <m/>
    <m/>
    <x v="2"/>
    <x v="17"/>
    <s v="Rage"/>
    <n v="1"/>
    <m/>
    <n v="9"/>
    <m/>
    <x v="1"/>
    <x v="0"/>
    <m/>
    <m/>
    <x v="4"/>
  </r>
  <r>
    <x v="4"/>
    <n v="4"/>
    <x v="2"/>
    <x v="2"/>
    <m/>
    <m/>
    <x v="38"/>
    <x v="1"/>
    <m/>
    <n v="1"/>
    <m/>
    <n v="29"/>
    <m/>
    <x v="2"/>
    <x v="0"/>
    <m/>
    <n v="1"/>
    <x v="30"/>
    <x v="3"/>
    <m/>
    <n v="1"/>
    <m/>
    <m/>
    <m/>
    <x v="0"/>
    <x v="0"/>
    <n v="13"/>
    <m/>
    <x v="0"/>
    <x v="6"/>
    <m/>
    <m/>
    <m/>
    <m/>
    <m/>
    <x v="0"/>
    <x v="0"/>
    <m/>
    <m/>
    <x v="4"/>
  </r>
  <r>
    <x v="4"/>
    <n v="4"/>
    <x v="18"/>
    <x v="3"/>
    <m/>
    <m/>
    <x v="46"/>
    <x v="0"/>
    <m/>
    <n v="1"/>
    <m/>
    <n v="42"/>
    <m/>
    <x v="5"/>
    <x v="0"/>
    <m/>
    <m/>
    <x v="27"/>
    <x v="2"/>
    <m/>
    <n v="1"/>
    <m/>
    <n v="42"/>
    <m/>
    <x v="3"/>
    <x v="0"/>
    <m/>
    <m/>
    <x v="28"/>
    <x v="1"/>
    <m/>
    <n v="1"/>
    <n v="1"/>
    <n v="63"/>
    <m/>
    <x v="5"/>
    <x v="0"/>
    <m/>
    <n v="1"/>
    <x v="4"/>
  </r>
  <r>
    <x v="4"/>
    <n v="4"/>
    <x v="18"/>
    <x v="3"/>
    <m/>
    <m/>
    <x v="46"/>
    <x v="4"/>
    <m/>
    <n v="1"/>
    <m/>
    <n v="42"/>
    <m/>
    <x v="2"/>
    <x v="0"/>
    <m/>
    <m/>
    <x v="0"/>
    <x v="6"/>
    <m/>
    <m/>
    <m/>
    <m/>
    <m/>
    <x v="0"/>
    <x v="0"/>
    <m/>
    <m/>
    <x v="0"/>
    <x v="6"/>
    <m/>
    <m/>
    <m/>
    <m/>
    <m/>
    <x v="0"/>
    <x v="0"/>
    <m/>
    <m/>
    <x v="4"/>
  </r>
  <r>
    <x v="4"/>
    <n v="4"/>
    <x v="18"/>
    <x v="3"/>
    <m/>
    <m/>
    <x v="51"/>
    <x v="3"/>
    <m/>
    <n v="0"/>
    <m/>
    <m/>
    <m/>
    <x v="0"/>
    <x v="0"/>
    <m/>
    <m/>
    <x v="31"/>
    <x v="3"/>
    <m/>
    <n v="0"/>
    <m/>
    <m/>
    <m/>
    <x v="0"/>
    <x v="0"/>
    <m/>
    <m/>
    <x v="0"/>
    <x v="6"/>
    <m/>
    <m/>
    <m/>
    <m/>
    <m/>
    <x v="0"/>
    <x v="0"/>
    <m/>
    <m/>
    <x v="4"/>
  </r>
  <r>
    <x v="4"/>
    <n v="4"/>
    <x v="4"/>
    <x v="2"/>
    <m/>
    <m/>
    <x v="52"/>
    <x v="20"/>
    <m/>
    <n v="1"/>
    <m/>
    <n v="13"/>
    <m/>
    <x v="6"/>
    <x v="0"/>
    <m/>
    <m/>
    <x v="0"/>
    <x v="6"/>
    <m/>
    <m/>
    <m/>
    <m/>
    <m/>
    <x v="0"/>
    <x v="0"/>
    <m/>
    <m/>
    <x v="0"/>
    <x v="6"/>
    <m/>
    <m/>
    <m/>
    <m/>
    <m/>
    <x v="0"/>
    <x v="0"/>
    <m/>
    <m/>
    <x v="4"/>
  </r>
  <r>
    <x v="4"/>
    <n v="4"/>
    <x v="0"/>
    <x v="2"/>
    <m/>
    <m/>
    <x v="5"/>
    <x v="20"/>
    <s v="Rage"/>
    <n v="1"/>
    <m/>
    <n v="14"/>
    <m/>
    <x v="3"/>
    <x v="0"/>
    <m/>
    <m/>
    <x v="0"/>
    <x v="6"/>
    <m/>
    <m/>
    <m/>
    <m/>
    <m/>
    <x v="0"/>
    <x v="0"/>
    <m/>
    <m/>
    <x v="0"/>
    <x v="6"/>
    <m/>
    <m/>
    <m/>
    <m/>
    <m/>
    <x v="0"/>
    <x v="0"/>
    <m/>
    <m/>
    <x v="4"/>
  </r>
  <r>
    <x v="4"/>
    <n v="4"/>
    <x v="18"/>
    <x v="3"/>
    <m/>
    <m/>
    <x v="48"/>
    <x v="0"/>
    <m/>
    <n v="1"/>
    <m/>
    <m/>
    <m/>
    <x v="0"/>
    <x v="0"/>
    <m/>
    <m/>
    <x v="29"/>
    <x v="2"/>
    <m/>
    <n v="0"/>
    <m/>
    <m/>
    <m/>
    <x v="0"/>
    <x v="0"/>
    <m/>
    <m/>
    <x v="29"/>
    <x v="4"/>
    <m/>
    <n v="0"/>
    <m/>
    <m/>
    <m/>
    <x v="0"/>
    <x v="0"/>
    <m/>
    <m/>
    <x v="4"/>
  </r>
  <r>
    <x v="4"/>
    <n v="4"/>
    <x v="3"/>
    <x v="2"/>
    <m/>
    <m/>
    <x v="4"/>
    <x v="20"/>
    <m/>
    <n v="1"/>
    <m/>
    <n v="6"/>
    <n v="7"/>
    <x v="1"/>
    <x v="3"/>
    <m/>
    <m/>
    <x v="2"/>
    <x v="4"/>
    <m/>
    <n v="1"/>
    <n v="0"/>
    <n v="9"/>
    <m/>
    <x v="1"/>
    <x v="0"/>
    <m/>
    <m/>
    <x v="12"/>
    <x v="17"/>
    <m/>
    <n v="1"/>
    <m/>
    <n v="7"/>
    <m/>
    <x v="3"/>
    <x v="0"/>
    <m/>
    <m/>
    <x v="4"/>
  </r>
  <r>
    <x v="4"/>
    <n v="4"/>
    <x v="18"/>
    <x v="3"/>
    <m/>
    <m/>
    <x v="53"/>
    <x v="3"/>
    <m/>
    <n v="1"/>
    <m/>
    <n v="11"/>
    <m/>
    <x v="2"/>
    <x v="0"/>
    <m/>
    <m/>
    <x v="0"/>
    <x v="6"/>
    <m/>
    <m/>
    <m/>
    <m/>
    <m/>
    <x v="0"/>
    <x v="0"/>
    <m/>
    <m/>
    <x v="0"/>
    <x v="6"/>
    <m/>
    <m/>
    <m/>
    <m/>
    <m/>
    <x v="0"/>
    <x v="0"/>
    <m/>
    <m/>
    <x v="4"/>
  </r>
  <r>
    <x v="4"/>
    <n v="5"/>
    <x v="0"/>
    <x v="2"/>
    <m/>
    <m/>
    <x v="37"/>
    <x v="20"/>
    <s v="Rage"/>
    <n v="1"/>
    <m/>
    <n v="12"/>
    <m/>
    <x v="1"/>
    <x v="0"/>
    <m/>
    <m/>
    <x v="23"/>
    <x v="19"/>
    <m/>
    <n v="0"/>
    <m/>
    <m/>
    <m/>
    <x v="0"/>
    <x v="0"/>
    <m/>
    <m/>
    <x v="21"/>
    <x v="17"/>
    <s v="Rage"/>
    <n v="1"/>
    <m/>
    <n v="8"/>
    <m/>
    <x v="3"/>
    <x v="0"/>
    <m/>
    <m/>
    <x v="4"/>
  </r>
  <r>
    <x v="4"/>
    <n v="5"/>
    <x v="2"/>
    <x v="2"/>
    <m/>
    <m/>
    <x v="54"/>
    <x v="0"/>
    <m/>
    <n v="1"/>
    <m/>
    <m/>
    <m/>
    <x v="0"/>
    <x v="0"/>
    <n v="26"/>
    <m/>
    <x v="0"/>
    <x v="6"/>
    <m/>
    <m/>
    <m/>
    <m/>
    <m/>
    <x v="0"/>
    <x v="0"/>
    <m/>
    <m/>
    <x v="14"/>
    <x v="1"/>
    <m/>
    <n v="1"/>
    <m/>
    <m/>
    <m/>
    <x v="0"/>
    <x v="0"/>
    <n v="19"/>
    <m/>
    <x v="4"/>
  </r>
  <r>
    <x v="4"/>
    <n v="5"/>
    <x v="2"/>
    <x v="2"/>
    <m/>
    <m/>
    <x v="54"/>
    <x v="2"/>
    <m/>
    <n v="1"/>
    <m/>
    <m/>
    <m/>
    <x v="0"/>
    <x v="0"/>
    <n v="8"/>
    <m/>
    <x v="0"/>
    <x v="6"/>
    <m/>
    <m/>
    <m/>
    <m/>
    <m/>
    <x v="0"/>
    <x v="0"/>
    <m/>
    <m/>
    <x v="14"/>
    <x v="2"/>
    <m/>
    <n v="1"/>
    <m/>
    <m/>
    <m/>
    <x v="0"/>
    <x v="0"/>
    <n v="6"/>
    <m/>
    <x v="4"/>
  </r>
  <r>
    <x v="4"/>
    <n v="5"/>
    <x v="1"/>
    <x v="2"/>
    <m/>
    <m/>
    <x v="20"/>
    <x v="20"/>
    <s v="Sacred Weapon"/>
    <n v="1"/>
    <n v="1"/>
    <n v="17"/>
    <m/>
    <x v="4"/>
    <x v="0"/>
    <m/>
    <m/>
    <x v="12"/>
    <x v="19"/>
    <s v="Sacred Weapon"/>
    <n v="1"/>
    <m/>
    <n v="3"/>
    <m/>
    <x v="4"/>
    <x v="0"/>
    <m/>
    <m/>
    <x v="16"/>
    <x v="17"/>
    <m/>
    <n v="1"/>
    <m/>
    <n v="31"/>
    <m/>
    <x v="4"/>
    <x v="0"/>
    <m/>
    <m/>
    <x v="4"/>
  </r>
  <r>
    <x v="4"/>
    <n v="5"/>
    <x v="4"/>
    <x v="2"/>
    <m/>
    <m/>
    <x v="39"/>
    <x v="20"/>
    <m/>
    <n v="0"/>
    <m/>
    <m/>
    <m/>
    <x v="0"/>
    <x v="0"/>
    <m/>
    <m/>
    <x v="24"/>
    <x v="19"/>
    <m/>
    <n v="0"/>
    <m/>
    <m/>
    <m/>
    <x v="0"/>
    <x v="0"/>
    <m/>
    <m/>
    <x v="20"/>
    <x v="17"/>
    <m/>
    <n v="1"/>
    <m/>
    <n v="10"/>
    <m/>
    <x v="3"/>
    <x v="0"/>
    <m/>
    <n v="1"/>
    <x v="4"/>
  </r>
  <r>
    <x v="4"/>
    <n v="-1"/>
    <x v="1"/>
    <x v="2"/>
    <m/>
    <m/>
    <x v="20"/>
    <x v="2"/>
    <m/>
    <n v="1"/>
    <n v="1"/>
    <n v="18"/>
    <n v="55"/>
    <x v="4"/>
    <x v="4"/>
    <m/>
    <m/>
    <x v="0"/>
    <x v="6"/>
    <m/>
    <m/>
    <m/>
    <m/>
    <m/>
    <x v="0"/>
    <x v="0"/>
    <m/>
    <m/>
    <x v="0"/>
    <x v="6"/>
    <m/>
    <m/>
    <m/>
    <m/>
    <m/>
    <x v="0"/>
    <x v="0"/>
    <m/>
    <m/>
    <x v="4"/>
  </r>
  <r>
    <x v="4"/>
    <n v="-1"/>
    <x v="2"/>
    <x v="2"/>
    <m/>
    <m/>
    <x v="55"/>
    <x v="0"/>
    <m/>
    <n v="1"/>
    <m/>
    <m/>
    <m/>
    <x v="0"/>
    <x v="0"/>
    <n v="26"/>
    <m/>
    <x v="32"/>
    <x v="1"/>
    <m/>
    <n v="1"/>
    <m/>
    <m/>
    <m/>
    <x v="0"/>
    <x v="0"/>
    <n v="26"/>
    <m/>
    <x v="30"/>
    <x v="2"/>
    <m/>
    <m/>
    <m/>
    <m/>
    <m/>
    <x v="0"/>
    <x v="0"/>
    <n v="48"/>
    <m/>
    <x v="4"/>
  </r>
  <r>
    <x v="4"/>
    <n v="-1"/>
    <x v="2"/>
    <x v="2"/>
    <m/>
    <m/>
    <x v="55"/>
    <x v="3"/>
    <m/>
    <n v="1"/>
    <m/>
    <m/>
    <m/>
    <x v="0"/>
    <x v="0"/>
    <n v="26"/>
    <m/>
    <x v="32"/>
    <x v="4"/>
    <m/>
    <n v="1"/>
    <m/>
    <m/>
    <m/>
    <x v="0"/>
    <x v="0"/>
    <n v="26"/>
    <m/>
    <x v="0"/>
    <x v="6"/>
    <m/>
    <m/>
    <m/>
    <m/>
    <m/>
    <x v="0"/>
    <x v="0"/>
    <m/>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7758C8-3F3B-4416-A8B3-B38504EB6B0B}" name="Character_Selector"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X5:X12" firstHeaderRow="1" firstDataRow="1" firstDataCol="1" rowPageCount="1" colPageCount="1"/>
  <pivotFields count="43">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axis="axisRow" showAll="0">
      <items count="20">
        <item x="0"/>
        <item x="1"/>
        <item x="11"/>
        <item x="16"/>
        <item x="2"/>
        <item x="12"/>
        <item x="3"/>
        <item x="6"/>
        <item x="9"/>
        <item x="10"/>
        <item x="15"/>
        <item x="4"/>
        <item x="14"/>
        <item x="13"/>
        <item x="5"/>
        <item x="8"/>
        <item x="7"/>
        <item x="18"/>
        <item x="17"/>
        <item t="default"/>
      </items>
    </pivotField>
    <pivotField axis="axisPage"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2"/>
  </rowFields>
  <rowItems count="7">
    <i>
      <x/>
    </i>
    <i>
      <x v="1"/>
    </i>
    <i>
      <x v="4"/>
    </i>
    <i>
      <x v="6"/>
    </i>
    <i>
      <x v="11"/>
    </i>
    <i>
      <x v="14"/>
    </i>
    <i t="grand">
      <x/>
    </i>
  </rowItems>
  <colItems count="1">
    <i/>
  </colItems>
  <pageFields count="1">
    <pageField fld="3"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B0BF76-F25C-4EA1-BAED-13CD3EEA3D68}" name="PivotTable145" cacheId="0" applyNumberFormats="0" applyBorderFormats="0" applyFontFormats="0" applyPatternFormats="0" applyAlignmentFormats="0" applyWidthHeightFormats="1" dataCaption="Values" updatedVersion="7" minRefreshableVersion="3" useAutoFormatting="1" itemPrintTitles="1" createdVersion="7" indent="0" outline="1" outlineData="1" chartFormat="22">
  <location ref="DD35:DK43" firstHeaderRow="1" firstDataRow="2" firstDataCol="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multipleItemSelectionAllowed="1" showAll="0" insertBlankRow="1"/>
    <pivotField axis="axisRow" subtotalTop="0" showAll="0" insertBlankRow="1">
      <items count="20">
        <item h="1" x="7"/>
        <item x="0"/>
        <item x="1"/>
        <item h="1" x="11"/>
        <item h="1" x="16"/>
        <item x="2"/>
        <item h="1" x="12"/>
        <item x="3"/>
        <item h="1" x="18"/>
        <item h="1" x="6"/>
        <item h="1" x="9"/>
        <item h="1" x="10"/>
        <item h="1" x="15"/>
        <item x="4"/>
        <item h="1" x="14"/>
        <item h="1" x="13"/>
        <item x="5"/>
        <item h="1" x="8"/>
        <item h="1" x="17"/>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axis="axisCol" subtotalTop="0" showAll="0" insertBlankRow="1">
      <items count="19">
        <item x="0"/>
        <item x="1"/>
        <item x="2"/>
        <item x="3"/>
        <item h="1" x="17"/>
        <item h="1" x="9"/>
        <item h="1" x="16"/>
        <item h="1" x="7"/>
        <item h="1" x="13"/>
        <item h="1" x="10"/>
        <item h="1" x="11"/>
        <item h="1" x="15"/>
        <item x="4"/>
        <item h="1" x="8"/>
        <item h="1" x="14"/>
        <item h="1" x="12"/>
        <item x="5"/>
        <item h="1" x="6"/>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2"/>
  </rowFields>
  <rowItems count="7">
    <i>
      <x v="1"/>
    </i>
    <i>
      <x v="2"/>
    </i>
    <i>
      <x v="5"/>
    </i>
    <i>
      <x v="7"/>
    </i>
    <i>
      <x v="13"/>
    </i>
    <i>
      <x v="16"/>
    </i>
    <i t="grand">
      <x/>
    </i>
  </rowItems>
  <colFields count="1">
    <field x="29"/>
  </colFields>
  <colItems count="7">
    <i>
      <x/>
    </i>
    <i>
      <x v="1"/>
    </i>
    <i>
      <x v="2"/>
    </i>
    <i>
      <x v="3"/>
    </i>
    <i>
      <x v="12"/>
    </i>
    <i>
      <x v="16"/>
    </i>
    <i t="grand">
      <x/>
    </i>
  </colItems>
  <dataFields count="1">
    <dataField name="Sum of Healing 3" fld="3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96D35F-D461-4898-B58C-354AC55F71E6}" name="Dmg_Type_6" cacheId="0" applyNumberFormats="0" applyBorderFormats="0" applyFontFormats="0" applyPatternFormats="0" applyAlignmentFormats="0" applyWidthHeightFormats="1" dataCaption="Values" updatedVersion="8" minRefreshableVersion="3" useAutoFormatting="1" itemPrintTitles="1" createdVersion="7" indent="0" outline="1" outlineData="1" chartFormat="22">
  <location ref="AE6:AF8" firstHeaderRow="1" firstDataRow="1" firstDataCol="1" rowPageCount="1" colPageCount="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showAll="0" insertBlankRow="1"/>
    <pivotField subtotalTop="0" showAll="0" insertBlankRow="1">
      <items count="20">
        <item x="7"/>
        <item x="0"/>
        <item x="1"/>
        <item x="11"/>
        <item x="17"/>
        <item x="16"/>
        <item x="2"/>
        <item x="12"/>
        <item x="3"/>
        <item x="18"/>
        <item x="6"/>
        <item x="9"/>
        <item x="10"/>
        <item x="15"/>
        <item x="4"/>
        <item x="14"/>
        <item x="13"/>
        <item x="5"/>
        <item x="8"/>
        <item t="default"/>
      </items>
    </pivotField>
    <pivotField axis="axisPage" subtotalTop="0" showAll="0" insertBlankRow="1">
      <items count="5">
        <item x="2"/>
        <item x="1"/>
        <item x="0"/>
        <item x="3"/>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subtotalTop="0" showAll="0" insertBlankRow="1"/>
    <pivotField axis="axisRow" subtotalTop="0" showAll="0" insertBlankRow="1">
      <items count="2">
        <item x="0"/>
        <item t="default"/>
      </items>
    </pivotField>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36"/>
  </rowFields>
  <rowItems count="2">
    <i>
      <x/>
    </i>
    <i t="grand">
      <x/>
    </i>
  </rowItems>
  <colItems count="1">
    <i/>
  </colItems>
  <pageFields count="1">
    <pageField fld="3" item="0" hier="-1"/>
  </pageFields>
  <dataFields count="1">
    <dataField name="Sum of Dmg  6" fld="3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48C07C-0E85-4A2D-A3C8-236FC5412DBD}" name="PivotTable121" cacheId="0" applyNumberFormats="0" applyBorderFormats="0" applyFontFormats="0" applyPatternFormats="0" applyAlignmentFormats="0" applyWidthHeightFormats="1" dataCaption="Values" updatedVersion="7" minRefreshableVersion="3" useAutoFormatting="1" itemPrintTitles="1" createdVersion="7" indent="0" outline="1" outlineData="1" chartFormat="22">
  <location ref="CJ16:CL22" firstHeaderRow="0" firstDataRow="1" firstDataCol="1" rowPageCount="1" colPageCount="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multipleItemSelectionAllowed="1" showAll="0" insertBlankRow="1"/>
    <pivotField subtotalTop="0" showAll="0" insertBlankRow="1"/>
    <pivotField axis="axisPage" subtotalTop="0" showAll="0" insertBlankRow="1">
      <items count="5">
        <item x="2"/>
        <item x="1"/>
        <item x="3"/>
        <item x="0"/>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axis="axisRow" subtotalTop="0" showAll="0" insertBlankRow="1">
      <items count="19">
        <item x="0"/>
        <item x="1"/>
        <item x="2"/>
        <item x="3"/>
        <item h="1" x="17"/>
        <item h="1" x="9"/>
        <item h="1" x="16"/>
        <item h="1" x="7"/>
        <item h="1" x="13"/>
        <item h="1" x="10"/>
        <item h="1" x="11"/>
        <item h="1" x="15"/>
        <item x="4"/>
        <item h="1" x="8"/>
        <item h="1" x="14"/>
        <item h="1" x="12"/>
        <item x="5"/>
        <item h="1" x="6"/>
        <item t="default"/>
      </items>
    </pivotField>
    <pivotField subtotalTop="0" showAll="0" insertBlankRow="1"/>
    <pivotField subtotalTop="0" showAll="0" insertBlankRow="1"/>
    <pivotField subtotalTop="0" showAll="0" insertBlankRow="1"/>
    <pivotField dataField="1"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29"/>
  </rowFields>
  <rowItems count="6">
    <i>
      <x/>
    </i>
    <i>
      <x v="1"/>
    </i>
    <i>
      <x v="2"/>
    </i>
    <i>
      <x v="3"/>
    </i>
    <i>
      <x v="12"/>
    </i>
    <i t="grand">
      <x/>
    </i>
  </rowItems>
  <colFields count="1">
    <field x="-2"/>
  </colFields>
  <colItems count="2">
    <i>
      <x/>
    </i>
    <i i="1">
      <x v="1"/>
    </i>
  </colItems>
  <pageFields count="1">
    <pageField fld="3" item="0" hier="-1"/>
  </pageFields>
  <dataFields count="2">
    <dataField name="Sum of Dmg 5" fld="33" baseField="0" baseItem="0"/>
    <dataField name="Sum of Dmg  6" fld="3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9F25C0-338D-4607-BE9E-F5F8F60C53AC}" name="PivotTable126" cacheId="0" applyNumberFormats="0" applyBorderFormats="0" applyFontFormats="0" applyPatternFormats="0" applyAlignmentFormats="0" applyWidthHeightFormats="1" dataCaption="Values" updatedVersion="7" minRefreshableVersion="3" useAutoFormatting="1" itemPrintTitles="1" createdVersion="7" indent="0" outline="1" outlineData="1" chartFormat="22">
  <location ref="CB27:CD34" firstHeaderRow="0" firstDataRow="1" firstDataCol="1" rowPageCount="1" colPageCount="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multipleItemSelectionAllowed="1" showAll="0" insertBlankRow="1"/>
    <pivotField subtotalTop="0" showAll="0" insertBlankRow="1"/>
    <pivotField axis="axisPage" subtotalTop="0" showAll="0" insertBlankRow="1">
      <items count="5">
        <item x="2"/>
        <item x="1"/>
        <item x="3"/>
        <item x="0"/>
        <item t="default"/>
      </items>
    </pivotField>
    <pivotField subtotalTop="0" showAll="0" insertBlankRow="1"/>
    <pivotField subtotalTop="0" showAll="0" insertBlankRow="1"/>
    <pivotField subtotalTop="0" showAll="0" insertBlankRow="1"/>
    <pivotField axis="axisRow" subtotalTop="0" showAll="0" insertBlankRow="1">
      <items count="23">
        <item x="0"/>
        <item h="1" x="13"/>
        <item x="1"/>
        <item h="1" x="12"/>
        <item h="1" x="16"/>
        <item x="2"/>
        <item x="3"/>
        <item h="1" x="9"/>
        <item h="1" x="20"/>
        <item h="1" x="8"/>
        <item h="1" x="21"/>
        <item h="1" x="17"/>
        <item h="1" x="7"/>
        <item h="1" x="10"/>
        <item h="1" x="11"/>
        <item h="1" x="18"/>
        <item x="4"/>
        <item h="1" x="14"/>
        <item h="1" x="15"/>
        <item x="5"/>
        <item h="1" x="6"/>
        <item h="1" x="19"/>
        <item t="default"/>
      </items>
    </pivotField>
    <pivotField subtotalTop="0" showAll="0" insertBlankRow="1"/>
    <pivotField subtotalTop="0" showAll="0" insertBlankRow="1"/>
    <pivotField subtotalTop="0" showAll="0" insertBlankRow="1"/>
    <pivotField dataField="1"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7"/>
  </rowFields>
  <rowItems count="7">
    <i>
      <x/>
    </i>
    <i>
      <x v="2"/>
    </i>
    <i>
      <x v="5"/>
    </i>
    <i>
      <x v="6"/>
    </i>
    <i>
      <x v="16"/>
    </i>
    <i>
      <x v="19"/>
    </i>
    <i t="grand">
      <x/>
    </i>
  </rowItems>
  <colFields count="1">
    <field x="-2"/>
  </colFields>
  <colItems count="2">
    <i>
      <x/>
    </i>
    <i i="1">
      <x v="1"/>
    </i>
  </colItems>
  <pageFields count="1">
    <pageField fld="3" item="1" hier="-1"/>
  </pageFields>
  <dataFields count="2">
    <dataField name="Sum of Dmg" fld="11" baseField="0" baseItem="0"/>
    <dataField name="Sum of Dmg 2"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65C60D-2B24-4F4E-9F7D-F4C7904AFA82}" name="PivotTable138" cacheId="0" applyNumberFormats="0" applyBorderFormats="0" applyFontFormats="0" applyPatternFormats="0" applyAlignmentFormats="0" applyWidthHeightFormats="1" dataCaption="Values" updatedVersion="7" minRefreshableVersion="3" useAutoFormatting="1" itemPrintTitles="1" createdVersion="7" indent="0" outline="1" outlineData="1" chartFormat="22">
  <location ref="EL5:EM12" firstHeaderRow="1" firstDataRow="1" firstDataCol="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multipleItemSelectionAllowed="1"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axis="axisRow" subtotalTop="0" showAll="0" insertBlankRow="1">
      <items count="23">
        <item x="0"/>
        <item h="1" x="13"/>
        <item x="1"/>
        <item h="1" x="12"/>
        <item h="1" x="16"/>
        <item x="2"/>
        <item x="3"/>
        <item h="1" x="9"/>
        <item h="1" x="20"/>
        <item h="1" x="8"/>
        <item h="1" x="21"/>
        <item h="1" x="17"/>
        <item h="1" x="7"/>
        <item h="1" x="10"/>
        <item h="1" x="11"/>
        <item h="1" x="18"/>
        <item x="4"/>
        <item h="1" x="14"/>
        <item h="1" x="15"/>
        <item x="5"/>
        <item h="1" x="6"/>
        <item h="1" x="19"/>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7"/>
  </rowFields>
  <rowItems count="7">
    <i>
      <x/>
    </i>
    <i>
      <x v="2"/>
    </i>
    <i>
      <x v="5"/>
    </i>
    <i>
      <x v="6"/>
    </i>
    <i>
      <x v="16"/>
    </i>
    <i>
      <x v="19"/>
    </i>
    <i t="grand">
      <x/>
    </i>
  </rowItems>
  <colItems count="1">
    <i/>
  </colItems>
  <dataFields count="1">
    <dataField name="Sum of Kill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22CEF4-8EFD-4E96-87F6-D63BD35EE3C2}" name="Dmg_Action2" cacheId="0" applyNumberFormats="0" applyBorderFormats="0" applyFontFormats="0" applyPatternFormats="0" applyAlignmentFormats="0" applyWidthHeightFormats="1" dataCaption="Values" updatedVersion="8" minRefreshableVersion="3" useAutoFormatting="1" itemPrintTitles="1" createdVersion="7" indent="0" outline="1" outlineData="1" chartFormat="22">
  <location ref="BG6:BI28" firstHeaderRow="0" firstDataRow="1" firstDataCol="1" rowPageCount="1" colPageCount="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showAll="0" insertBlankRow="1"/>
    <pivotField subtotalTop="0" showAll="0" insertBlankRow="1">
      <items count="20">
        <item x="7"/>
        <item x="0"/>
        <item x="1"/>
        <item x="11"/>
        <item x="17"/>
        <item x="16"/>
        <item x="2"/>
        <item x="12"/>
        <item x="3"/>
        <item x="18"/>
        <item x="6"/>
        <item x="9"/>
        <item x="10"/>
        <item x="15"/>
        <item x="4"/>
        <item x="14"/>
        <item x="13"/>
        <item x="5"/>
        <item x="8"/>
        <item t="default"/>
      </items>
    </pivotField>
    <pivotField axis="axisPage" subtotalTop="0" showAll="0" insertBlankRow="1">
      <items count="5">
        <item x="2"/>
        <item x="1"/>
        <item x="0"/>
        <item x="3"/>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axis="axisRow" subtotalTop="0" showAll="0" insertBlankRow="1">
      <items count="34">
        <item x="14"/>
        <item x="24"/>
        <item x="22"/>
        <item x="8"/>
        <item x="27"/>
        <item x="4"/>
        <item x="31"/>
        <item x="19"/>
        <item x="7"/>
        <item x="23"/>
        <item x="11"/>
        <item x="12"/>
        <item x="29"/>
        <item x="21"/>
        <item x="10"/>
        <item x="2"/>
        <item x="3"/>
        <item x="26"/>
        <item x="6"/>
        <item x="1"/>
        <item x="20"/>
        <item x="9"/>
        <item x="17"/>
        <item x="13"/>
        <item x="15"/>
        <item x="0"/>
        <item x="28"/>
        <item x="30"/>
        <item x="32"/>
        <item x="18"/>
        <item x="16"/>
        <item x="5"/>
        <item x="25"/>
        <item t="default"/>
      </items>
    </pivotField>
    <pivotField subtotalTop="0" showAll="0" insertBlankRow="1"/>
    <pivotField subtotalTop="0" showAll="0" insertBlankRow="1"/>
    <pivotField subtotalTop="0" showAll="0" insertBlankRow="1"/>
    <pivotField subtotalTop="0" showAll="0" insertBlankRow="1"/>
    <pivotField dataField="1"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17"/>
  </rowFields>
  <rowItems count="22">
    <i>
      <x v="1"/>
    </i>
    <i>
      <x v="3"/>
    </i>
    <i>
      <x v="7"/>
    </i>
    <i>
      <x v="8"/>
    </i>
    <i>
      <x v="9"/>
    </i>
    <i>
      <x v="10"/>
    </i>
    <i>
      <x v="11"/>
    </i>
    <i>
      <x v="13"/>
    </i>
    <i>
      <x v="14"/>
    </i>
    <i>
      <x v="15"/>
    </i>
    <i>
      <x v="16"/>
    </i>
    <i>
      <x v="21"/>
    </i>
    <i>
      <x v="22"/>
    </i>
    <i>
      <x v="23"/>
    </i>
    <i>
      <x v="24"/>
    </i>
    <i>
      <x v="25"/>
    </i>
    <i>
      <x v="26"/>
    </i>
    <i>
      <x v="27"/>
    </i>
    <i>
      <x v="28"/>
    </i>
    <i>
      <x v="30"/>
    </i>
    <i>
      <x v="31"/>
    </i>
    <i t="grand">
      <x/>
    </i>
  </rowItems>
  <colFields count="1">
    <field x="-2"/>
  </colFields>
  <colItems count="2">
    <i>
      <x/>
    </i>
    <i i="1">
      <x v="1"/>
    </i>
  </colItems>
  <pageFields count="1">
    <pageField fld="3" item="0" hier="-1"/>
  </pageFields>
  <dataFields count="2">
    <dataField name="Sum of Dmg 3" fld="22" baseField="0" baseItem="0"/>
    <dataField name="Sum of Dmg 4"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FE340C8-6D22-47EC-AE25-0C68B723A329}" name="PivotTable144" cacheId="0" applyNumberFormats="0" applyBorderFormats="0" applyFontFormats="0" applyPatternFormats="0" applyAlignmentFormats="0" applyWidthHeightFormats="1" dataCaption="Values" updatedVersion="7" minRefreshableVersion="3" useAutoFormatting="1" itemPrintTitles="1" createdVersion="7" indent="0" outline="1" outlineData="1" chartFormat="22">
  <location ref="DD25:DK33" firstHeaderRow="1" firstDataRow="2" firstDataCol="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multipleItemSelectionAllowed="1" showAll="0" insertBlankRow="1"/>
    <pivotField axis="axisRow" subtotalTop="0" showAll="0" insertBlankRow="1">
      <items count="20">
        <item h="1" x="7"/>
        <item x="0"/>
        <item x="1"/>
        <item h="1" x="11"/>
        <item h="1" x="16"/>
        <item x="2"/>
        <item h="1" x="12"/>
        <item x="3"/>
        <item h="1" x="18"/>
        <item h="1" x="6"/>
        <item h="1" x="9"/>
        <item h="1" x="10"/>
        <item h="1" x="15"/>
        <item x="4"/>
        <item h="1" x="14"/>
        <item h="1" x="13"/>
        <item x="5"/>
        <item h="1" x="8"/>
        <item h="1" x="17"/>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axis="axisCol" subtotalTop="0" showAll="0" insertBlankRow="1">
      <items count="21">
        <item x="0"/>
        <item x="1"/>
        <item h="1" x="12"/>
        <item h="1" x="15"/>
        <item x="2"/>
        <item x="3"/>
        <item h="1" x="19"/>
        <item h="1" x="17"/>
        <item h="1" x="11"/>
        <item h="1" x="7"/>
        <item h="1" x="8"/>
        <item h="1" x="10"/>
        <item h="1" x="9"/>
        <item h="1" x="16"/>
        <item x="4"/>
        <item h="1" x="13"/>
        <item h="1" x="14"/>
        <item x="5"/>
        <item h="1" x="6"/>
        <item h="1" x="18"/>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2"/>
  </rowFields>
  <rowItems count="7">
    <i>
      <x v="1"/>
    </i>
    <i>
      <x v="2"/>
    </i>
    <i>
      <x v="5"/>
    </i>
    <i>
      <x v="7"/>
    </i>
    <i>
      <x v="13"/>
    </i>
    <i>
      <x v="16"/>
    </i>
    <i t="grand">
      <x/>
    </i>
  </rowItems>
  <colFields count="1">
    <field x="18"/>
  </colFields>
  <colItems count="7">
    <i>
      <x/>
    </i>
    <i>
      <x v="1"/>
    </i>
    <i>
      <x v="4"/>
    </i>
    <i>
      <x v="5"/>
    </i>
    <i>
      <x v="14"/>
    </i>
    <i>
      <x v="17"/>
    </i>
    <i t="grand">
      <x/>
    </i>
  </colItems>
  <dataFields count="1">
    <dataField name="Sum of Healing 2"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CA12563-6DB0-4969-9599-A80441405DB0}" name="Dmg_Action" cacheId="0" applyNumberFormats="0" applyBorderFormats="0" applyFontFormats="0" applyPatternFormats="0" applyAlignmentFormats="0" applyWidthHeightFormats="1" dataCaption="Values" updatedVersion="8" minRefreshableVersion="3" useAutoFormatting="1" itemPrintTitles="1" createdVersion="7" indent="0" outline="1" outlineData="1" chartFormat="22">
  <location ref="BC6:BE38" firstHeaderRow="0" firstDataRow="1" firstDataCol="1" rowPageCount="1" colPageCount="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showAll="0" insertBlankRow="1"/>
    <pivotField subtotalTop="0" showAll="0" insertBlankRow="1">
      <items count="20">
        <item x="7"/>
        <item x="0"/>
        <item x="1"/>
        <item x="11"/>
        <item x="17"/>
        <item x="16"/>
        <item x="2"/>
        <item x="12"/>
        <item x="3"/>
        <item x="18"/>
        <item x="6"/>
        <item x="9"/>
        <item x="10"/>
        <item x="15"/>
        <item x="4"/>
        <item x="14"/>
        <item x="13"/>
        <item x="5"/>
        <item x="8"/>
        <item t="default"/>
      </items>
    </pivotField>
    <pivotField axis="axisPage" subtotalTop="0" showAll="0" insertBlankRow="1">
      <items count="5">
        <item x="2"/>
        <item x="1"/>
        <item x="0"/>
        <item x="3"/>
        <item t="default"/>
      </items>
    </pivotField>
    <pivotField subtotalTop="0" showAll="0" insertBlankRow="1"/>
    <pivotField subtotalTop="0" showAll="0" insertBlankRow="1"/>
    <pivotField axis="axisRow" subtotalTop="0" showAll="0" insertBlankRow="1">
      <items count="57">
        <item x="9"/>
        <item x="49"/>
        <item x="39"/>
        <item x="41"/>
        <item x="13"/>
        <item x="19"/>
        <item x="17"/>
        <item x="7"/>
        <item x="54"/>
        <item x="46"/>
        <item x="24"/>
        <item x="6"/>
        <item x="51"/>
        <item x="50"/>
        <item x="52"/>
        <item x="26"/>
        <item x="10"/>
        <item x="37"/>
        <item x="30"/>
        <item x="18"/>
        <item x="22"/>
        <item x="28"/>
        <item x="20"/>
        <item x="48"/>
        <item x="36"/>
        <item x="23"/>
        <item x="38"/>
        <item x="16"/>
        <item x="4"/>
        <item x="21"/>
        <item x="5"/>
        <item x="25"/>
        <item x="1"/>
        <item x="11"/>
        <item x="44"/>
        <item x="15"/>
        <item x="29"/>
        <item x="35"/>
        <item x="34"/>
        <item x="12"/>
        <item x="8"/>
        <item x="40"/>
        <item x="27"/>
        <item x="2"/>
        <item x="0"/>
        <item x="47"/>
        <item x="53"/>
        <item x="55"/>
        <item x="14"/>
        <item x="31"/>
        <item x="3"/>
        <item x="45"/>
        <item x="32"/>
        <item x="33"/>
        <item x="42"/>
        <item x="43"/>
        <item t="default"/>
      </items>
    </pivotField>
    <pivotField subtotalTop="0" showAll="0" insertBlankRow="1"/>
    <pivotField subtotalTop="0" showAll="0" insertBlankRow="1"/>
    <pivotField subtotalTop="0" showAll="0" insertBlankRow="1"/>
    <pivotField subtotalTop="0" showAll="0" insertBlankRow="1"/>
    <pivotField dataField="1"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6"/>
  </rowFields>
  <rowItems count="32">
    <i>
      <x/>
    </i>
    <i>
      <x v="2"/>
    </i>
    <i>
      <x v="3"/>
    </i>
    <i>
      <x v="6"/>
    </i>
    <i>
      <x v="7"/>
    </i>
    <i>
      <x v="8"/>
    </i>
    <i>
      <x v="10"/>
    </i>
    <i>
      <x v="13"/>
    </i>
    <i>
      <x v="14"/>
    </i>
    <i>
      <x v="16"/>
    </i>
    <i>
      <x v="17"/>
    </i>
    <i>
      <x v="19"/>
    </i>
    <i>
      <x v="21"/>
    </i>
    <i>
      <x v="22"/>
    </i>
    <i>
      <x v="26"/>
    </i>
    <i>
      <x v="27"/>
    </i>
    <i>
      <x v="28"/>
    </i>
    <i>
      <x v="30"/>
    </i>
    <i>
      <x v="39"/>
    </i>
    <i>
      <x v="41"/>
    </i>
    <i>
      <x v="42"/>
    </i>
    <i>
      <x v="43"/>
    </i>
    <i>
      <x v="44"/>
    </i>
    <i>
      <x v="47"/>
    </i>
    <i>
      <x v="48"/>
    </i>
    <i>
      <x v="49"/>
    </i>
    <i>
      <x v="50"/>
    </i>
    <i>
      <x v="51"/>
    </i>
    <i>
      <x v="52"/>
    </i>
    <i>
      <x v="53"/>
    </i>
    <i>
      <x v="55"/>
    </i>
    <i t="grand">
      <x/>
    </i>
  </rowItems>
  <colFields count="1">
    <field x="-2"/>
  </colFields>
  <colItems count="2">
    <i>
      <x/>
    </i>
    <i i="1">
      <x v="1"/>
    </i>
  </colItems>
  <pageFields count="1">
    <pageField fld="3" item="0" hier="-1"/>
  </pageFields>
  <dataFields count="2">
    <dataField name="Sum of Dmg" fld="11" baseField="0" baseItem="0"/>
    <dataField name="Sum of Dmg 2"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AE9BA4F-3D2A-4807-B59D-5253A8CF7F54}" name="Dmg_Traeget3" cacheId="0" applyNumberFormats="0" applyBorderFormats="0" applyFontFormats="0" applyPatternFormats="0" applyAlignmentFormats="0" applyWidthHeightFormats="1" dataCaption="Values" updatedVersion="7" minRefreshableVersion="3" useAutoFormatting="1" itemPrintTitles="1" createdVersion="7" indent="0" outline="1" outlineData="1" chartFormat="22">
  <location ref="CJ5:CL12" firstHeaderRow="0" firstDataRow="1" firstDataCol="1" rowPageCount="1" colPageCount="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multipleItemSelectionAllowed="1" showAll="0" insertBlankRow="1"/>
    <pivotField subtotalTop="0" showAll="0" insertBlankRow="1"/>
    <pivotField axis="axisPage" subtotalTop="0" showAll="0" insertBlankRow="1">
      <items count="5">
        <item x="2"/>
        <item x="1"/>
        <item x="3"/>
        <item x="0"/>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axis="axisRow" subtotalTop="0" showAll="0" insertBlankRow="1">
      <items count="19">
        <item x="0"/>
        <item x="1"/>
        <item x="2"/>
        <item x="3"/>
        <item h="1" x="17"/>
        <item h="1" x="9"/>
        <item h="1" x="16"/>
        <item h="1" x="7"/>
        <item h="1" x="13"/>
        <item h="1" x="10"/>
        <item h="1" x="11"/>
        <item h="1" x="15"/>
        <item x="4"/>
        <item h="1" x="8"/>
        <item h="1" x="14"/>
        <item h="1" x="12"/>
        <item x="5"/>
        <item h="1" x="6"/>
        <item t="default"/>
      </items>
    </pivotField>
    <pivotField subtotalTop="0" showAll="0" insertBlankRow="1"/>
    <pivotField subtotalTop="0" showAll="0" insertBlankRow="1"/>
    <pivotField subtotalTop="0" showAll="0" insertBlankRow="1"/>
    <pivotField dataField="1"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29"/>
  </rowFields>
  <rowItems count="7">
    <i>
      <x/>
    </i>
    <i>
      <x v="1"/>
    </i>
    <i>
      <x v="2"/>
    </i>
    <i>
      <x v="3"/>
    </i>
    <i>
      <x v="12"/>
    </i>
    <i>
      <x v="16"/>
    </i>
    <i t="grand">
      <x/>
    </i>
  </rowItems>
  <colFields count="1">
    <field x="-2"/>
  </colFields>
  <colItems count="2">
    <i>
      <x/>
    </i>
    <i i="1">
      <x v="1"/>
    </i>
  </colItems>
  <pageFields count="1">
    <pageField fld="3" hier="-1"/>
  </pageFields>
  <dataFields count="2">
    <dataField name="Sum of Dmg 5" fld="33" baseField="0" baseItem="0"/>
    <dataField name="Sum of Dmg  6" fld="3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C3A4E2F-73C9-4598-BA95-CB028FAF1FAD}" name="PivotTable125" cacheId="0" applyNumberFormats="0" applyBorderFormats="0" applyFontFormats="0" applyPatternFormats="0" applyAlignmentFormats="0" applyWidthHeightFormats="1" dataCaption="Values" updatedVersion="7" minRefreshableVersion="3" useAutoFormatting="1" itemPrintTitles="1" createdVersion="7" indent="0" outline="1" outlineData="1" chartFormat="22">
  <location ref="CF27:CH33" firstHeaderRow="0" firstDataRow="1" firstDataCol="1" rowPageCount="1" colPageCount="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multipleItemSelectionAllowed="1" showAll="0" insertBlankRow="1"/>
    <pivotField subtotalTop="0" showAll="0" insertBlankRow="1"/>
    <pivotField axis="axisPage" subtotalTop="0" showAll="0" insertBlankRow="1">
      <items count="5">
        <item x="2"/>
        <item x="1"/>
        <item x="3"/>
        <item x="0"/>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axis="axisRow" subtotalTop="0" showAll="0" insertBlankRow="1">
      <items count="21">
        <item x="0"/>
        <item x="1"/>
        <item h="1" x="12"/>
        <item h="1" x="15"/>
        <item x="2"/>
        <item x="3"/>
        <item h="1" x="19"/>
        <item h="1" x="17"/>
        <item h="1" x="11"/>
        <item h="1" x="7"/>
        <item h="1" x="8"/>
        <item h="1" x="10"/>
        <item h="1" x="9"/>
        <item h="1" x="16"/>
        <item x="4"/>
        <item h="1" x="13"/>
        <item h="1" x="14"/>
        <item x="5"/>
        <item h="1" x="6"/>
        <item h="1" x="18"/>
        <item t="default"/>
      </items>
    </pivotField>
    <pivotField subtotalTop="0" showAll="0" insertBlankRow="1"/>
    <pivotField subtotalTop="0" showAll="0" insertBlankRow="1"/>
    <pivotField subtotalTop="0" showAll="0" insertBlankRow="1"/>
    <pivotField dataField="1"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18"/>
  </rowFields>
  <rowItems count="6">
    <i>
      <x/>
    </i>
    <i>
      <x v="1"/>
    </i>
    <i>
      <x v="4"/>
    </i>
    <i>
      <x v="14"/>
    </i>
    <i>
      <x v="17"/>
    </i>
    <i t="grand">
      <x/>
    </i>
  </rowItems>
  <colFields count="1">
    <field x="-2"/>
  </colFields>
  <colItems count="2">
    <i>
      <x/>
    </i>
    <i i="1">
      <x v="1"/>
    </i>
  </colItems>
  <pageFields count="1">
    <pageField fld="3" item="1" hier="-1"/>
  </pageFields>
  <dataFields count="2">
    <dataField name="Sum of Dmg 3" fld="22" baseField="0" baseItem="0"/>
    <dataField name="Sum of Dmg 4"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58496A6-9CBC-4D9E-9F3A-C3E3328F9967}" name="Kills_By_Char" cacheId="0" applyNumberFormats="0" applyBorderFormats="0" applyFontFormats="0" applyPatternFormats="0" applyAlignmentFormats="0" applyWidthHeightFormats="1" dataCaption="Values" updatedVersion="7" minRefreshableVersion="3" useAutoFormatting="1" itemPrintTitles="1" createdVersion="7" indent="0" outline="1" outlineData="1" chartFormat="22">
  <location ref="EC5:EF12" firstHeaderRow="0" firstDataRow="1" firstDataCol="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multipleItemSelectionAllowed="1" showAll="0" insertBlankRow="1"/>
    <pivotField axis="axisRow" subtotalTop="0" showAll="0" insertBlankRow="1">
      <items count="20">
        <item h="1" x="7"/>
        <item x="0"/>
        <item x="1"/>
        <item h="1" x="11"/>
        <item h="1" x="16"/>
        <item x="2"/>
        <item h="1" x="12"/>
        <item x="3"/>
        <item h="1" x="18"/>
        <item h="1" x="6"/>
        <item h="1" x="9"/>
        <item h="1" x="10"/>
        <item h="1" x="15"/>
        <item x="4"/>
        <item h="1" x="14"/>
        <item h="1" x="13"/>
        <item x="5"/>
        <item h="1" x="8"/>
        <item h="1" x="17"/>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2"/>
  </rowFields>
  <rowItems count="7">
    <i>
      <x v="1"/>
    </i>
    <i>
      <x v="2"/>
    </i>
    <i>
      <x v="5"/>
    </i>
    <i>
      <x v="7"/>
    </i>
    <i>
      <x v="13"/>
    </i>
    <i>
      <x v="16"/>
    </i>
    <i t="grand">
      <x/>
    </i>
  </rowItems>
  <colFields count="1">
    <field x="-2"/>
  </colFields>
  <colItems count="3">
    <i>
      <x/>
    </i>
    <i i="1">
      <x v="1"/>
    </i>
    <i i="2">
      <x v="2"/>
    </i>
  </colItems>
  <dataFields count="3">
    <dataField name="Sum of Kills" fld="16" baseField="0" baseItem="0"/>
    <dataField name="Sum of Kills 2" fld="27" baseField="0" baseItem="0"/>
    <dataField name="Sum of Kills 3" fld="3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ED5D629-178D-4459-B007-66A161DA2FC1}" name="Dmg_Type_2" cacheId="0" applyNumberFormats="0" applyBorderFormats="0" applyFontFormats="0" applyPatternFormats="0" applyAlignmentFormats="0" applyWidthHeightFormats="1" dataCaption="Values" updatedVersion="8" minRefreshableVersion="3" useAutoFormatting="1" itemPrintTitles="1" createdVersion="7" indent="0" outline="1" outlineData="1" chartFormat="22">
  <location ref="S6:T11" firstHeaderRow="1" firstDataRow="1" firstDataCol="1" rowPageCount="1" colPageCount="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showAll="0" insertBlankRow="1"/>
    <pivotField subtotalTop="0" showAll="0" insertBlankRow="1">
      <items count="20">
        <item x="7"/>
        <item x="0"/>
        <item x="1"/>
        <item x="11"/>
        <item x="17"/>
        <item x="16"/>
        <item x="2"/>
        <item x="12"/>
        <item x="3"/>
        <item x="18"/>
        <item x="6"/>
        <item x="9"/>
        <item x="10"/>
        <item x="15"/>
        <item x="4"/>
        <item x="14"/>
        <item x="13"/>
        <item x="5"/>
        <item x="8"/>
        <item t="default"/>
      </items>
    </pivotField>
    <pivotField axis="axisPage" subtotalTop="0" showAll="0" insertBlankRow="1">
      <items count="5">
        <item x="2"/>
        <item x="1"/>
        <item x="0"/>
        <item x="3"/>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subtotalTop="0" showAll="0" insertBlankRow="1"/>
    <pivotField axis="axisRow" subtotalTop="0" showAll="0" insertBlankRow="1">
      <items count="6">
        <item x="1"/>
        <item x="3"/>
        <item x="2"/>
        <item x="4"/>
        <item x="0"/>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14"/>
  </rowFields>
  <rowItems count="5">
    <i>
      <x v="1"/>
    </i>
    <i>
      <x v="2"/>
    </i>
    <i>
      <x v="3"/>
    </i>
    <i>
      <x v="4"/>
    </i>
    <i t="grand">
      <x/>
    </i>
  </rowItems>
  <colItems count="1">
    <i/>
  </colItems>
  <pageFields count="1">
    <pageField fld="3" item="0" hier="-1"/>
  </pageFields>
  <dataFields count="1">
    <dataField name="Sum of Dmg 2"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0EDEBB5-C0B4-4E90-93AC-59960C6ADBCF}" name="Dmg_Done_Character" cacheId="0" applyNumberFormats="0" applyBorderFormats="0" applyFontFormats="0" applyPatternFormats="0" applyAlignmentFormats="0" applyWidthHeightFormats="1" dataCaption="Values" updatedVersion="8" minRefreshableVersion="3" useAutoFormatting="1" itemPrintTitles="1" createdVersion="7" indent="0" outline="1" outlineData="1" chartFormat="22">
  <location ref="B5:I12" firstHeaderRow="0" firstDataRow="1" firstDataCol="1" rowPageCount="1" colPageCount="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showAll="0" insertBlankRow="1"/>
    <pivotField axis="axisRow" subtotalTop="0" showAll="0" insertBlankRow="1">
      <items count="20">
        <item x="0"/>
        <item x="1"/>
        <item x="11"/>
        <item x="16"/>
        <item x="2"/>
        <item x="12"/>
        <item x="3"/>
        <item x="6"/>
        <item x="9"/>
        <item x="10"/>
        <item x="15"/>
        <item x="4"/>
        <item x="14"/>
        <item x="13"/>
        <item x="5"/>
        <item x="8"/>
        <item x="7"/>
        <item x="18"/>
        <item x="17"/>
        <item t="default"/>
      </items>
    </pivotField>
    <pivotField axis="axisPage" subtotalTop="0" showAll="0" insertBlankRow="1">
      <items count="5">
        <item x="2"/>
        <item x="1"/>
        <item x="0"/>
        <item x="3"/>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2"/>
  </rowFields>
  <rowItems count="7">
    <i>
      <x/>
    </i>
    <i>
      <x v="1"/>
    </i>
    <i>
      <x v="4"/>
    </i>
    <i>
      <x v="6"/>
    </i>
    <i>
      <x v="11"/>
    </i>
    <i>
      <x v="14"/>
    </i>
    <i t="grand">
      <x/>
    </i>
  </rowItems>
  <colFields count="1">
    <field x="-2"/>
  </colFields>
  <colItems count="7">
    <i>
      <x/>
    </i>
    <i i="1">
      <x v="1"/>
    </i>
    <i i="2">
      <x v="2"/>
    </i>
    <i i="3">
      <x v="3"/>
    </i>
    <i i="4">
      <x v="4"/>
    </i>
    <i i="5">
      <x v="5"/>
    </i>
    <i i="6">
      <x v="6"/>
    </i>
  </colItems>
  <pageFields count="1">
    <pageField fld="3" item="0" hier="-1"/>
  </pageFields>
  <dataFields count="7">
    <dataField name="Sum of Dmg" fld="11" baseField="0" baseItem="0"/>
    <dataField name="Sum of Dmg 2" fld="12" baseField="0" baseItem="0"/>
    <dataField name="Sum of Dmg 3" fld="22" baseField="0" baseItem="0"/>
    <dataField name="Sum of Dmg 4" fld="23" baseField="0" baseItem="0"/>
    <dataField name="Sum of Dmg 5" fld="33" baseField="0" baseItem="0"/>
    <dataField name="Sum of Dmg  6" fld="34" baseField="0" baseItem="0"/>
    <dataField name="Sum of Total Dmg" fld="40" baseField="0" baseItem="0"/>
  </dataFields>
  <formats count="4">
    <format dxfId="135">
      <pivotArea field="3" type="button" dataOnly="0" labelOnly="1" outline="0" axis="axisPage" fieldPosition="0"/>
    </format>
    <format dxfId="134">
      <pivotArea field="2" type="button" dataOnly="0" labelOnly="1" outline="0" axis="axisRow" fieldPosition="0"/>
    </format>
    <format dxfId="133">
      <pivotArea dataOnly="0" labelOnly="1" fieldPosition="0">
        <references count="1">
          <reference field="2" count="6">
            <x v="0"/>
            <x v="1"/>
            <x v="4"/>
            <x v="6"/>
            <x v="11"/>
            <x v="14"/>
          </reference>
        </references>
      </pivotArea>
    </format>
    <format dxfId="132">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3430572-4427-4610-952C-70B746081C06}" name="Dmg_Location" cacheId="0" applyNumberFormats="0" applyBorderFormats="0" applyFontFormats="0" applyPatternFormats="0" applyAlignmentFormats="0" applyWidthHeightFormats="1" dataCaption="Values" updatedVersion="8" minRefreshableVersion="3" useAutoFormatting="1" itemPrintTitles="1" createdVersion="7" indent="0" outline="1" outlineData="1" chartFormat="22">
  <location ref="AN6:AU11" firstHeaderRow="0" firstDataRow="1" firstDataCol="1" rowPageCount="1" colPageCount="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showAll="0" insertBlankRow="1"/>
    <pivotField subtotalTop="0" showAll="0" insertBlankRow="1">
      <items count="20">
        <item x="7"/>
        <item x="0"/>
        <item x="1"/>
        <item x="11"/>
        <item x="17"/>
        <item x="16"/>
        <item x="2"/>
        <item x="12"/>
        <item x="3"/>
        <item x="18"/>
        <item x="6"/>
        <item x="9"/>
        <item x="10"/>
        <item x="15"/>
        <item x="4"/>
        <item x="14"/>
        <item x="13"/>
        <item x="5"/>
        <item x="8"/>
        <item t="default"/>
      </items>
    </pivotField>
    <pivotField axis="axisPage" subtotalTop="0" showAll="0" insertBlankRow="1">
      <items count="5">
        <item x="2"/>
        <item x="1"/>
        <item x="0"/>
        <item x="3"/>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axis="axisRow" subtotalTop="0" showAll="0" insertBlankRow="1">
      <items count="6">
        <item x="4"/>
        <item x="3"/>
        <item x="2"/>
        <item x="1"/>
        <item x="0"/>
        <item t="default"/>
      </items>
    </pivotField>
    <pivotField dataField="1"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39"/>
  </rowFields>
  <rowItems count="5">
    <i>
      <x/>
    </i>
    <i>
      <x v="1"/>
    </i>
    <i>
      <x v="2"/>
    </i>
    <i>
      <x v="3"/>
    </i>
    <i t="grand">
      <x/>
    </i>
  </rowItems>
  <colFields count="1">
    <field x="-2"/>
  </colFields>
  <colItems count="7">
    <i>
      <x/>
    </i>
    <i i="1">
      <x v="1"/>
    </i>
    <i i="2">
      <x v="2"/>
    </i>
    <i i="3">
      <x v="3"/>
    </i>
    <i i="4">
      <x v="4"/>
    </i>
    <i i="5">
      <x v="5"/>
    </i>
    <i i="6">
      <x v="6"/>
    </i>
  </colItems>
  <pageFields count="1">
    <pageField fld="3" item="0" hier="-1"/>
  </pageFields>
  <dataFields count="7">
    <dataField name="Sum of Dmg" fld="11" baseField="0" baseItem="0"/>
    <dataField name="Sum of Dmg 2" fld="12" baseField="0" baseItem="0"/>
    <dataField name="Sum of Dmg 3" fld="22" baseField="0" baseItem="0"/>
    <dataField name="Sum of Dmg 4" fld="23" baseField="0" baseItem="0"/>
    <dataField name="Sum of Dmg 5" fld="33" baseField="0" baseItem="0"/>
    <dataField name="Sum of Dmg  6" fld="34" baseField="0" baseItem="0"/>
    <dataField name="Sum of Total Dmg" fld="4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AE64ADE-AFEF-4F30-B219-9C3C414154B8}" name="PivotTable124" cacheId="0" applyNumberFormats="0" applyBorderFormats="0" applyFontFormats="0" applyPatternFormats="0" applyAlignmentFormats="0" applyWidthHeightFormats="1" dataCaption="Values" updatedVersion="7" minRefreshableVersion="3" useAutoFormatting="1" itemPrintTitles="1" createdVersion="7" indent="0" outline="1" outlineData="1" chartFormat="22">
  <location ref="CJ27:CL28" firstHeaderRow="0" firstDataRow="1" firstDataCol="1" rowPageCount="1" colPageCount="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multipleItemSelectionAllowed="1" showAll="0" insertBlankRow="1"/>
    <pivotField subtotalTop="0" showAll="0" insertBlankRow="1"/>
    <pivotField axis="axisPage" subtotalTop="0" showAll="0" insertBlankRow="1">
      <items count="5">
        <item x="2"/>
        <item x="1"/>
        <item x="3"/>
        <item x="0"/>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axis="axisRow" subtotalTop="0" showAll="0" insertBlankRow="1">
      <items count="19">
        <item x="0"/>
        <item x="1"/>
        <item x="2"/>
        <item x="3"/>
        <item h="1" x="17"/>
        <item h="1" x="9"/>
        <item h="1" x="16"/>
        <item h="1" x="7"/>
        <item h="1" x="13"/>
        <item h="1" x="10"/>
        <item h="1" x="11"/>
        <item h="1" x="15"/>
        <item x="4"/>
        <item h="1" x="8"/>
        <item h="1" x="14"/>
        <item h="1" x="12"/>
        <item x="5"/>
        <item h="1" x="6"/>
        <item t="default"/>
      </items>
    </pivotField>
    <pivotField subtotalTop="0" showAll="0" insertBlankRow="1"/>
    <pivotField subtotalTop="0" showAll="0" insertBlankRow="1"/>
    <pivotField subtotalTop="0" showAll="0" insertBlankRow="1"/>
    <pivotField dataField="1"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29"/>
  </rowFields>
  <rowItems count="1">
    <i t="grand">
      <x/>
    </i>
  </rowItems>
  <colFields count="1">
    <field x="-2"/>
  </colFields>
  <colItems count="2">
    <i>
      <x/>
    </i>
    <i i="1">
      <x v="1"/>
    </i>
  </colItems>
  <pageFields count="1">
    <pageField fld="3" item="1" hier="-1"/>
  </pageFields>
  <dataFields count="2">
    <dataField name="Sum of Dmg 5" fld="33" baseField="0" baseItem="0"/>
    <dataField name="Sum of Dmg  6" fld="3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5720A97-01A7-4F37-B3C5-6E4A11C5BEC8}" name="PivotTable129" cacheId="0" applyNumberFormats="0" applyBorderFormats="0" applyFontFormats="0" applyPatternFormats="0" applyAlignmentFormats="0" applyWidthHeightFormats="1" dataCaption="Values" updatedVersion="7" minRefreshableVersion="3" useAutoFormatting="1" itemPrintTitles="1" createdVersion="7" indent="0" outline="1" outlineData="1" chartFormat="22">
  <location ref="CB38:CD42" firstHeaderRow="0" firstDataRow="1" firstDataCol="1" rowPageCount="1" colPageCount="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multipleItemSelectionAllowed="1" showAll="0" insertBlankRow="1"/>
    <pivotField subtotalTop="0" showAll="0" insertBlankRow="1"/>
    <pivotField axis="axisPage" subtotalTop="0" showAll="0" insertBlankRow="1">
      <items count="5">
        <item x="2"/>
        <item x="1"/>
        <item x="3"/>
        <item x="0"/>
        <item t="default"/>
      </items>
    </pivotField>
    <pivotField subtotalTop="0" showAll="0" insertBlankRow="1"/>
    <pivotField subtotalTop="0" showAll="0" insertBlankRow="1"/>
    <pivotField subtotalTop="0" showAll="0" insertBlankRow="1"/>
    <pivotField axis="axisRow" subtotalTop="0" showAll="0" insertBlankRow="1">
      <items count="23">
        <item x="0"/>
        <item h="1" x="13"/>
        <item x="1"/>
        <item h="1" x="12"/>
        <item h="1" x="16"/>
        <item x="2"/>
        <item x="3"/>
        <item h="1" x="9"/>
        <item h="1" x="20"/>
        <item h="1" x="8"/>
        <item h="1" x="21"/>
        <item h="1" x="17"/>
        <item h="1" x="7"/>
        <item h="1" x="10"/>
        <item h="1" x="11"/>
        <item h="1" x="18"/>
        <item x="4"/>
        <item h="1" x="14"/>
        <item h="1" x="15"/>
        <item x="5"/>
        <item h="1" x="6"/>
        <item h="1" x="19"/>
        <item t="default"/>
      </items>
    </pivotField>
    <pivotField subtotalTop="0" showAll="0" insertBlankRow="1"/>
    <pivotField subtotalTop="0" showAll="0" insertBlankRow="1"/>
    <pivotField subtotalTop="0" showAll="0" insertBlankRow="1"/>
    <pivotField dataField="1"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7"/>
  </rowFields>
  <rowItems count="4">
    <i>
      <x/>
    </i>
    <i>
      <x v="6"/>
    </i>
    <i>
      <x v="16"/>
    </i>
    <i t="grand">
      <x/>
    </i>
  </rowItems>
  <colFields count="1">
    <field x="-2"/>
  </colFields>
  <colItems count="2">
    <i>
      <x/>
    </i>
    <i i="1">
      <x v="1"/>
    </i>
  </colItems>
  <pageFields count="1">
    <pageField fld="3" item="2" hier="-1"/>
  </pageFields>
  <dataFields count="2">
    <dataField name="Sum of Dmg" fld="11" baseField="0" baseItem="0"/>
    <dataField name="Sum of Dmg 2"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8B01933-C53E-461A-A33F-F2DAEDC0FC9E}" name="PivotTable141" cacheId="0" applyNumberFormats="0" applyBorderFormats="0" applyFontFormats="0" applyPatternFormats="0" applyAlignmentFormats="0" applyWidthHeightFormats="1" dataCaption="Values" updatedVersion="7" minRefreshableVersion="3" useAutoFormatting="1" itemPrintTitles="1" createdVersion="7" indent="0" outline="1" outlineData="1" chartFormat="22">
  <location ref="DD15:DK23" firstHeaderRow="1" firstDataRow="2" firstDataCol="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multipleItemSelectionAllowed="1" showAll="0" insertBlankRow="1"/>
    <pivotField axis="axisRow" subtotalTop="0" showAll="0" insertBlankRow="1">
      <items count="20">
        <item h="1" x="7"/>
        <item x="0"/>
        <item x="1"/>
        <item h="1" x="11"/>
        <item h="1" x="16"/>
        <item x="2"/>
        <item h="1" x="12"/>
        <item x="3"/>
        <item h="1" x="18"/>
        <item h="1" x="6"/>
        <item h="1" x="9"/>
        <item h="1" x="10"/>
        <item h="1" x="15"/>
        <item x="4"/>
        <item h="1" x="14"/>
        <item h="1" x="13"/>
        <item x="5"/>
        <item h="1" x="8"/>
        <item h="1" x="17"/>
        <item t="default"/>
      </items>
    </pivotField>
    <pivotField subtotalTop="0" showAll="0" insertBlankRow="1"/>
    <pivotField subtotalTop="0" showAll="0" insertBlankRow="1"/>
    <pivotField subtotalTop="0" showAll="0" insertBlankRow="1"/>
    <pivotField subtotalTop="0" showAll="0" insertBlankRow="1"/>
    <pivotField axis="axisCol" subtotalTop="0" showAll="0" insertBlankRow="1">
      <items count="23">
        <item x="0"/>
        <item h="1" x="13"/>
        <item x="1"/>
        <item h="1" x="12"/>
        <item h="1" x="16"/>
        <item x="2"/>
        <item x="3"/>
        <item h="1" x="9"/>
        <item h="1" x="20"/>
        <item h="1" x="8"/>
        <item h="1" x="21"/>
        <item h="1" x="17"/>
        <item h="1" x="7"/>
        <item h="1" x="10"/>
        <item h="1" x="11"/>
        <item h="1" x="18"/>
        <item x="4"/>
        <item h="1" x="14"/>
        <item h="1" x="15"/>
        <item x="5"/>
        <item h="1" x="6"/>
        <item h="1" x="19"/>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2"/>
  </rowFields>
  <rowItems count="7">
    <i>
      <x v="1"/>
    </i>
    <i>
      <x v="2"/>
    </i>
    <i>
      <x v="5"/>
    </i>
    <i>
      <x v="7"/>
    </i>
    <i>
      <x v="13"/>
    </i>
    <i>
      <x v="16"/>
    </i>
    <i t="grand">
      <x/>
    </i>
  </rowItems>
  <colFields count="1">
    <field x="7"/>
  </colFields>
  <colItems count="7">
    <i>
      <x/>
    </i>
    <i>
      <x v="2"/>
    </i>
    <i>
      <x v="5"/>
    </i>
    <i>
      <x v="6"/>
    </i>
    <i>
      <x v="16"/>
    </i>
    <i>
      <x v="19"/>
    </i>
    <i t="grand">
      <x/>
    </i>
  </colItems>
  <dataFields count="1">
    <dataField name="Sum of Healing"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CA1E65E-B57F-4557-9226-AE256C23D61D}" name="Dmg_Action3" cacheId="0" applyNumberFormats="0" applyBorderFormats="0" applyFontFormats="0" applyPatternFormats="0" applyAlignmentFormats="0" applyWidthHeightFormats="1" dataCaption="Values" updatedVersion="8" minRefreshableVersion="3" useAutoFormatting="1" itemPrintTitles="1" createdVersion="7" indent="0" outline="1" outlineData="1" chartFormat="22">
  <location ref="BK6:BM33" firstHeaderRow="0" firstDataRow="1" firstDataCol="1" rowPageCount="1" colPageCount="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showAll="0" insertBlankRow="1"/>
    <pivotField subtotalTop="0" showAll="0" insertBlankRow="1">
      <items count="20">
        <item x="7"/>
        <item x="0"/>
        <item x="1"/>
        <item x="11"/>
        <item x="17"/>
        <item x="16"/>
        <item x="2"/>
        <item x="12"/>
        <item x="3"/>
        <item x="18"/>
        <item x="6"/>
        <item x="9"/>
        <item x="10"/>
        <item x="15"/>
        <item x="4"/>
        <item x="14"/>
        <item x="13"/>
        <item x="5"/>
        <item x="8"/>
        <item t="default"/>
      </items>
    </pivotField>
    <pivotField axis="axisPage" subtotalTop="0" showAll="0" insertBlankRow="1">
      <items count="5">
        <item x="2"/>
        <item x="1"/>
        <item x="0"/>
        <item x="3"/>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axis="axisRow" subtotalTop="0" showAll="0" insertBlankRow="1">
      <items count="32">
        <item x="20"/>
        <item x="7"/>
        <item x="8"/>
        <item x="17"/>
        <item x="3"/>
        <item x="9"/>
        <item x="5"/>
        <item x="10"/>
        <item x="4"/>
        <item x="16"/>
        <item x="1"/>
        <item x="21"/>
        <item x="29"/>
        <item x="14"/>
        <item x="6"/>
        <item x="12"/>
        <item x="27"/>
        <item x="2"/>
        <item x="15"/>
        <item x="23"/>
        <item x="11"/>
        <item x="24"/>
        <item x="18"/>
        <item x="13"/>
        <item x="0"/>
        <item x="25"/>
        <item x="26"/>
        <item x="28"/>
        <item x="30"/>
        <item x="19"/>
        <item x="22"/>
        <item t="default"/>
      </items>
    </pivotField>
    <pivotField subtotalTop="0" showAll="0" insertBlankRow="1"/>
    <pivotField subtotalTop="0" showAll="0" insertBlankRow="1"/>
    <pivotField subtotalTop="0" showAll="0" insertBlankRow="1"/>
    <pivotField subtotalTop="0" showAll="0" insertBlankRow="1"/>
    <pivotField dataField="1"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28"/>
  </rowFields>
  <rowItems count="27">
    <i>
      <x/>
    </i>
    <i>
      <x v="1"/>
    </i>
    <i>
      <x v="2"/>
    </i>
    <i>
      <x v="3"/>
    </i>
    <i>
      <x v="4"/>
    </i>
    <i>
      <x v="5"/>
    </i>
    <i>
      <x v="7"/>
    </i>
    <i>
      <x v="8"/>
    </i>
    <i>
      <x v="9"/>
    </i>
    <i>
      <x v="10"/>
    </i>
    <i>
      <x v="11"/>
    </i>
    <i>
      <x v="13"/>
    </i>
    <i>
      <x v="14"/>
    </i>
    <i>
      <x v="15"/>
    </i>
    <i>
      <x v="16"/>
    </i>
    <i>
      <x v="17"/>
    </i>
    <i>
      <x v="18"/>
    </i>
    <i>
      <x v="21"/>
    </i>
    <i>
      <x v="22"/>
    </i>
    <i>
      <x v="23"/>
    </i>
    <i>
      <x v="24"/>
    </i>
    <i>
      <x v="25"/>
    </i>
    <i>
      <x v="26"/>
    </i>
    <i>
      <x v="28"/>
    </i>
    <i>
      <x v="29"/>
    </i>
    <i>
      <x v="30"/>
    </i>
    <i t="grand">
      <x/>
    </i>
  </rowItems>
  <colFields count="1">
    <field x="-2"/>
  </colFields>
  <colItems count="2">
    <i>
      <x/>
    </i>
    <i i="1">
      <x v="1"/>
    </i>
  </colItems>
  <pageFields count="1">
    <pageField fld="3" item="0" hier="-1"/>
  </pageFields>
  <dataFields count="2">
    <dataField name="Sum of Dmg 5" fld="33" baseField="0" baseItem="0"/>
    <dataField name="Sum of Dmg  6" fld="3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3EAA0DE-C754-45CA-B1D2-664D18C4C45C}" name="Dmg_Target2" cacheId="0" applyNumberFormats="0" applyBorderFormats="0" applyFontFormats="0" applyPatternFormats="0" applyAlignmentFormats="0" applyWidthHeightFormats="1" dataCaption="Values" updatedVersion="7" minRefreshableVersion="3" useAutoFormatting="1" itemPrintTitles="1" createdVersion="7" indent="0" outline="1" outlineData="1" chartFormat="22">
  <location ref="CF5:CH12" firstHeaderRow="0" firstDataRow="1" firstDataCol="1" rowPageCount="1" colPageCount="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multipleItemSelectionAllowed="1" showAll="0" insertBlankRow="1"/>
    <pivotField subtotalTop="0" showAll="0" insertBlankRow="1"/>
    <pivotField axis="axisPage" subtotalTop="0" showAll="0" insertBlankRow="1">
      <items count="5">
        <item x="2"/>
        <item x="1"/>
        <item x="3"/>
        <item x="0"/>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axis="axisRow" subtotalTop="0" showAll="0" insertBlankRow="1">
      <items count="21">
        <item x="0"/>
        <item x="1"/>
        <item h="1" x="12"/>
        <item h="1" x="15"/>
        <item x="2"/>
        <item x="3"/>
        <item h="1" x="19"/>
        <item h="1" x="17"/>
        <item h="1" x="11"/>
        <item h="1" x="7"/>
        <item h="1" x="8"/>
        <item h="1" x="10"/>
        <item h="1" x="9"/>
        <item h="1" x="16"/>
        <item x="4"/>
        <item h="1" x="13"/>
        <item h="1" x="14"/>
        <item x="5"/>
        <item h="1" x="6"/>
        <item h="1" x="18"/>
        <item t="default"/>
      </items>
    </pivotField>
    <pivotField subtotalTop="0" showAll="0" insertBlankRow="1"/>
    <pivotField subtotalTop="0" showAll="0" insertBlankRow="1"/>
    <pivotField subtotalTop="0" showAll="0" insertBlankRow="1"/>
    <pivotField dataField="1"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18"/>
  </rowFields>
  <rowItems count="7">
    <i>
      <x/>
    </i>
    <i>
      <x v="1"/>
    </i>
    <i>
      <x v="4"/>
    </i>
    <i>
      <x v="5"/>
    </i>
    <i>
      <x v="14"/>
    </i>
    <i>
      <x v="17"/>
    </i>
    <i t="grand">
      <x/>
    </i>
  </rowItems>
  <colFields count="1">
    <field x="-2"/>
  </colFields>
  <colItems count="2">
    <i>
      <x/>
    </i>
    <i i="1">
      <x v="1"/>
    </i>
  </colItems>
  <pageFields count="1">
    <pageField fld="3" hier="-1"/>
  </pageFields>
  <dataFields count="2">
    <dataField name="Sum of Dmg 3" fld="22" baseField="0" baseItem="0"/>
    <dataField name="Sum of Dmg 4"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32B0694-2C3E-48EA-A48D-71AEABDBD7F9}" name="PivotTable128" cacheId="0" applyNumberFormats="0" applyBorderFormats="0" applyFontFormats="0" applyPatternFormats="0" applyAlignmentFormats="0" applyWidthHeightFormats="1" dataCaption="Values" updatedVersion="7" minRefreshableVersion="3" useAutoFormatting="1" itemPrintTitles="1" createdVersion="7" indent="0" outline="1" outlineData="1" chartFormat="22">
  <location ref="CF38:CH43" firstHeaderRow="0" firstDataRow="1" firstDataCol="1" rowPageCount="1" colPageCount="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multipleItemSelectionAllowed="1" showAll="0" insertBlankRow="1"/>
    <pivotField subtotalTop="0" showAll="0" insertBlankRow="1"/>
    <pivotField axis="axisPage" subtotalTop="0" showAll="0" insertBlankRow="1">
      <items count="5">
        <item x="2"/>
        <item x="1"/>
        <item x="3"/>
        <item x="0"/>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axis="axisRow" subtotalTop="0" showAll="0" insertBlankRow="1">
      <items count="21">
        <item x="0"/>
        <item x="1"/>
        <item h="1" x="12"/>
        <item h="1" x="15"/>
        <item x="2"/>
        <item x="3"/>
        <item h="1" x="19"/>
        <item h="1" x="17"/>
        <item h="1" x="11"/>
        <item h="1" x="7"/>
        <item h="1" x="8"/>
        <item h="1" x="10"/>
        <item h="1" x="9"/>
        <item h="1" x="16"/>
        <item x="4"/>
        <item h="1" x="13"/>
        <item h="1" x="14"/>
        <item x="5"/>
        <item h="1" x="6"/>
        <item h="1" x="18"/>
        <item t="default"/>
      </items>
    </pivotField>
    <pivotField subtotalTop="0" showAll="0" insertBlankRow="1"/>
    <pivotField subtotalTop="0" showAll="0" insertBlankRow="1"/>
    <pivotField subtotalTop="0" showAll="0" insertBlankRow="1"/>
    <pivotField dataField="1"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18"/>
  </rowFields>
  <rowItems count="5">
    <i>
      <x/>
    </i>
    <i>
      <x v="1"/>
    </i>
    <i>
      <x v="4"/>
    </i>
    <i>
      <x v="5"/>
    </i>
    <i t="grand">
      <x/>
    </i>
  </rowItems>
  <colFields count="1">
    <field x="-2"/>
  </colFields>
  <colItems count="2">
    <i>
      <x/>
    </i>
    <i i="1">
      <x v="1"/>
    </i>
  </colItems>
  <pageFields count="1">
    <pageField fld="3" item="2" hier="-1"/>
  </pageFields>
  <dataFields count="2">
    <dataField name="Sum of Dmg 3" fld="22" baseField="0" baseItem="0"/>
    <dataField name="Sum of Dmg 4"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358E5E9-74B0-48DF-87A9-174CE8FF3CD0}" name="Dmg_Type_3" cacheId="0" applyNumberFormats="0" applyBorderFormats="0" applyFontFormats="0" applyPatternFormats="0" applyAlignmentFormats="0" applyWidthHeightFormats="1" dataCaption="Values" updatedVersion="8" minRefreshableVersion="3" useAutoFormatting="1" itemPrintTitles="1" createdVersion="7" indent="0" outline="1" outlineData="1" chartFormat="22">
  <location ref="V6:W12" firstHeaderRow="1" firstDataRow="1" firstDataCol="1" rowPageCount="1" colPageCount="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showAll="0" insertBlankRow="1"/>
    <pivotField subtotalTop="0" showAll="0" insertBlankRow="1">
      <items count="20">
        <item x="7"/>
        <item x="0"/>
        <item x="1"/>
        <item x="11"/>
        <item x="17"/>
        <item x="16"/>
        <item x="2"/>
        <item x="12"/>
        <item x="3"/>
        <item x="18"/>
        <item x="6"/>
        <item x="9"/>
        <item x="10"/>
        <item x="15"/>
        <item x="4"/>
        <item x="14"/>
        <item x="13"/>
        <item x="5"/>
        <item x="8"/>
        <item t="default"/>
      </items>
    </pivotField>
    <pivotField axis="axisPage" subtotalTop="0" showAll="0" insertBlankRow="1">
      <items count="5">
        <item x="2"/>
        <item x="1"/>
        <item x="0"/>
        <item x="3"/>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subtotalTop="0" showAll="0" insertBlankRow="1"/>
    <pivotField axis="axisRow" subtotalTop="0" showAll="0" insertBlankRow="1">
      <items count="7">
        <item x="1"/>
        <item x="5"/>
        <item x="3"/>
        <item x="2"/>
        <item x="4"/>
        <item x="0"/>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24"/>
  </rowFields>
  <rowItems count="6">
    <i>
      <x/>
    </i>
    <i>
      <x v="1"/>
    </i>
    <i>
      <x v="3"/>
    </i>
    <i>
      <x v="4"/>
    </i>
    <i>
      <x v="5"/>
    </i>
    <i t="grand">
      <x/>
    </i>
  </rowItems>
  <colItems count="1">
    <i/>
  </colItems>
  <pageFields count="1">
    <pageField fld="3" item="0" hier="-1"/>
  </pageFields>
  <dataFields count="1">
    <dataField name="Sum of Dmg 3"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310D3A9D-4002-4435-9555-3755FA0AF548}" name="Dmg_Type_4" cacheId="0" applyNumberFormats="0" applyBorderFormats="0" applyFontFormats="0" applyPatternFormats="0" applyAlignmentFormats="0" applyWidthHeightFormats="1" dataCaption="Values" updatedVersion="8" minRefreshableVersion="3" useAutoFormatting="1" itemPrintTitles="1" createdVersion="7" indent="0" outline="1" outlineData="1" chartFormat="22">
  <location ref="Y6:Z9" firstHeaderRow="1" firstDataRow="1" firstDataCol="1" rowPageCount="1" colPageCount="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showAll="0" insertBlankRow="1"/>
    <pivotField subtotalTop="0" showAll="0" insertBlankRow="1">
      <items count="20">
        <item x="7"/>
        <item x="0"/>
        <item x="1"/>
        <item x="11"/>
        <item x="17"/>
        <item x="16"/>
        <item x="2"/>
        <item x="12"/>
        <item x="3"/>
        <item x="18"/>
        <item x="6"/>
        <item x="9"/>
        <item x="10"/>
        <item x="15"/>
        <item x="4"/>
        <item x="14"/>
        <item x="13"/>
        <item x="5"/>
        <item x="8"/>
        <item t="default"/>
      </items>
    </pivotField>
    <pivotField axis="axisPage" subtotalTop="0" showAll="0" insertBlankRow="1">
      <items count="5">
        <item x="2"/>
        <item x="1"/>
        <item x="0"/>
        <item x="3"/>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subtotalTop="0" showAll="0" insertBlankRow="1"/>
    <pivotField axis="axisRow" subtotalTop="0" showAll="0" insertBlankRow="1">
      <items count="3">
        <item x="1"/>
        <item x="0"/>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25"/>
  </rowFields>
  <rowItems count="3">
    <i>
      <x/>
    </i>
    <i>
      <x v="1"/>
    </i>
    <i t="grand">
      <x/>
    </i>
  </rowItems>
  <colItems count="1">
    <i/>
  </colItems>
  <pageFields count="1">
    <pageField fld="3" item="0" hier="-1"/>
  </pageFields>
  <dataFields count="1">
    <dataField name="Sum of Dmg 4"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D22735B-3577-4F93-829D-6A8C37195A16}" name="PivotTable123" cacheId="0" applyNumberFormats="0" applyBorderFormats="0" applyFontFormats="0" applyPatternFormats="0" applyAlignmentFormats="0" applyWidthHeightFormats="1" dataCaption="Values" updatedVersion="7" minRefreshableVersion="3" useAutoFormatting="1" itemPrintTitles="1" createdVersion="7" indent="0" outline="1" outlineData="1" chartFormat="22">
  <location ref="CB16:CD23" firstHeaderRow="0" firstDataRow="1" firstDataCol="1" rowPageCount="1" colPageCount="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multipleItemSelectionAllowed="1" showAll="0" insertBlankRow="1"/>
    <pivotField subtotalTop="0" showAll="0" insertBlankRow="1"/>
    <pivotField axis="axisPage" subtotalTop="0" showAll="0" insertBlankRow="1">
      <items count="5">
        <item x="2"/>
        <item x="1"/>
        <item x="3"/>
        <item x="0"/>
        <item t="default"/>
      </items>
    </pivotField>
    <pivotField subtotalTop="0" showAll="0" insertBlankRow="1"/>
    <pivotField subtotalTop="0" showAll="0" insertBlankRow="1"/>
    <pivotField subtotalTop="0" showAll="0" insertBlankRow="1"/>
    <pivotField axis="axisRow" subtotalTop="0" showAll="0" insertBlankRow="1">
      <items count="23">
        <item x="0"/>
        <item h="1" x="13"/>
        <item x="1"/>
        <item h="1" x="12"/>
        <item h="1" x="16"/>
        <item x="2"/>
        <item x="3"/>
        <item h="1" x="9"/>
        <item h="1" x="20"/>
        <item h="1" x="8"/>
        <item h="1" x="21"/>
        <item h="1" x="17"/>
        <item h="1" x="7"/>
        <item h="1" x="10"/>
        <item h="1" x="11"/>
        <item h="1" x="18"/>
        <item x="4"/>
        <item h="1" x="14"/>
        <item h="1" x="15"/>
        <item x="5"/>
        <item h="1" x="6"/>
        <item h="1" x="19"/>
        <item t="default"/>
      </items>
    </pivotField>
    <pivotField subtotalTop="0" showAll="0" insertBlankRow="1"/>
    <pivotField subtotalTop="0" showAll="0" insertBlankRow="1"/>
    <pivotField subtotalTop="0" showAll="0" insertBlankRow="1"/>
    <pivotField dataField="1"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7"/>
  </rowFields>
  <rowItems count="7">
    <i>
      <x/>
    </i>
    <i>
      <x v="2"/>
    </i>
    <i>
      <x v="5"/>
    </i>
    <i>
      <x v="6"/>
    </i>
    <i>
      <x v="16"/>
    </i>
    <i>
      <x v="19"/>
    </i>
    <i t="grand">
      <x/>
    </i>
  </rowItems>
  <colFields count="1">
    <field x="-2"/>
  </colFields>
  <colItems count="2">
    <i>
      <x/>
    </i>
    <i i="1">
      <x v="1"/>
    </i>
  </colItems>
  <pageFields count="1">
    <pageField fld="3" item="0" hier="-1"/>
  </pageFields>
  <dataFields count="2">
    <dataField name="Sum of Dmg" fld="11" baseField="0" baseItem="0"/>
    <dataField name="Sum of Dmg 2"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7F41850E-E4E7-4DB2-8BE3-0B42FAF803D2}" name="PivotTable140" cacheId="0" applyNumberFormats="0" applyBorderFormats="0" applyFontFormats="0" applyPatternFormats="0" applyAlignmentFormats="0" applyWidthHeightFormats="1" dataCaption="Values" updatedVersion="7" minRefreshableVersion="3" useAutoFormatting="1" itemPrintTitles="1" createdVersion="7" indent="0" outline="1" outlineData="1" chartFormat="22">
  <location ref="ER5:ES12" firstHeaderRow="1" firstDataRow="1" firstDataCol="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multipleItemSelectionAllowed="1"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axis="axisRow" subtotalTop="0" showAll="0" insertBlankRow="1">
      <items count="19">
        <item x="0"/>
        <item x="1"/>
        <item x="2"/>
        <item x="3"/>
        <item h="1" x="17"/>
        <item h="1" x="9"/>
        <item h="1" x="16"/>
        <item h="1" x="7"/>
        <item h="1" x="13"/>
        <item h="1" x="10"/>
        <item h="1" x="11"/>
        <item h="1" x="15"/>
        <item x="4"/>
        <item h="1" x="8"/>
        <item h="1" x="14"/>
        <item h="1" x="12"/>
        <item x="5"/>
        <item h="1" x="6"/>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29"/>
  </rowFields>
  <rowItems count="7">
    <i>
      <x/>
    </i>
    <i>
      <x v="1"/>
    </i>
    <i>
      <x v="2"/>
    </i>
    <i>
      <x v="3"/>
    </i>
    <i>
      <x v="12"/>
    </i>
    <i>
      <x v="16"/>
    </i>
    <i t="grand">
      <x/>
    </i>
  </rowItems>
  <colItems count="1">
    <i/>
  </colItems>
  <dataFields count="1">
    <dataField name="Sum of Kills 3" fld="3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B3B2F36-7027-4509-AD61-DBCBD65A90FC}" name="Dmg_Type" cacheId="0" applyNumberFormats="0" applyBorderFormats="0" applyFontFormats="0" applyPatternFormats="0" applyAlignmentFormats="0" applyWidthHeightFormats="1" dataCaption="Values" updatedVersion="8" minRefreshableVersion="3" useAutoFormatting="1" itemPrintTitles="1" createdVersion="7" indent="0" outline="1" outlineData="1" chartFormat="22">
  <location ref="P6:Q13" firstHeaderRow="1" firstDataRow="1" firstDataCol="1" rowPageCount="1" colPageCount="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showAll="0" insertBlankRow="1"/>
    <pivotField subtotalTop="0" showAll="0" insertBlankRow="1">
      <items count="20">
        <item x="7"/>
        <item x="0"/>
        <item x="1"/>
        <item x="11"/>
        <item x="17"/>
        <item x="16"/>
        <item x="2"/>
        <item x="12"/>
        <item x="3"/>
        <item x="18"/>
        <item x="6"/>
        <item x="9"/>
        <item x="10"/>
        <item x="15"/>
        <item x="4"/>
        <item x="14"/>
        <item x="13"/>
        <item x="5"/>
        <item x="8"/>
        <item t="default"/>
      </items>
    </pivotField>
    <pivotField axis="axisPage" subtotalTop="0" showAll="0" insertBlankRow="1">
      <items count="5">
        <item x="2"/>
        <item x="1"/>
        <item x="0"/>
        <item x="3"/>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subtotalTop="0" showAll="0" insertBlankRow="1"/>
    <pivotField axis="axisRow" subtotalTop="0" showAll="0" insertBlankRow="1">
      <items count="8">
        <item x="1"/>
        <item x="6"/>
        <item x="5"/>
        <item x="2"/>
        <item x="3"/>
        <item x="4"/>
        <item x="0"/>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13"/>
  </rowFields>
  <rowItems count="7">
    <i>
      <x/>
    </i>
    <i>
      <x v="1"/>
    </i>
    <i>
      <x v="3"/>
    </i>
    <i>
      <x v="4"/>
    </i>
    <i>
      <x v="5"/>
    </i>
    <i>
      <x v="6"/>
    </i>
    <i t="grand">
      <x/>
    </i>
  </rowItems>
  <colItems count="1">
    <i/>
  </colItems>
  <pageFields count="1">
    <pageField fld="3" item="0" hier="-1"/>
  </pageFields>
  <dataFields count="1">
    <dataField name="Sum of Dmg"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4FD68D93-9EB8-4FE7-9021-B34126A568CB}" name="PivotTable127" cacheId="0" applyNumberFormats="0" applyBorderFormats="0" applyFontFormats="0" applyPatternFormats="0" applyAlignmentFormats="0" applyWidthHeightFormats="1" dataCaption="Values" updatedVersion="7" minRefreshableVersion="3" useAutoFormatting="1" itemPrintTitles="1" createdVersion="7" indent="0" outline="1" outlineData="1" chartFormat="22">
  <location ref="CJ38:CL42" firstHeaderRow="0" firstDataRow="1" firstDataCol="1" rowPageCount="1" colPageCount="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multipleItemSelectionAllowed="1" showAll="0" insertBlankRow="1"/>
    <pivotField subtotalTop="0" showAll="0" insertBlankRow="1"/>
    <pivotField axis="axisPage" subtotalTop="0" showAll="0" insertBlankRow="1">
      <items count="5">
        <item x="2"/>
        <item x="1"/>
        <item x="3"/>
        <item x="0"/>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axis="axisRow" subtotalTop="0" showAll="0" insertBlankRow="1">
      <items count="19">
        <item x="0"/>
        <item x="1"/>
        <item x="2"/>
        <item x="3"/>
        <item h="1" x="17"/>
        <item h="1" x="9"/>
        <item h="1" x="16"/>
        <item h="1" x="7"/>
        <item h="1" x="13"/>
        <item h="1" x="10"/>
        <item h="1" x="11"/>
        <item h="1" x="15"/>
        <item x="4"/>
        <item h="1" x="8"/>
        <item h="1" x="14"/>
        <item h="1" x="12"/>
        <item x="5"/>
        <item h="1" x="6"/>
        <item t="default"/>
      </items>
    </pivotField>
    <pivotField subtotalTop="0" showAll="0" insertBlankRow="1"/>
    <pivotField subtotalTop="0" showAll="0" insertBlankRow="1"/>
    <pivotField subtotalTop="0" showAll="0" insertBlankRow="1"/>
    <pivotField dataField="1"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29"/>
  </rowFields>
  <rowItems count="4">
    <i>
      <x/>
    </i>
    <i>
      <x v="1"/>
    </i>
    <i>
      <x v="12"/>
    </i>
    <i t="grand">
      <x/>
    </i>
  </rowItems>
  <colFields count="1">
    <field x="-2"/>
  </colFields>
  <colItems count="2">
    <i>
      <x/>
    </i>
    <i i="1">
      <x v="1"/>
    </i>
  </colItems>
  <pageFields count="1">
    <pageField fld="3" item="2" hier="-1"/>
  </pageFields>
  <dataFields count="2">
    <dataField name="Sum of Dmg 5" fld="33" baseField="0" baseItem="0"/>
    <dataField name="Sum of Dmg  6" fld="3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DF24C73-D44A-484C-AC3F-34356511BCF1}" name="PivotTable139" cacheId="0" applyNumberFormats="0" applyBorderFormats="0" applyFontFormats="0" applyPatternFormats="0" applyAlignmentFormats="0" applyWidthHeightFormats="1" dataCaption="Values" updatedVersion="7" minRefreshableVersion="3" useAutoFormatting="1" itemPrintTitles="1" createdVersion="7" indent="0" outline="1" outlineData="1" chartFormat="22">
  <location ref="EO5:EP12" firstHeaderRow="1" firstDataRow="1" firstDataCol="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multipleItemSelectionAllowed="1"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axis="axisRow" subtotalTop="0" showAll="0" insertBlankRow="1">
      <items count="21">
        <item x="0"/>
        <item x="1"/>
        <item h="1" x="12"/>
        <item h="1" x="15"/>
        <item x="2"/>
        <item x="3"/>
        <item h="1" x="19"/>
        <item h="1" x="17"/>
        <item h="1" x="11"/>
        <item h="1" x="7"/>
        <item h="1" x="8"/>
        <item h="1" x="10"/>
        <item h="1" x="9"/>
        <item h="1" x="16"/>
        <item x="4"/>
        <item h="1" x="13"/>
        <item h="1" x="14"/>
        <item x="5"/>
        <item h="1" x="6"/>
        <item h="1" x="18"/>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18"/>
  </rowFields>
  <rowItems count="7">
    <i>
      <x/>
    </i>
    <i>
      <x v="1"/>
    </i>
    <i>
      <x v="4"/>
    </i>
    <i>
      <x v="5"/>
    </i>
    <i>
      <x v="14"/>
    </i>
    <i>
      <x v="17"/>
    </i>
    <i t="grand">
      <x/>
    </i>
  </rowItems>
  <colItems count="1">
    <i/>
  </colItems>
  <dataFields count="1">
    <dataField name="Sum of Kills 2" fld="2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E6957DC9-F914-4D4E-88A4-12D1998FB2BD}" name="PivotTable146" cacheId="0" applyNumberFormats="0" applyBorderFormats="0" applyFontFormats="0" applyPatternFormats="0" applyAlignmentFormats="0" applyWidthHeightFormats="1" dataCaption="Values" updatedVersion="7" minRefreshableVersion="3" useAutoFormatting="1" itemPrintTitles="1" createdVersion="7" indent="0" outline="1" outlineData="1" chartFormat="22">
  <location ref="EY5:FB12" firstHeaderRow="0" firstDataRow="1" firstDataCol="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multipleItemSelectionAllowed="1" showAll="0" insertBlankRow="1"/>
    <pivotField axis="axisRow" subtotalTop="0" multipleItemSelectionAllowed="1" showAll="0" insertBlankRow="1">
      <items count="20">
        <item h="1" x="7"/>
        <item x="0"/>
        <item x="1"/>
        <item h="1" x="11"/>
        <item h="1" x="16"/>
        <item x="2"/>
        <item h="1" x="12"/>
        <item x="3"/>
        <item h="1" x="18"/>
        <item h="1" x="6"/>
        <item h="1" x="9"/>
        <item h="1" x="10"/>
        <item h="1" x="15"/>
        <item x="4"/>
        <item h="1" x="14"/>
        <item h="1" x="13"/>
        <item x="5"/>
        <item h="1" x="8"/>
        <item h="1" x="17"/>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2"/>
  </rowFields>
  <rowItems count="7">
    <i>
      <x v="1"/>
    </i>
    <i>
      <x v="2"/>
    </i>
    <i>
      <x v="5"/>
    </i>
    <i>
      <x v="7"/>
    </i>
    <i>
      <x v="13"/>
    </i>
    <i>
      <x v="16"/>
    </i>
    <i t="grand">
      <x/>
    </i>
  </rowItems>
  <colFields count="1">
    <field x="-2"/>
  </colFields>
  <colItems count="3">
    <i>
      <x/>
    </i>
    <i i="1">
      <x v="1"/>
    </i>
    <i i="2">
      <x v="2"/>
    </i>
  </colItems>
  <dataFields count="3">
    <dataField name="Sum of Crit" fld="10" baseField="0" baseItem="0"/>
    <dataField name="Sum of Crit 2" fld="21" baseField="0" baseItem="0"/>
    <dataField name="Sum of Crit 3" fld="3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A829CEAE-F22A-49B2-B0C5-06A3C7DD43CC}" name="Dmg_Type_5" cacheId="0" applyNumberFormats="0" applyBorderFormats="0" applyFontFormats="0" applyPatternFormats="0" applyAlignmentFormats="0" applyWidthHeightFormats="1" dataCaption="Values" updatedVersion="8" minRefreshableVersion="3" useAutoFormatting="1" itemPrintTitles="1" createdVersion="7" indent="0" outline="1" outlineData="1" chartFormat="22">
  <location ref="AB6:AC12" firstHeaderRow="1" firstDataRow="1" firstDataCol="1" rowPageCount="1" colPageCount="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showAll="0" insertBlankRow="1"/>
    <pivotField subtotalTop="0" showAll="0" insertBlankRow="1">
      <items count="20">
        <item x="7"/>
        <item x="0"/>
        <item x="1"/>
        <item x="11"/>
        <item x="17"/>
        <item x="16"/>
        <item x="2"/>
        <item x="12"/>
        <item x="3"/>
        <item x="18"/>
        <item x="6"/>
        <item x="9"/>
        <item x="10"/>
        <item x="15"/>
        <item x="4"/>
        <item x="14"/>
        <item x="13"/>
        <item x="5"/>
        <item x="8"/>
        <item t="default"/>
      </items>
    </pivotField>
    <pivotField axis="axisPage" subtotalTop="0" showAll="0" insertBlankRow="1">
      <items count="5">
        <item x="2"/>
        <item x="1"/>
        <item x="0"/>
        <item x="3"/>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dataField="1" subtotalTop="0" showAll="0" insertBlankRow="1"/>
    <pivotField subtotalTop="0" showAll="0" insertBlankRow="1"/>
    <pivotField axis="axisRow" subtotalTop="0" showAll="0" insertBlankRow="1">
      <items count="7">
        <item x="3"/>
        <item x="1"/>
        <item x="4"/>
        <item x="2"/>
        <item x="0"/>
        <item x="5"/>
        <item t="default"/>
      </items>
    </pivotField>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35"/>
  </rowFields>
  <rowItems count="6">
    <i>
      <x/>
    </i>
    <i>
      <x v="1"/>
    </i>
    <i>
      <x v="2"/>
    </i>
    <i>
      <x v="3"/>
    </i>
    <i>
      <x v="4"/>
    </i>
    <i t="grand">
      <x/>
    </i>
  </rowItems>
  <colItems count="1">
    <i/>
  </colItems>
  <pageFields count="1">
    <pageField fld="3" item="0" hier="-1"/>
  </pageFields>
  <dataFields count="1">
    <dataField name="Sum of Dmg 5" fld="3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D4DC92E0-D8FF-4F72-8E6A-1C59ECE5D4EE}" name="Dmg_Target" cacheId="0" applyNumberFormats="0" applyBorderFormats="0" applyFontFormats="0" applyPatternFormats="0" applyAlignmentFormats="0" applyWidthHeightFormats="1" dataCaption="Values" updatedVersion="7" minRefreshableVersion="3" useAutoFormatting="1" itemPrintTitles="1" createdVersion="7" indent="0" outline="1" outlineData="1" chartFormat="22">
  <location ref="CB5:CD12" firstHeaderRow="0" firstDataRow="1" firstDataCol="1" rowPageCount="1" colPageCount="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multipleItemSelectionAllowed="1" showAll="0" insertBlankRow="1"/>
    <pivotField subtotalTop="0" showAll="0" insertBlankRow="1"/>
    <pivotField axis="axisPage" subtotalTop="0" showAll="0" insertBlankRow="1">
      <items count="5">
        <item x="2"/>
        <item x="1"/>
        <item x="3"/>
        <item x="0"/>
        <item t="default"/>
      </items>
    </pivotField>
    <pivotField subtotalTop="0" showAll="0" insertBlankRow="1"/>
    <pivotField subtotalTop="0" showAll="0" insertBlankRow="1"/>
    <pivotField subtotalTop="0" showAll="0" insertBlankRow="1"/>
    <pivotField axis="axisRow" subtotalTop="0" showAll="0" insertBlankRow="1">
      <items count="23">
        <item x="0"/>
        <item h="1" x="13"/>
        <item x="1"/>
        <item h="1" x="12"/>
        <item h="1" x="16"/>
        <item x="2"/>
        <item x="3"/>
        <item h="1" x="9"/>
        <item h="1" x="20"/>
        <item h="1" x="8"/>
        <item h="1" x="21"/>
        <item h="1" x="17"/>
        <item h="1" x="7"/>
        <item h="1" x="10"/>
        <item h="1" x="11"/>
        <item h="1" x="18"/>
        <item x="4"/>
        <item h="1" x="14"/>
        <item h="1" x="15"/>
        <item x="5"/>
        <item h="1" x="6"/>
        <item h="1" x="19"/>
        <item t="default"/>
      </items>
    </pivotField>
    <pivotField subtotalTop="0" showAll="0" insertBlankRow="1"/>
    <pivotField subtotalTop="0" showAll="0" insertBlankRow="1"/>
    <pivotField subtotalTop="0" showAll="0" insertBlankRow="1"/>
    <pivotField dataField="1"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7"/>
  </rowFields>
  <rowItems count="7">
    <i>
      <x/>
    </i>
    <i>
      <x v="2"/>
    </i>
    <i>
      <x v="5"/>
    </i>
    <i>
      <x v="6"/>
    </i>
    <i>
      <x v="16"/>
    </i>
    <i>
      <x v="19"/>
    </i>
    <i t="grand">
      <x/>
    </i>
  </rowItems>
  <colFields count="1">
    <field x="-2"/>
  </colFields>
  <colItems count="2">
    <i>
      <x/>
    </i>
    <i i="1">
      <x v="1"/>
    </i>
  </colItems>
  <pageFields count="1">
    <pageField fld="3" hier="-1"/>
  </pageFields>
  <dataFields count="2">
    <dataField name="Sum of Dmg" fld="11" baseField="0" baseItem="0"/>
    <dataField name="Sum of Dmg 2"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71DB84F0-76F7-4421-BCD5-4F108C975529}" name="PivotTable122" cacheId="0" applyNumberFormats="0" applyBorderFormats="0" applyFontFormats="0" applyPatternFormats="0" applyAlignmentFormats="0" applyWidthHeightFormats="1" dataCaption="Values" updatedVersion="7" minRefreshableVersion="3" useAutoFormatting="1" itemPrintTitles="1" createdVersion="7" indent="0" outline="1" outlineData="1" chartFormat="22">
  <location ref="CF16:CH21" firstHeaderRow="0" firstDataRow="1" firstDataCol="1" rowPageCount="1" colPageCount="1"/>
  <pivotFields count="43">
    <pivotField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multipleItemSelectionAllowed="1" showAll="0" insertBlankRow="1"/>
    <pivotField subtotalTop="0" showAll="0" insertBlankRow="1"/>
    <pivotField axis="axisPage" subtotalTop="0" showAll="0" insertBlankRow="1">
      <items count="5">
        <item x="2"/>
        <item x="1"/>
        <item x="3"/>
        <item x="0"/>
        <item t="default"/>
      </items>
    </pivotField>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axis="axisRow" subtotalTop="0" showAll="0" insertBlankRow="1">
      <items count="21">
        <item x="0"/>
        <item x="1"/>
        <item h="1" x="12"/>
        <item h="1" x="15"/>
        <item x="2"/>
        <item x="3"/>
        <item h="1" x="19"/>
        <item h="1" x="17"/>
        <item h="1" x="11"/>
        <item h="1" x="7"/>
        <item h="1" x="8"/>
        <item h="1" x="10"/>
        <item h="1" x="9"/>
        <item h="1" x="16"/>
        <item x="4"/>
        <item h="1" x="13"/>
        <item h="1" x="14"/>
        <item x="5"/>
        <item h="1" x="6"/>
        <item h="1" x="18"/>
        <item t="default"/>
      </items>
    </pivotField>
    <pivotField subtotalTop="0" showAll="0" insertBlankRow="1"/>
    <pivotField subtotalTop="0" showAll="0" insertBlankRow="1"/>
    <pivotField subtotalTop="0" showAll="0" insertBlankRow="1"/>
    <pivotField dataField="1" subtotalTop="0" showAll="0" insertBlankRow="1"/>
    <pivotField dataField="1"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showAll="0" insertBlankRow="1"/>
    <pivotField subtotalTop="0" dragToRow="0" dragToCol="0" dragToPage="0" showAll="0" insertBlankRow="1" defaultSubtotal="0"/>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insertBlankRow="1" defaultSubtotal="0"/>
  </pivotFields>
  <rowFields count="1">
    <field x="18"/>
  </rowFields>
  <rowItems count="5">
    <i>
      <x v="1"/>
    </i>
    <i>
      <x v="4"/>
    </i>
    <i>
      <x v="5"/>
    </i>
    <i>
      <x v="14"/>
    </i>
    <i t="grand">
      <x/>
    </i>
  </rowItems>
  <colFields count="1">
    <field x="-2"/>
  </colFields>
  <colItems count="2">
    <i>
      <x/>
    </i>
    <i i="1">
      <x v="1"/>
    </i>
  </colItems>
  <pageFields count="1">
    <pageField fld="3" item="0" hier="-1"/>
  </pageFields>
  <dataFields count="2">
    <dataField name="Sum of Dmg 3" fld="22" baseField="0" baseItem="0"/>
    <dataField name="Sum of Dmg 4"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racter_name" xr10:uid="{F2C379C5-CC95-4CB2-8305-96D6F6B9F168}" sourceName="Character name">
  <pivotTables>
    <pivotTable tabId="5" name="Character_Selector"/>
    <pivotTable tabId="17" name="Dmg_Done_Character"/>
    <pivotTable tabId="17" name="Dmg_Type"/>
    <pivotTable tabId="17" name="Dmg_Type_2"/>
    <pivotTable tabId="17" name="Dmg_Type_3"/>
    <pivotTable tabId="17" name="Dmg_Type_4"/>
    <pivotTable tabId="17" name="Dmg_Type_5"/>
    <pivotTable tabId="17" name="Dmg_Type_6"/>
    <pivotTable tabId="17" name="Dmg_Location"/>
    <pivotTable tabId="17" name="Dmg_Action"/>
    <pivotTable tabId="17" name="Dmg_Action2"/>
    <pivotTable tabId="17" name="Dmg_Action3"/>
  </pivotTables>
  <data>
    <tabular pivotCacheId="1643960375">
      <items count="19">
        <i x="0" s="1"/>
        <i x="1" s="1"/>
        <i x="2" s="1"/>
        <i x="3" s="1"/>
        <i x="4" s="1"/>
        <i x="5" s="1"/>
        <i x="7" s="1" nd="1"/>
        <i x="11" s="1" nd="1"/>
        <i x="17" s="1" nd="1"/>
        <i x="16" s="1" nd="1"/>
        <i x="12" s="1" nd="1"/>
        <i x="18" s="1" nd="1"/>
        <i x="6" s="1" nd="1"/>
        <i x="9" s="1" nd="1"/>
        <i x="10" s="1" nd="1"/>
        <i x="15" s="1" nd="1"/>
        <i x="14" s="1" nd="1"/>
        <i x="13" s="1" nd="1"/>
        <i x="8"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racter name 1" xr10:uid="{1B08F146-952C-41A5-849F-8DCE0560A2C6}" cache="Slicer_Character_name" caption="Character_Selector" columnCount="6" showCaption="0" style="Slicer Style 1"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6B36AB-B1D0-4213-BCAA-BFF07384E97A}" name="Table1" displayName="Table1" ref="A2:AN231" totalsRowShown="0" headerRowDxfId="137">
  <autoFilter ref="A2:AN231" xr:uid="{CC6B36AB-B1D0-4213-BCAA-BFF07384E97A}"/>
  <tableColumns count="40">
    <tableColumn id="1" xr3:uid="{81252B09-632F-4169-A0FC-11E6AABF1DFC}" name="Session" dataDxfId="136"/>
    <tableColumn id="2" xr3:uid="{65C0AA2C-9483-4C74-A27D-E5A24398E932}" name="Turn"/>
    <tableColumn id="3" xr3:uid="{82575C93-69DF-496E-BC69-C0F3AF46043C}" name="Character name"/>
    <tableColumn id="4" xr3:uid="{0168E7F9-A5F9-4715-BCCF-286D5BAD0F34}" name="Ctype"/>
    <tableColumn id="5" xr3:uid="{C16798C1-5427-4A28-9D12-9348F1C17FBE}" name="Movement"/>
    <tableColumn id="6" xr3:uid="{F111A8CF-23D9-483C-AB9D-A7512EA0C02B}" name="Movment direction"/>
    <tableColumn id="7" xr3:uid="{A272B227-FFAF-4D79-A6B1-76655A63DF10}" name="Action"/>
    <tableColumn id="8" xr3:uid="{667C95DC-0A78-4B24-BFEF-FCB1AEDDC101}" name="Target "/>
    <tableColumn id="9" xr3:uid="{6D8351DE-F46A-4208-B70B-A7F9F2E6F47F}" name="Modifyer"/>
    <tableColumn id="10" xr3:uid="{839AF6EB-3F4E-4AF8-B417-69605D0EB6F0}" name="Hit/miss"/>
    <tableColumn id="39" xr3:uid="{598C0EF8-9CDD-428F-9C07-9B1A76B1E800}" name="Crit"/>
    <tableColumn id="11" xr3:uid="{A2927F9B-C8D4-48B8-8380-532FAF002159}" name="Dmg"/>
    <tableColumn id="12" xr3:uid="{046C5368-9F50-440F-AE95-84814D12CE98}" name="Dmg 2"/>
    <tableColumn id="13" xr3:uid="{9BD3D020-B2E3-45C3-A3A4-B3A4A20E9F28}" name="Dmg type"/>
    <tableColumn id="14" xr3:uid="{A652365A-ADBE-4060-947A-1B538D343B61}" name="Dmg type 2"/>
    <tableColumn id="15" xr3:uid="{39B7CEBD-1B78-4A82-B4D3-F50AF2F16177}" name="Healing"/>
    <tableColumn id="16" xr3:uid="{2A50726B-98AB-4785-A86F-A6CD646D342B}" name="Kills"/>
    <tableColumn id="17" xr3:uid="{8725E730-1576-4C0A-B2B9-09804B5B8011}" name="Action 2"/>
    <tableColumn id="18" xr3:uid="{B184600F-AB3D-4B52-9630-52F545E214B6}" name="Target 2"/>
    <tableColumn id="19" xr3:uid="{5007BA81-8702-4DF5-88DB-C688E981B33B}" name="Modifyer 2"/>
    <tableColumn id="20" xr3:uid="{76DFF390-519A-4DCB-9AA5-55536151886F}" name="Hit/miss 2"/>
    <tableColumn id="40" xr3:uid="{0C99327B-8898-494D-A65E-E437E22C88A8}" name="Crit 2"/>
    <tableColumn id="21" xr3:uid="{71D4FA22-29D1-4155-915F-B600B91362A8}" name="Dmg 3"/>
    <tableColumn id="22" xr3:uid="{6EFE53F1-4D8B-4CCE-9307-11D588B48659}" name="Dmg 4"/>
    <tableColumn id="23" xr3:uid="{2E0BAAD7-4307-4A91-BEBB-92E36A0BA84F}" name="Dmg type 3"/>
    <tableColumn id="24" xr3:uid="{79A6A3A8-4F52-4B5B-BE4B-0829795B1945}" name="Dmg type 4"/>
    <tableColumn id="25" xr3:uid="{B3BCE423-C4B2-42D0-A074-A43BEB62C0BE}" name="Healing 2"/>
    <tableColumn id="26" xr3:uid="{E97DE5B0-D9D7-4D7D-8A1A-B493B5AC5BE9}" name="Kills 2"/>
    <tableColumn id="27" xr3:uid="{37A45D07-2399-4237-BC0B-AD8386D4212A}" name="Bonus Action"/>
    <tableColumn id="28" xr3:uid="{78921981-869D-466B-9B7F-4DE17DA56B44}" name="Target 3"/>
    <tableColumn id="29" xr3:uid="{895A6073-35D2-4A4E-9F14-7206A692B823}" name="Modifyer 3"/>
    <tableColumn id="30" xr3:uid="{BEE8A1CF-4FCC-48F6-8E49-1E17592EF2F5}" name="Hit/miss 3"/>
    <tableColumn id="41" xr3:uid="{5DE01AED-6896-4F7C-AF93-3140DAB9A837}" name="Crit 3"/>
    <tableColumn id="31" xr3:uid="{DC30471D-975B-42A9-BA6F-CEA88D49DE43}" name="Dmg 5"/>
    <tableColumn id="32" xr3:uid="{E8EE2755-9051-4F11-9408-81A6E36635FB}" name="Dmg  6"/>
    <tableColumn id="33" xr3:uid="{EC9748BB-BCB4-4659-8430-0CCE1423BF7D}" name="Dmg type 5"/>
    <tableColumn id="34" xr3:uid="{AF1E2026-D65E-4B41-B757-325F042829DD}" name="Dmg type 6"/>
    <tableColumn id="35" xr3:uid="{19413ED7-3A02-483E-879D-EE4690DDF552}" name="Healing 3"/>
    <tableColumn id="36" xr3:uid="{CEC5CCD8-0819-4C09-ACA9-B0C495FA70A2}" name="Kills 3"/>
    <tableColumn id="37" xr3:uid="{52669CE6-C4F4-4690-BC57-C5562F0E4796}" name="Locatio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3" Type="http://schemas.openxmlformats.org/officeDocument/2006/relationships/pivotTable" Target="../pivotTables/pivotTable14.xml"/><Relationship Id="rId18" Type="http://schemas.openxmlformats.org/officeDocument/2006/relationships/pivotTable" Target="../pivotTables/pivotTable19.xml"/><Relationship Id="rId26" Type="http://schemas.openxmlformats.org/officeDocument/2006/relationships/pivotTable" Target="../pivotTables/pivotTable27.xml"/><Relationship Id="rId3" Type="http://schemas.openxmlformats.org/officeDocument/2006/relationships/pivotTable" Target="../pivotTables/pivotTable4.xml"/><Relationship Id="rId21" Type="http://schemas.openxmlformats.org/officeDocument/2006/relationships/pivotTable" Target="../pivotTables/pivotTable22.xml"/><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openxmlformats.org/officeDocument/2006/relationships/pivotTable" Target="../pivotTables/pivotTable18.xml"/><Relationship Id="rId25" Type="http://schemas.openxmlformats.org/officeDocument/2006/relationships/pivotTable" Target="../pivotTables/pivotTable26.xml"/><Relationship Id="rId33" Type="http://schemas.openxmlformats.org/officeDocument/2006/relationships/drawing" Target="../drawings/drawing2.xml"/><Relationship Id="rId2" Type="http://schemas.openxmlformats.org/officeDocument/2006/relationships/pivotTable" Target="../pivotTables/pivotTable3.xml"/><Relationship Id="rId16" Type="http://schemas.openxmlformats.org/officeDocument/2006/relationships/pivotTable" Target="../pivotTables/pivotTable17.xml"/><Relationship Id="rId20" Type="http://schemas.openxmlformats.org/officeDocument/2006/relationships/pivotTable" Target="../pivotTables/pivotTable21.xml"/><Relationship Id="rId29" Type="http://schemas.openxmlformats.org/officeDocument/2006/relationships/pivotTable" Target="../pivotTables/pivotTable30.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24" Type="http://schemas.openxmlformats.org/officeDocument/2006/relationships/pivotTable" Target="../pivotTables/pivotTable25.xml"/><Relationship Id="rId32" Type="http://schemas.openxmlformats.org/officeDocument/2006/relationships/printerSettings" Target="../printerSettings/printerSettings4.bin"/><Relationship Id="rId5" Type="http://schemas.openxmlformats.org/officeDocument/2006/relationships/pivotTable" Target="../pivotTables/pivotTable6.xml"/><Relationship Id="rId15" Type="http://schemas.openxmlformats.org/officeDocument/2006/relationships/pivotTable" Target="../pivotTables/pivotTable16.xml"/><Relationship Id="rId23" Type="http://schemas.openxmlformats.org/officeDocument/2006/relationships/pivotTable" Target="../pivotTables/pivotTable24.xml"/><Relationship Id="rId28" Type="http://schemas.openxmlformats.org/officeDocument/2006/relationships/pivotTable" Target="../pivotTables/pivotTable29.xml"/><Relationship Id="rId10" Type="http://schemas.openxmlformats.org/officeDocument/2006/relationships/pivotTable" Target="../pivotTables/pivotTable11.xml"/><Relationship Id="rId19" Type="http://schemas.openxmlformats.org/officeDocument/2006/relationships/pivotTable" Target="../pivotTables/pivotTable20.xml"/><Relationship Id="rId31" Type="http://schemas.openxmlformats.org/officeDocument/2006/relationships/pivotTable" Target="../pivotTables/pivotTable32.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 Id="rId22" Type="http://schemas.openxmlformats.org/officeDocument/2006/relationships/pivotTable" Target="../pivotTables/pivotTable23.xml"/><Relationship Id="rId27" Type="http://schemas.openxmlformats.org/officeDocument/2006/relationships/pivotTable" Target="../pivotTables/pivotTable28.xml"/><Relationship Id="rId30" Type="http://schemas.openxmlformats.org/officeDocument/2006/relationships/pivotTable" Target="../pivotTables/pivotTable31.xml"/><Relationship Id="rId8"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1048576"/>
  <sheetViews>
    <sheetView topLeftCell="A2" workbookViewId="0">
      <pane ySplit="1" topLeftCell="A3" activePane="bottomLeft" state="frozen"/>
      <selection activeCell="A2" sqref="A2"/>
      <selection pane="bottomLeft" activeCell="D27" sqref="D27"/>
    </sheetView>
  </sheetViews>
  <sheetFormatPr defaultRowHeight="14.4" outlineLevelCol="2" x14ac:dyDescent="0.3"/>
  <cols>
    <col min="1" max="1" width="10.5546875" bestFit="1" customWidth="1"/>
    <col min="2" max="2" width="4.33203125" customWidth="1"/>
    <col min="3" max="3" width="14.44140625" bestFit="1" customWidth="1"/>
    <col min="4" max="4" width="5.88671875" bestFit="1" customWidth="1"/>
    <col min="5" max="5" width="10.33203125" bestFit="1" customWidth="1"/>
    <col min="6" max="6" width="17.44140625" bestFit="1" customWidth="1"/>
    <col min="7" max="7" width="21.77734375" bestFit="1" customWidth="1"/>
    <col min="8" max="8" width="14.44140625" customWidth="1" outlineLevel="1"/>
    <col min="9" max="9" width="9.77734375" customWidth="1" outlineLevel="1"/>
    <col min="10" max="10" width="7.88671875" customWidth="1" outlineLevel="1"/>
    <col min="11" max="11" width="11.77734375" customWidth="1" outlineLevel="1"/>
    <col min="12" max="12" width="6.33203125" customWidth="1" outlineLevel="1"/>
    <col min="13" max="13" width="9.77734375" customWidth="1" outlineLevel="1"/>
    <col min="14" max="14" width="10.5546875" customWidth="1" outlineLevel="1"/>
    <col min="15" max="15" width="7.21875" customWidth="1" outlineLevel="1"/>
    <col min="16" max="16" width="4.21875" customWidth="1" outlineLevel="1"/>
    <col min="17" max="17" width="21.77734375" bestFit="1" customWidth="1"/>
    <col min="18" max="18" width="19.33203125" customWidth="1" outlineLevel="1"/>
    <col min="19" max="19" width="8.77734375" customWidth="1" outlineLevel="2"/>
    <col min="20" max="20" width="7.88671875" customWidth="1" outlineLevel="2"/>
    <col min="21" max="21" width="8.5546875" customWidth="1" outlineLevel="2"/>
    <col min="22" max="22" width="7.88671875" customWidth="1" outlineLevel="2"/>
    <col min="23" max="23" width="10.21875" customWidth="1" outlineLevel="2"/>
    <col min="24" max="26" width="8.88671875" customWidth="1" outlineLevel="2"/>
    <col min="27" max="27" width="20.5546875" customWidth="1"/>
    <col min="28" max="28" width="14.44140625" customWidth="1" outlineLevel="1"/>
    <col min="29" max="31" width="8.88671875" customWidth="1" outlineLevel="1"/>
    <col min="32" max="32" width="9.33203125" customWidth="1" outlineLevel="1"/>
    <col min="33" max="36" width="8.88671875" customWidth="1" outlineLevel="1"/>
    <col min="37" max="37" width="11.33203125" bestFit="1" customWidth="1"/>
    <col min="41" max="41" width="12.109375" bestFit="1" customWidth="1"/>
  </cols>
  <sheetData>
    <row r="1" spans="1:42" x14ac:dyDescent="0.3">
      <c r="A1">
        <v>51</v>
      </c>
      <c r="AG1" s="2" t="s">
        <v>7</v>
      </c>
    </row>
    <row r="2" spans="1:42" s="1" customFormat="1" x14ac:dyDescent="0.3">
      <c r="A2" s="2" t="s">
        <v>0</v>
      </c>
      <c r="B2" s="2" t="s">
        <v>1</v>
      </c>
      <c r="C2" s="2" t="s">
        <v>2</v>
      </c>
      <c r="D2" s="2" t="s">
        <v>3</v>
      </c>
      <c r="E2" s="2" t="s">
        <v>4</v>
      </c>
      <c r="F2" s="2" t="s">
        <v>5</v>
      </c>
      <c r="G2" s="2" t="s">
        <v>6</v>
      </c>
      <c r="H2" s="2" t="s">
        <v>9</v>
      </c>
      <c r="I2" s="2" t="s">
        <v>89</v>
      </c>
      <c r="J2" s="2" t="s">
        <v>10</v>
      </c>
      <c r="K2" s="2" t="s">
        <v>11</v>
      </c>
      <c r="L2" s="2" t="s">
        <v>17</v>
      </c>
      <c r="M2" s="2" t="s">
        <v>19</v>
      </c>
      <c r="N2" s="2" t="s">
        <v>18</v>
      </c>
      <c r="O2" s="2" t="s">
        <v>13</v>
      </c>
      <c r="P2" s="2" t="s">
        <v>15</v>
      </c>
      <c r="Q2" s="2" t="s">
        <v>16</v>
      </c>
      <c r="R2" s="2" t="s">
        <v>9</v>
      </c>
      <c r="S2" s="2" t="s">
        <v>89</v>
      </c>
      <c r="T2" s="2" t="s">
        <v>10</v>
      </c>
      <c r="U2" s="2" t="s">
        <v>11</v>
      </c>
      <c r="V2" s="2" t="s">
        <v>17</v>
      </c>
      <c r="W2" s="2" t="s">
        <v>12</v>
      </c>
      <c r="X2" s="2" t="s">
        <v>18</v>
      </c>
      <c r="Y2" s="2" t="s">
        <v>13</v>
      </c>
      <c r="Z2" s="2" t="s">
        <v>15</v>
      </c>
      <c r="AA2" s="2" t="s">
        <v>28</v>
      </c>
      <c r="AB2" s="2" t="s">
        <v>9</v>
      </c>
      <c r="AC2" s="2" t="s">
        <v>89</v>
      </c>
      <c r="AD2" s="2" t="s">
        <v>10</v>
      </c>
      <c r="AE2" s="2" t="s">
        <v>11</v>
      </c>
      <c r="AF2" s="2" t="s">
        <v>17</v>
      </c>
      <c r="AG2" s="2" t="s">
        <v>12</v>
      </c>
      <c r="AH2" s="2" t="s">
        <v>18</v>
      </c>
      <c r="AI2" s="2" t="s">
        <v>13</v>
      </c>
      <c r="AJ2" s="2" t="s">
        <v>15</v>
      </c>
      <c r="AK2" s="2" t="s">
        <v>20</v>
      </c>
      <c r="AO2" s="2" t="s">
        <v>51</v>
      </c>
    </row>
    <row r="3" spans="1:42" x14ac:dyDescent="0.3">
      <c r="A3" s="3">
        <v>44485</v>
      </c>
      <c r="B3">
        <v>1</v>
      </c>
      <c r="C3" t="s">
        <v>21</v>
      </c>
      <c r="D3">
        <v>1</v>
      </c>
      <c r="E3">
        <v>25</v>
      </c>
      <c r="F3" t="s">
        <v>14</v>
      </c>
      <c r="G3" t="s">
        <v>22</v>
      </c>
      <c r="H3" t="s">
        <v>23</v>
      </c>
      <c r="J3">
        <v>1</v>
      </c>
      <c r="K3">
        <v>10</v>
      </c>
      <c r="M3" t="s">
        <v>25</v>
      </c>
      <c r="Q3" t="s">
        <v>24</v>
      </c>
      <c r="R3" t="s">
        <v>26</v>
      </c>
      <c r="T3">
        <v>1</v>
      </c>
      <c r="U3">
        <v>6</v>
      </c>
      <c r="W3" t="s">
        <v>25</v>
      </c>
      <c r="AK3" t="s">
        <v>27</v>
      </c>
    </row>
    <row r="4" spans="1:42" x14ac:dyDescent="0.3">
      <c r="A4" s="3">
        <v>44485</v>
      </c>
      <c r="B4">
        <v>1</v>
      </c>
      <c r="C4" t="s">
        <v>23</v>
      </c>
      <c r="D4">
        <v>0</v>
      </c>
      <c r="E4">
        <v>10</v>
      </c>
      <c r="F4" t="s">
        <v>29</v>
      </c>
      <c r="G4" t="s">
        <v>30</v>
      </c>
      <c r="AK4" t="s">
        <v>27</v>
      </c>
    </row>
    <row r="5" spans="1:42" x14ac:dyDescent="0.3">
      <c r="A5" s="3">
        <v>44485</v>
      </c>
      <c r="B5">
        <v>1</v>
      </c>
      <c r="C5" t="s">
        <v>31</v>
      </c>
      <c r="D5">
        <v>0</v>
      </c>
      <c r="E5">
        <v>30</v>
      </c>
      <c r="F5" t="s">
        <v>32</v>
      </c>
      <c r="G5" t="s">
        <v>52</v>
      </c>
      <c r="H5" t="s">
        <v>21</v>
      </c>
      <c r="J5">
        <v>1</v>
      </c>
      <c r="K5">
        <v>10</v>
      </c>
      <c r="L5">
        <v>9</v>
      </c>
      <c r="M5" t="s">
        <v>25</v>
      </c>
      <c r="AA5" t="s">
        <v>33</v>
      </c>
      <c r="AB5" t="s">
        <v>21</v>
      </c>
      <c r="AD5">
        <v>0</v>
      </c>
      <c r="AK5" t="s">
        <v>27</v>
      </c>
    </row>
    <row r="6" spans="1:42" x14ac:dyDescent="0.3">
      <c r="A6" s="3">
        <v>44485</v>
      </c>
      <c r="B6">
        <v>1</v>
      </c>
      <c r="C6" t="s">
        <v>34</v>
      </c>
      <c r="D6">
        <v>0</v>
      </c>
      <c r="E6">
        <v>30</v>
      </c>
      <c r="F6" t="s">
        <v>29</v>
      </c>
      <c r="G6" t="s">
        <v>35</v>
      </c>
      <c r="H6" t="s">
        <v>21</v>
      </c>
      <c r="J6">
        <v>1</v>
      </c>
      <c r="K6">
        <v>1</v>
      </c>
      <c r="M6" t="s">
        <v>25</v>
      </c>
      <c r="Q6" t="s">
        <v>35</v>
      </c>
      <c r="R6" t="s">
        <v>21</v>
      </c>
      <c r="T6">
        <v>1</v>
      </c>
      <c r="U6">
        <v>9</v>
      </c>
      <c r="W6" t="s">
        <v>25</v>
      </c>
      <c r="AK6" t="s">
        <v>27</v>
      </c>
    </row>
    <row r="7" spans="1:42" x14ac:dyDescent="0.3">
      <c r="A7" s="3">
        <v>44485</v>
      </c>
      <c r="B7">
        <v>1</v>
      </c>
      <c r="C7" t="s">
        <v>26</v>
      </c>
      <c r="D7">
        <v>0</v>
      </c>
      <c r="G7" t="s">
        <v>37</v>
      </c>
      <c r="H7" t="s">
        <v>36</v>
      </c>
      <c r="J7">
        <v>0</v>
      </c>
      <c r="Q7" t="s">
        <v>37</v>
      </c>
      <c r="R7" t="s">
        <v>21</v>
      </c>
      <c r="T7">
        <v>1</v>
      </c>
      <c r="U7">
        <v>5</v>
      </c>
      <c r="W7" t="s">
        <v>38</v>
      </c>
      <c r="AA7" t="s">
        <v>37</v>
      </c>
      <c r="AB7" t="s">
        <v>21</v>
      </c>
      <c r="AD7">
        <v>1</v>
      </c>
      <c r="AE7">
        <v>10</v>
      </c>
      <c r="AG7" t="s">
        <v>38</v>
      </c>
      <c r="AK7" t="s">
        <v>27</v>
      </c>
      <c r="AO7" t="s">
        <v>39</v>
      </c>
      <c r="AP7" t="s">
        <v>45</v>
      </c>
    </row>
    <row r="8" spans="1:42" x14ac:dyDescent="0.3">
      <c r="A8" s="3">
        <v>44485</v>
      </c>
      <c r="B8">
        <v>2</v>
      </c>
      <c r="C8" t="s">
        <v>21</v>
      </c>
      <c r="D8">
        <v>1</v>
      </c>
      <c r="E8" t="s">
        <v>40</v>
      </c>
      <c r="F8" t="s">
        <v>29</v>
      </c>
      <c r="G8" t="s">
        <v>41</v>
      </c>
      <c r="H8" t="s">
        <v>26</v>
      </c>
      <c r="J8">
        <v>1</v>
      </c>
      <c r="K8">
        <v>10</v>
      </c>
      <c r="M8" t="s">
        <v>42</v>
      </c>
      <c r="Q8" t="s">
        <v>43</v>
      </c>
      <c r="R8" t="s">
        <v>26</v>
      </c>
      <c r="T8">
        <v>1</v>
      </c>
      <c r="U8">
        <v>10</v>
      </c>
      <c r="W8" t="s">
        <v>42</v>
      </c>
      <c r="AA8" t="s">
        <v>37</v>
      </c>
      <c r="AB8" t="s">
        <v>44</v>
      </c>
      <c r="AK8" t="s">
        <v>27</v>
      </c>
      <c r="AO8" t="s">
        <v>50</v>
      </c>
    </row>
    <row r="9" spans="1:42" x14ac:dyDescent="0.3">
      <c r="A9" s="3">
        <v>44485</v>
      </c>
      <c r="B9">
        <v>2</v>
      </c>
      <c r="C9" t="s">
        <v>23</v>
      </c>
      <c r="D9">
        <v>0</v>
      </c>
      <c r="G9" t="s">
        <v>47</v>
      </c>
      <c r="H9" t="s">
        <v>26</v>
      </c>
      <c r="J9">
        <v>1</v>
      </c>
      <c r="O9">
        <v>17</v>
      </c>
      <c r="AA9" t="s">
        <v>48</v>
      </c>
      <c r="AB9" t="s">
        <v>21</v>
      </c>
      <c r="AD9">
        <v>1</v>
      </c>
      <c r="AE9" t="s">
        <v>49</v>
      </c>
      <c r="AK9" t="s">
        <v>27</v>
      </c>
    </row>
    <row r="10" spans="1:42" x14ac:dyDescent="0.3">
      <c r="A10" s="3">
        <v>44485</v>
      </c>
      <c r="B10">
        <v>2</v>
      </c>
      <c r="C10" t="s">
        <v>31</v>
      </c>
      <c r="D10">
        <v>0</v>
      </c>
      <c r="G10" t="s">
        <v>52</v>
      </c>
      <c r="H10" t="s">
        <v>21</v>
      </c>
      <c r="J10">
        <v>0</v>
      </c>
      <c r="Q10" t="s">
        <v>52</v>
      </c>
      <c r="R10" t="s">
        <v>21</v>
      </c>
      <c r="T10">
        <v>0</v>
      </c>
      <c r="AA10" t="s">
        <v>33</v>
      </c>
      <c r="AK10" t="s">
        <v>27</v>
      </c>
    </row>
    <row r="11" spans="1:42" x14ac:dyDescent="0.3">
      <c r="A11" s="3">
        <v>44485</v>
      </c>
      <c r="B11">
        <v>2</v>
      </c>
      <c r="C11" t="s">
        <v>34</v>
      </c>
      <c r="D11">
        <v>0</v>
      </c>
      <c r="E11">
        <v>10</v>
      </c>
      <c r="F11" t="s">
        <v>29</v>
      </c>
      <c r="G11" t="s">
        <v>55</v>
      </c>
      <c r="H11" t="s">
        <v>21</v>
      </c>
      <c r="J11">
        <v>1</v>
      </c>
      <c r="K11">
        <v>22</v>
      </c>
      <c r="M11" t="s">
        <v>25</v>
      </c>
      <c r="Q11" t="s">
        <v>56</v>
      </c>
      <c r="R11" t="s">
        <v>21</v>
      </c>
      <c r="T11">
        <v>1</v>
      </c>
      <c r="U11">
        <v>14</v>
      </c>
      <c r="W11" t="s">
        <v>25</v>
      </c>
      <c r="AA11" t="s">
        <v>57</v>
      </c>
      <c r="AB11" t="s">
        <v>21</v>
      </c>
      <c r="AD11">
        <v>0</v>
      </c>
      <c r="AK11" t="s">
        <v>27</v>
      </c>
      <c r="AO11" t="s">
        <v>54</v>
      </c>
    </row>
    <row r="12" spans="1:42" x14ac:dyDescent="0.3">
      <c r="A12" s="3">
        <v>44485</v>
      </c>
      <c r="B12">
        <v>2</v>
      </c>
      <c r="C12" t="s">
        <v>26</v>
      </c>
      <c r="D12">
        <v>0</v>
      </c>
      <c r="E12">
        <v>15</v>
      </c>
      <c r="G12" t="s">
        <v>37</v>
      </c>
      <c r="H12" t="s">
        <v>21</v>
      </c>
      <c r="J12">
        <v>1</v>
      </c>
      <c r="K12">
        <v>8</v>
      </c>
      <c r="M12" t="s">
        <v>38</v>
      </c>
      <c r="Q12" t="s">
        <v>37</v>
      </c>
      <c r="AA12" t="s">
        <v>37</v>
      </c>
      <c r="AB12" t="s">
        <v>21</v>
      </c>
      <c r="AD12">
        <v>1</v>
      </c>
      <c r="AE12">
        <v>14</v>
      </c>
      <c r="AG12" t="s">
        <v>38</v>
      </c>
      <c r="AK12" t="s">
        <v>27</v>
      </c>
    </row>
    <row r="13" spans="1:42" x14ac:dyDescent="0.3">
      <c r="A13" s="3">
        <v>44485</v>
      </c>
      <c r="B13">
        <v>3</v>
      </c>
      <c r="C13" t="s">
        <v>21</v>
      </c>
      <c r="D13">
        <v>1</v>
      </c>
      <c r="E13">
        <v>140</v>
      </c>
      <c r="G13" t="s">
        <v>59</v>
      </c>
      <c r="H13" t="s">
        <v>60</v>
      </c>
      <c r="J13">
        <v>4</v>
      </c>
      <c r="K13" t="s">
        <v>62</v>
      </c>
      <c r="M13" t="s">
        <v>61</v>
      </c>
      <c r="AA13" t="s">
        <v>63</v>
      </c>
      <c r="AK13" t="s">
        <v>27</v>
      </c>
      <c r="AO13" t="s">
        <v>58</v>
      </c>
    </row>
    <row r="14" spans="1:42" x14ac:dyDescent="0.3">
      <c r="A14" s="3">
        <v>44485</v>
      </c>
      <c r="B14">
        <v>3</v>
      </c>
      <c r="C14" t="s">
        <v>23</v>
      </c>
      <c r="D14">
        <v>0</v>
      </c>
      <c r="G14" t="s">
        <v>64</v>
      </c>
      <c r="H14" t="s">
        <v>60</v>
      </c>
      <c r="J14">
        <v>4</v>
      </c>
      <c r="O14">
        <v>15</v>
      </c>
      <c r="AA14" t="s">
        <v>65</v>
      </c>
      <c r="AB14" t="s">
        <v>23</v>
      </c>
      <c r="AD14">
        <v>1</v>
      </c>
      <c r="AI14">
        <v>15</v>
      </c>
      <c r="AK14" t="s">
        <v>27</v>
      </c>
    </row>
    <row r="15" spans="1:42" x14ac:dyDescent="0.3">
      <c r="A15" s="3">
        <v>44485</v>
      </c>
      <c r="B15">
        <v>3</v>
      </c>
      <c r="C15" t="s">
        <v>31</v>
      </c>
      <c r="D15">
        <v>0</v>
      </c>
      <c r="E15">
        <v>25</v>
      </c>
      <c r="F15" t="s">
        <v>14</v>
      </c>
      <c r="G15" t="s">
        <v>33</v>
      </c>
      <c r="H15" t="s">
        <v>21</v>
      </c>
      <c r="J15">
        <v>0</v>
      </c>
      <c r="AA15" t="s">
        <v>66</v>
      </c>
      <c r="AI15">
        <v>13</v>
      </c>
      <c r="AK15" t="s">
        <v>27</v>
      </c>
    </row>
    <row r="16" spans="1:42" x14ac:dyDescent="0.3">
      <c r="A16" s="3">
        <v>44485</v>
      </c>
      <c r="B16">
        <v>3</v>
      </c>
      <c r="C16" t="s">
        <v>34</v>
      </c>
      <c r="D16">
        <v>0</v>
      </c>
      <c r="G16" t="s">
        <v>55</v>
      </c>
      <c r="H16" t="s">
        <v>21</v>
      </c>
      <c r="J16">
        <v>1</v>
      </c>
      <c r="K16">
        <v>15</v>
      </c>
      <c r="M16" t="s">
        <v>25</v>
      </c>
      <c r="Q16" t="s">
        <v>55</v>
      </c>
      <c r="R16" t="s">
        <v>21</v>
      </c>
      <c r="T16">
        <v>1</v>
      </c>
      <c r="U16">
        <v>8</v>
      </c>
      <c r="W16" t="s">
        <v>25</v>
      </c>
      <c r="AA16" t="s">
        <v>57</v>
      </c>
      <c r="AK16" t="s">
        <v>27</v>
      </c>
      <c r="AO16" t="s">
        <v>67</v>
      </c>
    </row>
    <row r="17" spans="1:41" x14ac:dyDescent="0.3">
      <c r="A17" s="3">
        <v>44485</v>
      </c>
      <c r="B17">
        <v>3</v>
      </c>
      <c r="C17" t="s">
        <v>26</v>
      </c>
      <c r="D17">
        <v>0</v>
      </c>
      <c r="E17">
        <v>5</v>
      </c>
      <c r="G17" t="s">
        <v>37</v>
      </c>
      <c r="H17" t="s">
        <v>21</v>
      </c>
      <c r="J17">
        <v>1</v>
      </c>
      <c r="K17">
        <v>11</v>
      </c>
      <c r="M17" t="s">
        <v>38</v>
      </c>
      <c r="Q17" t="s">
        <v>37</v>
      </c>
      <c r="R17" t="s">
        <v>21</v>
      </c>
      <c r="T17">
        <v>0</v>
      </c>
      <c r="AA17" t="s">
        <v>37</v>
      </c>
      <c r="AB17" t="s">
        <v>21</v>
      </c>
      <c r="AD17">
        <v>0</v>
      </c>
      <c r="AK17" t="s">
        <v>27</v>
      </c>
    </row>
    <row r="18" spans="1:41" x14ac:dyDescent="0.3">
      <c r="A18" s="3">
        <v>44485</v>
      </c>
      <c r="B18">
        <v>4</v>
      </c>
      <c r="C18" t="s">
        <v>21</v>
      </c>
      <c r="D18">
        <v>1</v>
      </c>
      <c r="G18" t="s">
        <v>68</v>
      </c>
      <c r="AK18" t="s">
        <v>27</v>
      </c>
    </row>
    <row r="19" spans="1:41" x14ac:dyDescent="0.3">
      <c r="A19" s="3">
        <v>44485</v>
      </c>
      <c r="B19">
        <v>4</v>
      </c>
      <c r="C19" t="s">
        <v>23</v>
      </c>
      <c r="D19">
        <v>0</v>
      </c>
      <c r="G19" t="s">
        <v>47</v>
      </c>
      <c r="H19" t="s">
        <v>23</v>
      </c>
      <c r="J19">
        <v>1</v>
      </c>
      <c r="O19">
        <v>16</v>
      </c>
      <c r="AA19" t="s">
        <v>69</v>
      </c>
      <c r="AB19" t="s">
        <v>21</v>
      </c>
      <c r="AD19">
        <v>1</v>
      </c>
      <c r="AE19">
        <v>5</v>
      </c>
      <c r="AG19" t="s">
        <v>61</v>
      </c>
      <c r="AK19" t="s">
        <v>27</v>
      </c>
    </row>
    <row r="20" spans="1:41" x14ac:dyDescent="0.3">
      <c r="A20" s="3">
        <v>44485</v>
      </c>
      <c r="B20">
        <v>4</v>
      </c>
      <c r="C20" t="s">
        <v>31</v>
      </c>
      <c r="D20">
        <v>0</v>
      </c>
      <c r="G20" t="s">
        <v>33</v>
      </c>
      <c r="H20" t="s">
        <v>21</v>
      </c>
      <c r="AA20" t="s">
        <v>70</v>
      </c>
      <c r="AB20" t="s">
        <v>21</v>
      </c>
      <c r="AD20">
        <v>1</v>
      </c>
      <c r="AK20" t="s">
        <v>27</v>
      </c>
    </row>
    <row r="21" spans="1:41" x14ac:dyDescent="0.3">
      <c r="A21" s="3">
        <v>44485</v>
      </c>
      <c r="B21">
        <v>4</v>
      </c>
      <c r="C21" t="s">
        <v>34</v>
      </c>
      <c r="D21">
        <v>0</v>
      </c>
      <c r="E21">
        <v>30</v>
      </c>
      <c r="F21" t="s">
        <v>71</v>
      </c>
      <c r="G21" t="s">
        <v>72</v>
      </c>
      <c r="H21" t="s">
        <v>21</v>
      </c>
      <c r="J21">
        <v>1</v>
      </c>
      <c r="K21">
        <v>10</v>
      </c>
      <c r="M21" t="s">
        <v>38</v>
      </c>
      <c r="Q21" t="s">
        <v>35</v>
      </c>
      <c r="R21" t="s">
        <v>21</v>
      </c>
      <c r="T21">
        <v>0</v>
      </c>
      <c r="AK21" t="s">
        <v>27</v>
      </c>
    </row>
    <row r="22" spans="1:41" x14ac:dyDescent="0.3">
      <c r="A22" s="3">
        <v>44485</v>
      </c>
      <c r="B22">
        <v>4</v>
      </c>
      <c r="C22" t="s">
        <v>26</v>
      </c>
      <c r="D22">
        <v>0</v>
      </c>
      <c r="G22" t="s">
        <v>37</v>
      </c>
      <c r="H22" t="s">
        <v>21</v>
      </c>
      <c r="J22">
        <v>1</v>
      </c>
      <c r="K22">
        <v>15</v>
      </c>
      <c r="M22" t="s">
        <v>38</v>
      </c>
      <c r="Q22" t="s">
        <v>37</v>
      </c>
      <c r="R22" t="s">
        <v>21</v>
      </c>
      <c r="T22">
        <v>1</v>
      </c>
      <c r="U22">
        <v>17</v>
      </c>
      <c r="W22" t="s">
        <v>38</v>
      </c>
      <c r="AA22" t="s">
        <v>37</v>
      </c>
      <c r="AB22" t="s">
        <v>21</v>
      </c>
      <c r="AD22">
        <v>1</v>
      </c>
      <c r="AE22">
        <v>11</v>
      </c>
      <c r="AG22" t="s">
        <v>38</v>
      </c>
      <c r="AK22" t="s">
        <v>27</v>
      </c>
    </row>
    <row r="23" spans="1:41" x14ac:dyDescent="0.3">
      <c r="A23" s="3">
        <v>44485</v>
      </c>
      <c r="B23">
        <v>5</v>
      </c>
      <c r="C23" t="s">
        <v>21</v>
      </c>
      <c r="D23">
        <v>1</v>
      </c>
      <c r="E23">
        <v>60</v>
      </c>
      <c r="G23" t="s">
        <v>73</v>
      </c>
      <c r="AA23" t="s">
        <v>63</v>
      </c>
      <c r="AK23" t="s">
        <v>27</v>
      </c>
    </row>
    <row r="24" spans="1:41" x14ac:dyDescent="0.3">
      <c r="A24" s="3">
        <v>44485</v>
      </c>
      <c r="B24">
        <v>5</v>
      </c>
      <c r="C24" t="s">
        <v>23</v>
      </c>
      <c r="D24">
        <v>0</v>
      </c>
      <c r="E24">
        <v>20</v>
      </c>
      <c r="G24" t="s">
        <v>47</v>
      </c>
      <c r="H24" t="s">
        <v>26</v>
      </c>
      <c r="J24">
        <v>1</v>
      </c>
      <c r="O24">
        <v>15</v>
      </c>
      <c r="AA24" t="s">
        <v>65</v>
      </c>
      <c r="AB24" t="s">
        <v>26</v>
      </c>
      <c r="AD24">
        <v>1</v>
      </c>
      <c r="AI24">
        <v>11</v>
      </c>
      <c r="AK24" t="s">
        <v>27</v>
      </c>
    </row>
    <row r="25" spans="1:41" x14ac:dyDescent="0.3">
      <c r="A25" s="3">
        <v>44485</v>
      </c>
      <c r="B25">
        <v>5</v>
      </c>
      <c r="C25" t="s">
        <v>31</v>
      </c>
      <c r="D25">
        <v>0</v>
      </c>
      <c r="G25" t="s">
        <v>74</v>
      </c>
      <c r="H25" t="s">
        <v>21</v>
      </c>
      <c r="J25">
        <v>1</v>
      </c>
      <c r="K25">
        <v>7</v>
      </c>
      <c r="M25" t="s">
        <v>38</v>
      </c>
      <c r="AK25" t="s">
        <v>27</v>
      </c>
    </row>
    <row r="26" spans="1:41" x14ac:dyDescent="0.3">
      <c r="A26" s="3">
        <v>44485</v>
      </c>
      <c r="B26">
        <v>5</v>
      </c>
      <c r="C26" t="s">
        <v>34</v>
      </c>
      <c r="D26">
        <v>0</v>
      </c>
      <c r="E26">
        <v>15</v>
      </c>
      <c r="F26" t="s">
        <v>75</v>
      </c>
      <c r="G26" t="s">
        <v>72</v>
      </c>
      <c r="H26" t="s">
        <v>21</v>
      </c>
      <c r="J26">
        <v>1</v>
      </c>
      <c r="K26">
        <v>9</v>
      </c>
      <c r="M26" t="s">
        <v>38</v>
      </c>
      <c r="Q26" t="s">
        <v>35</v>
      </c>
      <c r="R26" t="s">
        <v>21</v>
      </c>
      <c r="T26">
        <v>1</v>
      </c>
      <c r="U26">
        <v>11</v>
      </c>
      <c r="W26" t="s">
        <v>25</v>
      </c>
      <c r="AA26" t="s">
        <v>76</v>
      </c>
      <c r="AK26" t="s">
        <v>27</v>
      </c>
    </row>
    <row r="27" spans="1:41" x14ac:dyDescent="0.3">
      <c r="A27" s="3">
        <v>44485</v>
      </c>
      <c r="B27">
        <v>5</v>
      </c>
      <c r="C27" t="s">
        <v>26</v>
      </c>
      <c r="D27">
        <v>0</v>
      </c>
      <c r="G27" t="s">
        <v>37</v>
      </c>
      <c r="H27" t="s">
        <v>21</v>
      </c>
      <c r="J27">
        <v>1</v>
      </c>
      <c r="K27">
        <v>12</v>
      </c>
      <c r="M27" t="s">
        <v>38</v>
      </c>
      <c r="Q27" t="s">
        <v>37</v>
      </c>
      <c r="R27" t="s">
        <v>21</v>
      </c>
      <c r="T27">
        <v>1</v>
      </c>
      <c r="U27">
        <v>11</v>
      </c>
      <c r="W27" t="s">
        <v>38</v>
      </c>
      <c r="AA27" t="s">
        <v>37</v>
      </c>
      <c r="AB27" t="s">
        <v>21</v>
      </c>
      <c r="AD27">
        <v>1</v>
      </c>
      <c r="AE27">
        <v>9</v>
      </c>
      <c r="AG27" t="s">
        <v>38</v>
      </c>
      <c r="AK27" t="s">
        <v>27</v>
      </c>
    </row>
    <row r="28" spans="1:41" x14ac:dyDescent="0.3">
      <c r="A28" s="3">
        <v>44485</v>
      </c>
      <c r="B28">
        <v>6</v>
      </c>
      <c r="C28" t="s">
        <v>21</v>
      </c>
      <c r="D28">
        <v>1</v>
      </c>
      <c r="G28" t="s">
        <v>77</v>
      </c>
      <c r="H28" t="s">
        <v>23</v>
      </c>
      <c r="J28">
        <v>1</v>
      </c>
      <c r="K28">
        <v>24</v>
      </c>
      <c r="L28">
        <v>25</v>
      </c>
      <c r="M28" t="s">
        <v>61</v>
      </c>
      <c r="N28" t="s">
        <v>78</v>
      </c>
      <c r="Q28" t="s">
        <v>77</v>
      </c>
      <c r="R28" t="s">
        <v>23</v>
      </c>
      <c r="T28">
        <v>1</v>
      </c>
      <c r="U28">
        <v>33</v>
      </c>
      <c r="W28" t="s">
        <v>61</v>
      </c>
      <c r="Z28">
        <v>1</v>
      </c>
      <c r="AK28" t="s">
        <v>27</v>
      </c>
      <c r="AO28" t="s">
        <v>79</v>
      </c>
    </row>
    <row r="29" spans="1:41" x14ac:dyDescent="0.3">
      <c r="A29" s="3">
        <v>44485</v>
      </c>
      <c r="B29">
        <v>6</v>
      </c>
      <c r="C29" t="s">
        <v>31</v>
      </c>
      <c r="D29">
        <v>0</v>
      </c>
      <c r="E29">
        <v>30</v>
      </c>
      <c r="G29" t="s">
        <v>33</v>
      </c>
      <c r="H29" t="s">
        <v>21</v>
      </c>
      <c r="J29">
        <v>0</v>
      </c>
      <c r="Q29" t="s">
        <v>33</v>
      </c>
      <c r="R29" t="s">
        <v>21</v>
      </c>
      <c r="T29">
        <v>0</v>
      </c>
      <c r="AA29" t="s">
        <v>66</v>
      </c>
      <c r="AK29" t="s">
        <v>27</v>
      </c>
      <c r="AO29" t="s">
        <v>80</v>
      </c>
    </row>
    <row r="30" spans="1:41" x14ac:dyDescent="0.3">
      <c r="A30" s="3">
        <v>44485</v>
      </c>
      <c r="B30">
        <v>6</v>
      </c>
      <c r="C30" t="s">
        <v>34</v>
      </c>
      <c r="D30">
        <v>0</v>
      </c>
      <c r="G30" t="s">
        <v>55</v>
      </c>
      <c r="H30" t="s">
        <v>21</v>
      </c>
      <c r="J30">
        <v>1</v>
      </c>
      <c r="K30">
        <v>12</v>
      </c>
      <c r="M30" t="s">
        <v>81</v>
      </c>
      <c r="Q30" t="s">
        <v>55</v>
      </c>
      <c r="R30" t="s">
        <v>21</v>
      </c>
      <c r="T30">
        <v>1</v>
      </c>
      <c r="U30">
        <v>11</v>
      </c>
      <c r="W30" t="s">
        <v>25</v>
      </c>
      <c r="AK30" t="s">
        <v>27</v>
      </c>
    </row>
    <row r="31" spans="1:41" x14ac:dyDescent="0.3">
      <c r="A31" s="3">
        <v>44485</v>
      </c>
      <c r="C31" t="s">
        <v>26</v>
      </c>
      <c r="D31">
        <v>0</v>
      </c>
      <c r="G31" t="s">
        <v>37</v>
      </c>
      <c r="H31" t="s">
        <v>21</v>
      </c>
      <c r="J31">
        <v>1</v>
      </c>
      <c r="K31">
        <v>16</v>
      </c>
      <c r="M31" t="s">
        <v>38</v>
      </c>
      <c r="Q31" t="s">
        <v>37</v>
      </c>
      <c r="R31" t="s">
        <v>21</v>
      </c>
      <c r="T31">
        <v>1</v>
      </c>
      <c r="AA31" t="s">
        <v>37</v>
      </c>
      <c r="AK31" t="s">
        <v>27</v>
      </c>
    </row>
    <row r="32" spans="1:41" x14ac:dyDescent="0.3">
      <c r="A32" s="3">
        <v>44485</v>
      </c>
      <c r="B32">
        <v>7</v>
      </c>
      <c r="C32" t="s">
        <v>21</v>
      </c>
      <c r="D32">
        <v>1</v>
      </c>
      <c r="G32" t="s">
        <v>77</v>
      </c>
      <c r="H32" t="s">
        <v>21</v>
      </c>
      <c r="J32">
        <v>1</v>
      </c>
      <c r="K32">
        <v>9</v>
      </c>
      <c r="L32">
        <v>30</v>
      </c>
      <c r="M32" t="s">
        <v>61</v>
      </c>
      <c r="N32" t="s">
        <v>78</v>
      </c>
      <c r="AA32" t="s">
        <v>77</v>
      </c>
      <c r="AB32" t="s">
        <v>82</v>
      </c>
      <c r="AD32" t="s">
        <v>83</v>
      </c>
      <c r="AK32" t="s">
        <v>27</v>
      </c>
    </row>
    <row r="33" spans="1:41" x14ac:dyDescent="0.3">
      <c r="A33" s="3">
        <v>44485</v>
      </c>
      <c r="B33">
        <v>7</v>
      </c>
      <c r="C33" t="s">
        <v>31</v>
      </c>
      <c r="D33">
        <v>0</v>
      </c>
      <c r="G33" t="s">
        <v>33</v>
      </c>
      <c r="H33" t="s">
        <v>21</v>
      </c>
      <c r="J33">
        <v>1</v>
      </c>
      <c r="Q33" t="s">
        <v>84</v>
      </c>
      <c r="R33" t="s">
        <v>21</v>
      </c>
      <c r="T33">
        <v>1</v>
      </c>
      <c r="U33">
        <v>16</v>
      </c>
      <c r="W33" t="s">
        <v>25</v>
      </c>
      <c r="AA33" t="s">
        <v>66</v>
      </c>
      <c r="AK33" t="s">
        <v>27</v>
      </c>
      <c r="AO33" t="s">
        <v>85</v>
      </c>
    </row>
    <row r="34" spans="1:41" x14ac:dyDescent="0.3">
      <c r="A34" s="3">
        <v>44485</v>
      </c>
      <c r="B34">
        <v>7</v>
      </c>
      <c r="C34" t="s">
        <v>34</v>
      </c>
      <c r="D34">
        <v>0</v>
      </c>
      <c r="G34" t="s">
        <v>72</v>
      </c>
      <c r="H34" t="s">
        <v>21</v>
      </c>
      <c r="J34">
        <v>1</v>
      </c>
      <c r="Q34" t="s">
        <v>72</v>
      </c>
      <c r="AK34" t="s">
        <v>27</v>
      </c>
    </row>
    <row r="35" spans="1:41" x14ac:dyDescent="0.3">
      <c r="A35" s="3">
        <v>44485</v>
      </c>
      <c r="B35">
        <v>7</v>
      </c>
      <c r="C35" t="s">
        <v>26</v>
      </c>
      <c r="D35">
        <v>0</v>
      </c>
      <c r="G35" t="s">
        <v>37</v>
      </c>
      <c r="H35" t="s">
        <v>21</v>
      </c>
      <c r="J35">
        <v>1</v>
      </c>
      <c r="K35">
        <v>7</v>
      </c>
      <c r="M35" t="s">
        <v>38</v>
      </c>
      <c r="Q35" t="s">
        <v>37</v>
      </c>
      <c r="R35" t="s">
        <v>21</v>
      </c>
      <c r="T35">
        <v>1</v>
      </c>
      <c r="U35">
        <v>10</v>
      </c>
      <c r="W35" t="s">
        <v>38</v>
      </c>
      <c r="AK35" t="s">
        <v>27</v>
      </c>
    </row>
    <row r="36" spans="1:41" x14ac:dyDescent="0.3">
      <c r="A36" s="3">
        <v>44485</v>
      </c>
      <c r="B36">
        <v>8</v>
      </c>
      <c r="C36" t="s">
        <v>21</v>
      </c>
      <c r="D36">
        <v>1</v>
      </c>
      <c r="G36" t="s">
        <v>77</v>
      </c>
      <c r="H36" t="s">
        <v>86</v>
      </c>
      <c r="J36">
        <v>0</v>
      </c>
      <c r="AK36" t="s">
        <v>27</v>
      </c>
    </row>
    <row r="37" spans="1:41" x14ac:dyDescent="0.3">
      <c r="A37" s="3">
        <v>44485</v>
      </c>
      <c r="B37">
        <v>8</v>
      </c>
      <c r="C37" t="s">
        <v>23</v>
      </c>
      <c r="D37">
        <v>0</v>
      </c>
      <c r="G37" t="s">
        <v>64</v>
      </c>
      <c r="H37" t="s">
        <v>87</v>
      </c>
      <c r="J37">
        <v>3</v>
      </c>
      <c r="O37">
        <v>15</v>
      </c>
      <c r="AA37" t="s">
        <v>65</v>
      </c>
      <c r="AB37" t="s">
        <v>23</v>
      </c>
      <c r="AD37">
        <v>1</v>
      </c>
      <c r="AI37">
        <v>16</v>
      </c>
      <c r="AK37" t="s">
        <v>27</v>
      </c>
    </row>
    <row r="38" spans="1:41" x14ac:dyDescent="0.3">
      <c r="A38" s="3">
        <v>44485</v>
      </c>
      <c r="B38">
        <v>8</v>
      </c>
      <c r="C38" t="s">
        <v>31</v>
      </c>
      <c r="D38">
        <v>0</v>
      </c>
      <c r="G38" t="s">
        <v>88</v>
      </c>
      <c r="H38" t="s">
        <v>21</v>
      </c>
      <c r="J38">
        <v>1</v>
      </c>
      <c r="K38">
        <v>21</v>
      </c>
      <c r="M38" t="s">
        <v>81</v>
      </c>
      <c r="Q38" t="s">
        <v>88</v>
      </c>
      <c r="R38" t="s">
        <v>21</v>
      </c>
      <c r="T38">
        <v>1</v>
      </c>
      <c r="U38">
        <v>12</v>
      </c>
      <c r="W38" t="s">
        <v>25</v>
      </c>
      <c r="AK38" t="s">
        <v>27</v>
      </c>
    </row>
    <row r="39" spans="1:41" x14ac:dyDescent="0.3">
      <c r="A39" s="3">
        <v>44485</v>
      </c>
      <c r="B39">
        <v>8</v>
      </c>
      <c r="C39" t="s">
        <v>34</v>
      </c>
      <c r="D39">
        <v>0</v>
      </c>
      <c r="G39" t="s">
        <v>72</v>
      </c>
      <c r="H39" t="s">
        <v>21</v>
      </c>
      <c r="J39">
        <v>1</v>
      </c>
      <c r="K39">
        <v>7</v>
      </c>
      <c r="M39" t="s">
        <v>38</v>
      </c>
      <c r="Q39" t="s">
        <v>72</v>
      </c>
      <c r="R39" t="s">
        <v>21</v>
      </c>
      <c r="T39">
        <v>1</v>
      </c>
      <c r="U39">
        <v>11</v>
      </c>
      <c r="W39" t="s">
        <v>38</v>
      </c>
      <c r="AA39" t="s">
        <v>35</v>
      </c>
      <c r="AB39" t="s">
        <v>21</v>
      </c>
      <c r="AD39">
        <v>1</v>
      </c>
      <c r="AE39">
        <v>15</v>
      </c>
      <c r="AG39" t="s">
        <v>25</v>
      </c>
      <c r="AK39" t="s">
        <v>27</v>
      </c>
    </row>
    <row r="42" spans="1:41" x14ac:dyDescent="0.3">
      <c r="A42" s="3">
        <v>44486</v>
      </c>
      <c r="C42" t="s">
        <v>31</v>
      </c>
      <c r="D42">
        <v>0</v>
      </c>
      <c r="G42" t="s">
        <v>84</v>
      </c>
      <c r="H42" t="s">
        <v>90</v>
      </c>
      <c r="J42">
        <v>1</v>
      </c>
      <c r="K42">
        <v>12</v>
      </c>
      <c r="M42" t="s">
        <v>38</v>
      </c>
      <c r="Q42" t="s">
        <v>92</v>
      </c>
      <c r="R42" t="s">
        <v>91</v>
      </c>
      <c r="T42">
        <v>1</v>
      </c>
      <c r="U42">
        <v>12</v>
      </c>
      <c r="W42" t="s">
        <v>25</v>
      </c>
      <c r="AK42" t="s">
        <v>99</v>
      </c>
    </row>
    <row r="43" spans="1:41" x14ac:dyDescent="0.3">
      <c r="A43" s="3">
        <v>44486</v>
      </c>
      <c r="B43">
        <v>1</v>
      </c>
      <c r="C43" t="s">
        <v>23</v>
      </c>
    </row>
    <row r="44" spans="1:41" x14ac:dyDescent="0.3">
      <c r="A44" s="3">
        <v>44486</v>
      </c>
      <c r="B44">
        <v>1</v>
      </c>
    </row>
    <row r="45" spans="1:41" x14ac:dyDescent="0.3">
      <c r="A45" s="3">
        <v>44486</v>
      </c>
      <c r="B45">
        <v>1</v>
      </c>
      <c r="C45" t="s">
        <v>31</v>
      </c>
      <c r="D45">
        <v>0</v>
      </c>
      <c r="G45" t="s">
        <v>84</v>
      </c>
      <c r="H45" t="s">
        <v>93</v>
      </c>
      <c r="J45">
        <v>1</v>
      </c>
      <c r="K45">
        <v>11</v>
      </c>
      <c r="M45" t="s">
        <v>25</v>
      </c>
      <c r="AA45" t="s">
        <v>84</v>
      </c>
      <c r="AB45" t="s">
        <v>93</v>
      </c>
      <c r="AD45">
        <v>1</v>
      </c>
      <c r="AE45">
        <v>11</v>
      </c>
      <c r="AG45" t="s">
        <v>94</v>
      </c>
    </row>
    <row r="46" spans="1:41" x14ac:dyDescent="0.3">
      <c r="A46" s="3">
        <v>44486</v>
      </c>
      <c r="B46">
        <v>1</v>
      </c>
      <c r="C46" t="s">
        <v>26</v>
      </c>
      <c r="D46">
        <v>0</v>
      </c>
      <c r="G46" t="s">
        <v>37</v>
      </c>
      <c r="H46" t="s">
        <v>93</v>
      </c>
      <c r="J46">
        <v>1</v>
      </c>
      <c r="K46">
        <v>16</v>
      </c>
      <c r="Z46">
        <v>1</v>
      </c>
      <c r="AL46" t="s">
        <v>95</v>
      </c>
    </row>
    <row r="47" spans="1:41" x14ac:dyDescent="0.3">
      <c r="A47" s="3">
        <v>44486</v>
      </c>
      <c r="B47">
        <v>1</v>
      </c>
      <c r="C47" t="s">
        <v>93</v>
      </c>
      <c r="D47">
        <v>1</v>
      </c>
      <c r="G47" t="s">
        <v>69</v>
      </c>
      <c r="H47" t="s">
        <v>96</v>
      </c>
      <c r="J47">
        <v>0</v>
      </c>
    </row>
    <row r="48" spans="1:41" x14ac:dyDescent="0.3">
      <c r="A48" s="3">
        <v>44486</v>
      </c>
      <c r="B48">
        <v>1</v>
      </c>
      <c r="C48" t="s">
        <v>93</v>
      </c>
      <c r="D48">
        <v>1</v>
      </c>
      <c r="E48">
        <v>10</v>
      </c>
      <c r="G48" t="s">
        <v>69</v>
      </c>
      <c r="H48" t="s">
        <v>23</v>
      </c>
      <c r="J48">
        <v>0</v>
      </c>
    </row>
    <row r="49" spans="1:38" x14ac:dyDescent="0.3">
      <c r="A49" s="3">
        <v>44486</v>
      </c>
      <c r="B49">
        <v>1</v>
      </c>
      <c r="C49" t="s">
        <v>93</v>
      </c>
      <c r="D49">
        <v>1</v>
      </c>
      <c r="E49">
        <v>25</v>
      </c>
      <c r="G49" t="s">
        <v>69</v>
      </c>
      <c r="H49" t="s">
        <v>23</v>
      </c>
      <c r="J49">
        <v>0</v>
      </c>
      <c r="AL49" t="s">
        <v>95</v>
      </c>
    </row>
    <row r="50" spans="1:38" x14ac:dyDescent="0.3">
      <c r="A50" s="3">
        <v>44486</v>
      </c>
      <c r="B50">
        <v>1</v>
      </c>
      <c r="C50" t="s">
        <v>97</v>
      </c>
      <c r="D50">
        <v>0</v>
      </c>
      <c r="G50" t="s">
        <v>98</v>
      </c>
      <c r="H50" t="s">
        <v>109</v>
      </c>
      <c r="J50">
        <v>1</v>
      </c>
      <c r="K50">
        <v>11</v>
      </c>
      <c r="M50" t="s">
        <v>61</v>
      </c>
      <c r="Q50" t="s">
        <v>98</v>
      </c>
      <c r="R50" t="s">
        <v>93</v>
      </c>
      <c r="T50">
        <v>1</v>
      </c>
      <c r="U50">
        <v>8</v>
      </c>
      <c r="W50" t="s">
        <v>61</v>
      </c>
    </row>
    <row r="51" spans="1:38" x14ac:dyDescent="0.3">
      <c r="A51" s="3">
        <v>44486</v>
      </c>
      <c r="B51">
        <v>1</v>
      </c>
      <c r="C51" t="s">
        <v>102</v>
      </c>
      <c r="D51">
        <v>0</v>
      </c>
      <c r="E51">
        <v>15</v>
      </c>
      <c r="G51" t="s">
        <v>101</v>
      </c>
      <c r="H51" t="s">
        <v>109</v>
      </c>
      <c r="J51">
        <v>1</v>
      </c>
      <c r="K51">
        <v>20</v>
      </c>
      <c r="M51" t="s">
        <v>38</v>
      </c>
      <c r="Q51" t="s">
        <v>101</v>
      </c>
      <c r="R51" t="s">
        <v>93</v>
      </c>
      <c r="T51">
        <v>1</v>
      </c>
      <c r="U51">
        <v>25</v>
      </c>
      <c r="W51" t="s">
        <v>38</v>
      </c>
    </row>
    <row r="52" spans="1:38" x14ac:dyDescent="0.3">
      <c r="A52" s="3">
        <v>44486</v>
      </c>
      <c r="B52">
        <v>1</v>
      </c>
      <c r="C52" t="s">
        <v>34</v>
      </c>
      <c r="D52">
        <v>0</v>
      </c>
      <c r="E52">
        <v>5</v>
      </c>
      <c r="G52" t="s">
        <v>103</v>
      </c>
      <c r="H52" t="s">
        <v>109</v>
      </c>
      <c r="J52">
        <v>1</v>
      </c>
      <c r="K52">
        <v>11</v>
      </c>
      <c r="M52" t="s">
        <v>25</v>
      </c>
    </row>
    <row r="53" spans="1:38" x14ac:dyDescent="0.3">
      <c r="A53" s="3">
        <v>44486</v>
      </c>
      <c r="B53">
        <v>2</v>
      </c>
      <c r="C53" t="s">
        <v>31</v>
      </c>
      <c r="D53">
        <v>0</v>
      </c>
      <c r="G53" t="s">
        <v>84</v>
      </c>
      <c r="H53" t="s">
        <v>109</v>
      </c>
      <c r="J53">
        <v>1</v>
      </c>
      <c r="K53">
        <v>13</v>
      </c>
      <c r="M53" t="s">
        <v>25</v>
      </c>
      <c r="Q53" t="s">
        <v>84</v>
      </c>
      <c r="R53" t="s">
        <v>93</v>
      </c>
      <c r="T53">
        <v>1</v>
      </c>
      <c r="U53">
        <v>8</v>
      </c>
      <c r="W53" t="s">
        <v>25</v>
      </c>
      <c r="AA53" t="s">
        <v>104</v>
      </c>
    </row>
    <row r="54" spans="1:38" x14ac:dyDescent="0.3">
      <c r="A54" s="3">
        <v>44486</v>
      </c>
      <c r="B54">
        <v>2</v>
      </c>
      <c r="C54" t="s">
        <v>93</v>
      </c>
      <c r="D54">
        <v>1</v>
      </c>
      <c r="G54" t="s">
        <v>105</v>
      </c>
      <c r="H54" t="s">
        <v>31</v>
      </c>
      <c r="J54">
        <v>1</v>
      </c>
      <c r="K54">
        <v>16</v>
      </c>
      <c r="M54" t="s">
        <v>61</v>
      </c>
    </row>
    <row r="55" spans="1:38" x14ac:dyDescent="0.3">
      <c r="A55" s="3">
        <v>44486</v>
      </c>
      <c r="B55">
        <v>2</v>
      </c>
      <c r="C55" t="s">
        <v>23</v>
      </c>
      <c r="D55">
        <v>0</v>
      </c>
    </row>
    <row r="56" spans="1:38" x14ac:dyDescent="0.3">
      <c r="A56" s="3">
        <v>44486</v>
      </c>
      <c r="B56">
        <v>2</v>
      </c>
      <c r="C56" t="s">
        <v>26</v>
      </c>
      <c r="D56">
        <v>0</v>
      </c>
      <c r="G56" t="s">
        <v>37</v>
      </c>
      <c r="H56" t="s">
        <v>109</v>
      </c>
      <c r="J56">
        <v>1</v>
      </c>
      <c r="K56">
        <v>14</v>
      </c>
      <c r="M56" t="s">
        <v>38</v>
      </c>
      <c r="Q56" t="s">
        <v>37</v>
      </c>
      <c r="R56" t="s">
        <v>93</v>
      </c>
      <c r="T56">
        <v>1</v>
      </c>
      <c r="U56">
        <v>5</v>
      </c>
      <c r="W56" t="s">
        <v>38</v>
      </c>
    </row>
    <row r="57" spans="1:38" x14ac:dyDescent="0.3">
      <c r="A57" s="3">
        <v>44486</v>
      </c>
      <c r="B57">
        <v>2</v>
      </c>
      <c r="C57" t="s">
        <v>109</v>
      </c>
      <c r="D57">
        <v>1</v>
      </c>
      <c r="G57" t="s">
        <v>101</v>
      </c>
      <c r="H57" t="s">
        <v>31</v>
      </c>
      <c r="J57">
        <v>0</v>
      </c>
    </row>
    <row r="58" spans="1:38" x14ac:dyDescent="0.3">
      <c r="A58" s="3">
        <v>44486</v>
      </c>
      <c r="B58">
        <v>2</v>
      </c>
      <c r="C58" t="s">
        <v>109</v>
      </c>
      <c r="D58">
        <v>1</v>
      </c>
      <c r="G58" t="s">
        <v>101</v>
      </c>
      <c r="H58" t="s">
        <v>31</v>
      </c>
      <c r="J58">
        <v>1</v>
      </c>
      <c r="K58">
        <v>8</v>
      </c>
      <c r="M58" t="s">
        <v>38</v>
      </c>
    </row>
    <row r="59" spans="1:38" x14ac:dyDescent="0.3">
      <c r="A59" s="3">
        <v>44486</v>
      </c>
      <c r="B59">
        <v>2</v>
      </c>
      <c r="C59" t="s">
        <v>109</v>
      </c>
      <c r="D59">
        <v>1</v>
      </c>
      <c r="G59" t="s">
        <v>101</v>
      </c>
      <c r="H59" t="s">
        <v>31</v>
      </c>
      <c r="J59">
        <v>1</v>
      </c>
      <c r="K59">
        <v>8</v>
      </c>
      <c r="M59" t="s">
        <v>38</v>
      </c>
    </row>
    <row r="60" spans="1:38" x14ac:dyDescent="0.3">
      <c r="A60" s="3">
        <v>44486</v>
      </c>
      <c r="B60">
        <v>2</v>
      </c>
      <c r="C60" t="s">
        <v>109</v>
      </c>
      <c r="D60">
        <v>1</v>
      </c>
      <c r="G60" t="s">
        <v>106</v>
      </c>
      <c r="H60" t="s">
        <v>26</v>
      </c>
      <c r="J60">
        <v>0</v>
      </c>
    </row>
    <row r="61" spans="1:38" x14ac:dyDescent="0.3">
      <c r="A61" s="3">
        <v>44486</v>
      </c>
      <c r="B61">
        <v>2</v>
      </c>
      <c r="C61" t="s">
        <v>109</v>
      </c>
      <c r="D61">
        <v>1</v>
      </c>
      <c r="G61" t="s">
        <v>106</v>
      </c>
      <c r="H61" t="s">
        <v>26</v>
      </c>
      <c r="J61">
        <v>1</v>
      </c>
      <c r="K61">
        <v>5</v>
      </c>
      <c r="L61">
        <v>4</v>
      </c>
      <c r="M61" t="s">
        <v>107</v>
      </c>
      <c r="N61" t="s">
        <v>38</v>
      </c>
    </row>
    <row r="62" spans="1:38" x14ac:dyDescent="0.3">
      <c r="A62" s="3">
        <v>44486</v>
      </c>
      <c r="B62">
        <v>2</v>
      </c>
      <c r="C62" t="s">
        <v>97</v>
      </c>
      <c r="D62">
        <v>0</v>
      </c>
      <c r="E62">
        <v>45</v>
      </c>
      <c r="G62" t="s">
        <v>108</v>
      </c>
    </row>
    <row r="63" spans="1:38" x14ac:dyDescent="0.3">
      <c r="A63" s="3">
        <v>44486</v>
      </c>
      <c r="B63">
        <v>2</v>
      </c>
      <c r="C63" t="s">
        <v>102</v>
      </c>
      <c r="D63">
        <v>0</v>
      </c>
      <c r="G63" t="s">
        <v>100</v>
      </c>
      <c r="H63" t="s">
        <v>109</v>
      </c>
      <c r="Q63" t="s">
        <v>100</v>
      </c>
      <c r="R63" t="s">
        <v>109</v>
      </c>
      <c r="S63" t="s">
        <v>110</v>
      </c>
      <c r="T63">
        <v>1</v>
      </c>
      <c r="U63">
        <v>19</v>
      </c>
      <c r="W63" t="s">
        <v>38</v>
      </c>
      <c r="AA63" t="s">
        <v>111</v>
      </c>
      <c r="AB63" t="s">
        <v>109</v>
      </c>
      <c r="AD63">
        <v>1</v>
      </c>
      <c r="AE63">
        <v>9</v>
      </c>
      <c r="AG63" t="s">
        <v>38</v>
      </c>
    </row>
    <row r="64" spans="1:38" x14ac:dyDescent="0.3">
      <c r="A64" s="3">
        <v>44486</v>
      </c>
      <c r="B64">
        <v>2</v>
      </c>
      <c r="C64" t="s">
        <v>34</v>
      </c>
      <c r="D64">
        <v>0</v>
      </c>
      <c r="E64">
        <v>15</v>
      </c>
      <c r="G64" t="s">
        <v>103</v>
      </c>
      <c r="J64">
        <v>1</v>
      </c>
      <c r="K64">
        <v>9</v>
      </c>
      <c r="L64">
        <v>9</v>
      </c>
      <c r="M64" t="s">
        <v>25</v>
      </c>
      <c r="N64" t="s">
        <v>25</v>
      </c>
      <c r="Q64" t="s">
        <v>112</v>
      </c>
      <c r="R64" t="s">
        <v>109</v>
      </c>
      <c r="T64">
        <v>1</v>
      </c>
      <c r="U64">
        <v>9</v>
      </c>
      <c r="W64" t="s">
        <v>25</v>
      </c>
      <c r="AA64" t="s">
        <v>103</v>
      </c>
      <c r="AB64" t="s">
        <v>109</v>
      </c>
      <c r="AD64">
        <v>1</v>
      </c>
      <c r="AE64">
        <v>7</v>
      </c>
      <c r="AG64" t="s">
        <v>25</v>
      </c>
    </row>
    <row r="65" spans="1:41" x14ac:dyDescent="0.3">
      <c r="A65" s="3">
        <v>44486</v>
      </c>
      <c r="B65">
        <v>3</v>
      </c>
      <c r="C65" t="s">
        <v>23</v>
      </c>
      <c r="D65">
        <v>0</v>
      </c>
      <c r="E65">
        <v>35</v>
      </c>
      <c r="AA65" t="s">
        <v>65</v>
      </c>
      <c r="AD65">
        <v>1</v>
      </c>
      <c r="AI65">
        <v>6</v>
      </c>
    </row>
    <row r="66" spans="1:41" x14ac:dyDescent="0.3">
      <c r="A66" s="3">
        <v>44486</v>
      </c>
      <c r="B66">
        <v>3</v>
      </c>
      <c r="C66" t="s">
        <v>31</v>
      </c>
      <c r="D66">
        <v>0</v>
      </c>
      <c r="G66" t="s">
        <v>92</v>
      </c>
    </row>
    <row r="67" spans="1:41" x14ac:dyDescent="0.3">
      <c r="A67" s="3">
        <v>44486</v>
      </c>
      <c r="B67">
        <v>3</v>
      </c>
      <c r="C67" t="s">
        <v>26</v>
      </c>
      <c r="D67">
        <v>0</v>
      </c>
      <c r="G67" t="s">
        <v>37</v>
      </c>
      <c r="H67" t="s">
        <v>109</v>
      </c>
      <c r="I67" t="s">
        <v>45</v>
      </c>
      <c r="J67">
        <v>1</v>
      </c>
      <c r="K67">
        <v>13</v>
      </c>
      <c r="M67" t="s">
        <v>38</v>
      </c>
      <c r="Q67" t="s">
        <v>37</v>
      </c>
      <c r="R67" t="s">
        <v>113</v>
      </c>
      <c r="AA67" t="s">
        <v>45</v>
      </c>
    </row>
    <row r="68" spans="1:41" x14ac:dyDescent="0.3">
      <c r="A68" s="3">
        <v>44486</v>
      </c>
      <c r="B68">
        <v>3</v>
      </c>
      <c r="C68" t="s">
        <v>109</v>
      </c>
      <c r="D68">
        <v>1</v>
      </c>
      <c r="G68" t="s">
        <v>114</v>
      </c>
      <c r="H68" t="s">
        <v>97</v>
      </c>
      <c r="J68">
        <v>0</v>
      </c>
    </row>
    <row r="69" spans="1:41" x14ac:dyDescent="0.3">
      <c r="A69" s="3">
        <v>44486</v>
      </c>
      <c r="B69">
        <v>33</v>
      </c>
      <c r="C69" t="s">
        <v>109</v>
      </c>
      <c r="D69">
        <v>1</v>
      </c>
      <c r="G69" t="s">
        <v>114</v>
      </c>
      <c r="H69" t="s">
        <v>31</v>
      </c>
      <c r="J69">
        <v>1</v>
      </c>
      <c r="K69">
        <v>8</v>
      </c>
      <c r="M69" t="s">
        <v>25</v>
      </c>
    </row>
    <row r="70" spans="1:41" x14ac:dyDescent="0.3">
      <c r="A70" s="3">
        <v>44486</v>
      </c>
      <c r="B70">
        <v>3</v>
      </c>
      <c r="C70" t="s">
        <v>109</v>
      </c>
      <c r="D70">
        <v>1</v>
      </c>
      <c r="E70">
        <v>30</v>
      </c>
      <c r="G70" t="s">
        <v>114</v>
      </c>
      <c r="H70" t="s">
        <v>23</v>
      </c>
      <c r="J70">
        <v>0</v>
      </c>
    </row>
    <row r="71" spans="1:41" x14ac:dyDescent="0.3">
      <c r="A71" s="3">
        <v>44486</v>
      </c>
      <c r="B71">
        <v>3</v>
      </c>
      <c r="C71" t="s">
        <v>109</v>
      </c>
      <c r="D71">
        <v>1</v>
      </c>
      <c r="G71" t="s">
        <v>115</v>
      </c>
      <c r="H71" t="s">
        <v>23</v>
      </c>
      <c r="K71">
        <v>14</v>
      </c>
      <c r="M71" t="s">
        <v>38</v>
      </c>
    </row>
    <row r="72" spans="1:41" x14ac:dyDescent="0.3">
      <c r="A72" s="3">
        <v>44486</v>
      </c>
      <c r="B72">
        <v>3</v>
      </c>
      <c r="C72" t="s">
        <v>109</v>
      </c>
      <c r="D72">
        <v>1</v>
      </c>
      <c r="H72" t="s">
        <v>23</v>
      </c>
    </row>
    <row r="73" spans="1:41" x14ac:dyDescent="0.3">
      <c r="A73" s="3">
        <v>44486</v>
      </c>
      <c r="B73">
        <v>3</v>
      </c>
      <c r="C73" t="s">
        <v>109</v>
      </c>
      <c r="D73">
        <v>1</v>
      </c>
      <c r="G73" t="s">
        <v>106</v>
      </c>
      <c r="H73" t="s">
        <v>26</v>
      </c>
      <c r="J73">
        <v>1</v>
      </c>
      <c r="K73">
        <v>13</v>
      </c>
      <c r="M73" t="s">
        <v>61</v>
      </c>
      <c r="Q73" t="s">
        <v>116</v>
      </c>
      <c r="R73" t="s">
        <v>26</v>
      </c>
      <c r="T73">
        <v>1</v>
      </c>
      <c r="U73">
        <v>18</v>
      </c>
      <c r="W73" t="s">
        <v>25</v>
      </c>
    </row>
    <row r="74" spans="1:41" x14ac:dyDescent="0.3">
      <c r="A74" s="3">
        <v>44486</v>
      </c>
      <c r="B74">
        <v>3</v>
      </c>
      <c r="C74" t="s">
        <v>97</v>
      </c>
      <c r="D74">
        <v>0</v>
      </c>
      <c r="G74" t="s">
        <v>117</v>
      </c>
      <c r="H74" t="s">
        <v>109</v>
      </c>
      <c r="J74">
        <v>0</v>
      </c>
      <c r="Q74" t="s">
        <v>98</v>
      </c>
      <c r="R74" t="s">
        <v>109</v>
      </c>
      <c r="T74">
        <v>0</v>
      </c>
      <c r="AA74" t="s">
        <v>98</v>
      </c>
      <c r="AB74" t="s">
        <v>118</v>
      </c>
      <c r="AD74">
        <v>0</v>
      </c>
    </row>
    <row r="75" spans="1:41" x14ac:dyDescent="0.3">
      <c r="A75" s="3">
        <v>44486</v>
      </c>
      <c r="B75">
        <v>3</v>
      </c>
      <c r="C75" t="s">
        <v>102</v>
      </c>
      <c r="D75">
        <v>0</v>
      </c>
      <c r="G75" t="s">
        <v>119</v>
      </c>
      <c r="H75" t="s">
        <v>93</v>
      </c>
      <c r="J75">
        <v>0</v>
      </c>
      <c r="Q75" t="s">
        <v>119</v>
      </c>
      <c r="R75" t="s">
        <v>109</v>
      </c>
      <c r="T75">
        <v>0</v>
      </c>
      <c r="AA75" t="s">
        <v>120</v>
      </c>
    </row>
    <row r="76" spans="1:41" x14ac:dyDescent="0.3">
      <c r="A76" s="3">
        <v>44486</v>
      </c>
      <c r="B76">
        <v>3</v>
      </c>
      <c r="C76" t="s">
        <v>34</v>
      </c>
      <c r="D76">
        <v>0</v>
      </c>
      <c r="E76">
        <v>20</v>
      </c>
      <c r="G76" t="s">
        <v>72</v>
      </c>
      <c r="H76" t="s">
        <v>109</v>
      </c>
      <c r="J76">
        <v>1</v>
      </c>
      <c r="K76">
        <v>0</v>
      </c>
      <c r="L76">
        <v>10</v>
      </c>
      <c r="N76" t="s">
        <v>38</v>
      </c>
      <c r="Q76" t="s">
        <v>103</v>
      </c>
      <c r="R76" t="s">
        <v>109</v>
      </c>
      <c r="T76">
        <v>1</v>
      </c>
      <c r="U76">
        <v>0</v>
      </c>
      <c r="V76">
        <v>7</v>
      </c>
      <c r="X76" t="s">
        <v>25</v>
      </c>
      <c r="AO76" t="s">
        <v>121</v>
      </c>
    </row>
    <row r="77" spans="1:41" x14ac:dyDescent="0.3">
      <c r="A77" s="3">
        <v>44486</v>
      </c>
      <c r="B77">
        <v>4</v>
      </c>
      <c r="C77" t="s">
        <v>31</v>
      </c>
      <c r="D77">
        <v>0</v>
      </c>
      <c r="E77">
        <v>5</v>
      </c>
      <c r="G77" t="s">
        <v>92</v>
      </c>
      <c r="H77" t="s">
        <v>109</v>
      </c>
      <c r="J77">
        <v>1</v>
      </c>
      <c r="K77">
        <v>7</v>
      </c>
      <c r="M77" t="s">
        <v>25</v>
      </c>
      <c r="P77">
        <v>1</v>
      </c>
      <c r="Q77" t="s">
        <v>101</v>
      </c>
      <c r="R77" t="s">
        <v>109</v>
      </c>
      <c r="T77">
        <v>1</v>
      </c>
      <c r="U77">
        <v>13</v>
      </c>
      <c r="W77" t="s">
        <v>25</v>
      </c>
    </row>
    <row r="78" spans="1:41" x14ac:dyDescent="0.3">
      <c r="A78" s="3">
        <v>44486</v>
      </c>
      <c r="B78">
        <v>4</v>
      </c>
      <c r="C78" t="s">
        <v>23</v>
      </c>
      <c r="D78">
        <v>0</v>
      </c>
      <c r="G78" t="s">
        <v>46</v>
      </c>
      <c r="H78" t="s">
        <v>26</v>
      </c>
      <c r="J78">
        <v>1</v>
      </c>
      <c r="O78">
        <v>27</v>
      </c>
      <c r="Q78" t="s">
        <v>124</v>
      </c>
      <c r="R78" t="s">
        <v>109</v>
      </c>
      <c r="T78">
        <v>1</v>
      </c>
      <c r="U78">
        <v>9</v>
      </c>
      <c r="W78" t="s">
        <v>123</v>
      </c>
      <c r="AA78" t="s">
        <v>122</v>
      </c>
    </row>
    <row r="79" spans="1:41" x14ac:dyDescent="0.3">
      <c r="A79" s="3">
        <v>44486</v>
      </c>
      <c r="B79">
        <v>4</v>
      </c>
      <c r="C79" t="s">
        <v>26</v>
      </c>
      <c r="D79">
        <v>0</v>
      </c>
      <c r="G79" t="s">
        <v>37</v>
      </c>
      <c r="H79" t="s">
        <v>109</v>
      </c>
      <c r="J79">
        <v>1</v>
      </c>
      <c r="K79">
        <v>19</v>
      </c>
      <c r="M79" t="s">
        <v>38</v>
      </c>
      <c r="Q79" t="s">
        <v>37</v>
      </c>
      <c r="R79" t="s">
        <v>109</v>
      </c>
      <c r="T79">
        <v>1</v>
      </c>
      <c r="U79">
        <v>13</v>
      </c>
      <c r="W79" t="s">
        <v>128</v>
      </c>
      <c r="Z79">
        <v>1</v>
      </c>
      <c r="AO79" t="s">
        <v>95</v>
      </c>
    </row>
    <row r="80" spans="1:41" x14ac:dyDescent="0.3">
      <c r="A80" s="3">
        <v>44486</v>
      </c>
      <c r="B80">
        <v>4</v>
      </c>
      <c r="C80" t="s">
        <v>109</v>
      </c>
      <c r="D80">
        <v>1</v>
      </c>
    </row>
    <row r="81" spans="1:41" x14ac:dyDescent="0.3">
      <c r="A81" s="3">
        <v>44486</v>
      </c>
      <c r="B81">
        <v>4</v>
      </c>
      <c r="C81" t="s">
        <v>109</v>
      </c>
      <c r="D81">
        <v>1</v>
      </c>
      <c r="G81" t="s">
        <v>126</v>
      </c>
      <c r="H81" t="s">
        <v>26</v>
      </c>
      <c r="J81">
        <v>1</v>
      </c>
      <c r="K81">
        <v>7</v>
      </c>
      <c r="L81">
        <v>7</v>
      </c>
      <c r="M81" t="s">
        <v>61</v>
      </c>
      <c r="N81" t="s">
        <v>25</v>
      </c>
      <c r="AO81" t="s">
        <v>127</v>
      </c>
    </row>
    <row r="82" spans="1:41" x14ac:dyDescent="0.3">
      <c r="A82" s="3">
        <v>44486</v>
      </c>
      <c r="B82">
        <v>4</v>
      </c>
      <c r="C82" t="s">
        <v>109</v>
      </c>
      <c r="D82">
        <v>1</v>
      </c>
      <c r="G82" t="s">
        <v>101</v>
      </c>
      <c r="H82" t="s">
        <v>23</v>
      </c>
      <c r="J82">
        <v>1</v>
      </c>
      <c r="K82">
        <v>11</v>
      </c>
      <c r="M82" t="s">
        <v>38</v>
      </c>
    </row>
    <row r="83" spans="1:41" x14ac:dyDescent="0.3">
      <c r="A83" s="3">
        <v>44486</v>
      </c>
      <c r="B83">
        <v>4</v>
      </c>
      <c r="C83" t="s">
        <v>109</v>
      </c>
      <c r="D83">
        <v>1</v>
      </c>
      <c r="G83" t="s">
        <v>101</v>
      </c>
      <c r="H83" t="s">
        <v>23</v>
      </c>
      <c r="J83">
        <v>1</v>
      </c>
      <c r="K83">
        <v>10</v>
      </c>
      <c r="M83" t="s">
        <v>38</v>
      </c>
    </row>
    <row r="84" spans="1:41" x14ac:dyDescent="0.3">
      <c r="A84" s="3">
        <v>44486</v>
      </c>
      <c r="B84">
        <v>4</v>
      </c>
      <c r="C84" t="s">
        <v>109</v>
      </c>
      <c r="D84">
        <v>1</v>
      </c>
    </row>
    <row r="85" spans="1:41" x14ac:dyDescent="0.3">
      <c r="A85" s="3">
        <v>44486</v>
      </c>
      <c r="B85">
        <v>4</v>
      </c>
      <c r="C85" t="s">
        <v>93</v>
      </c>
      <c r="D85">
        <v>1</v>
      </c>
      <c r="E85">
        <v>55</v>
      </c>
      <c r="H85" t="s">
        <v>102</v>
      </c>
      <c r="J85">
        <v>1</v>
      </c>
      <c r="K85">
        <v>22</v>
      </c>
      <c r="M85" t="s">
        <v>38</v>
      </c>
    </row>
    <row r="86" spans="1:41" x14ac:dyDescent="0.3">
      <c r="A86" s="3">
        <v>44486</v>
      </c>
      <c r="B86">
        <v>4</v>
      </c>
      <c r="C86" t="s">
        <v>97</v>
      </c>
      <c r="D86">
        <v>0</v>
      </c>
      <c r="G86" t="s">
        <v>130</v>
      </c>
      <c r="H86" t="s">
        <v>109</v>
      </c>
      <c r="J86">
        <v>1</v>
      </c>
      <c r="K86">
        <v>11</v>
      </c>
      <c r="M86" t="s">
        <v>129</v>
      </c>
    </row>
    <row r="87" spans="1:41" x14ac:dyDescent="0.3">
      <c r="A87" s="3">
        <v>44486</v>
      </c>
      <c r="B87">
        <v>4</v>
      </c>
      <c r="C87" t="s">
        <v>102</v>
      </c>
      <c r="D87">
        <v>0</v>
      </c>
      <c r="E87">
        <v>40</v>
      </c>
      <c r="G87" t="s">
        <v>131</v>
      </c>
      <c r="H87" t="s">
        <v>93</v>
      </c>
      <c r="J87">
        <v>1</v>
      </c>
      <c r="K87">
        <v>6</v>
      </c>
      <c r="M87" t="s">
        <v>61</v>
      </c>
      <c r="Q87" t="s">
        <v>132</v>
      </c>
      <c r="R87" t="s">
        <v>133</v>
      </c>
      <c r="T87">
        <v>1</v>
      </c>
      <c r="U87">
        <v>8</v>
      </c>
      <c r="W87" t="s">
        <v>38</v>
      </c>
    </row>
    <row r="88" spans="1:41" x14ac:dyDescent="0.3">
      <c r="A88" s="3">
        <v>44486</v>
      </c>
      <c r="B88">
        <v>4</v>
      </c>
      <c r="C88" t="s">
        <v>93</v>
      </c>
      <c r="D88">
        <v>1</v>
      </c>
      <c r="G88" t="s">
        <v>105</v>
      </c>
      <c r="H88" t="s">
        <v>102</v>
      </c>
      <c r="J88">
        <v>1</v>
      </c>
      <c r="K88">
        <v>14</v>
      </c>
      <c r="M88" t="s">
        <v>61</v>
      </c>
    </row>
    <row r="89" spans="1:41" x14ac:dyDescent="0.3">
      <c r="A89" s="3">
        <v>44486</v>
      </c>
      <c r="B89">
        <v>4</v>
      </c>
      <c r="C89" t="s">
        <v>34</v>
      </c>
      <c r="D89">
        <v>0</v>
      </c>
      <c r="E89">
        <v>20</v>
      </c>
      <c r="G89" t="s">
        <v>134</v>
      </c>
      <c r="H89" t="s">
        <v>109</v>
      </c>
      <c r="J89">
        <v>1</v>
      </c>
      <c r="K89">
        <v>10</v>
      </c>
      <c r="M89" t="s">
        <v>25</v>
      </c>
      <c r="P89">
        <v>1</v>
      </c>
      <c r="Q89" t="s">
        <v>134</v>
      </c>
      <c r="R89" t="s">
        <v>93</v>
      </c>
      <c r="T89">
        <v>1</v>
      </c>
      <c r="U89">
        <v>9</v>
      </c>
      <c r="V89">
        <v>17</v>
      </c>
      <c r="W89" t="s">
        <v>25</v>
      </c>
      <c r="AO89" t="s">
        <v>135</v>
      </c>
    </row>
    <row r="90" spans="1:41" x14ac:dyDescent="0.3">
      <c r="A90" s="3">
        <v>44486</v>
      </c>
      <c r="B90">
        <v>5</v>
      </c>
      <c r="C90" t="s">
        <v>23</v>
      </c>
      <c r="D90">
        <v>0</v>
      </c>
      <c r="G90" t="s">
        <v>46</v>
      </c>
      <c r="H90" t="s">
        <v>102</v>
      </c>
      <c r="J90">
        <v>1</v>
      </c>
      <c r="O90">
        <v>15</v>
      </c>
      <c r="AA90" t="s">
        <v>136</v>
      </c>
      <c r="AB90" t="s">
        <v>137</v>
      </c>
      <c r="AD90">
        <v>1</v>
      </c>
      <c r="AI90">
        <v>13</v>
      </c>
    </row>
    <row r="91" spans="1:41" x14ac:dyDescent="0.3">
      <c r="A91" s="3">
        <v>44486</v>
      </c>
      <c r="B91">
        <v>5</v>
      </c>
      <c r="C91" t="s">
        <v>31</v>
      </c>
      <c r="D91">
        <v>0</v>
      </c>
      <c r="E91">
        <v>30</v>
      </c>
      <c r="G91" t="s">
        <v>138</v>
      </c>
      <c r="H91" t="s">
        <v>93</v>
      </c>
      <c r="J91">
        <v>1</v>
      </c>
      <c r="K91">
        <v>9</v>
      </c>
      <c r="T91">
        <v>1</v>
      </c>
      <c r="U91">
        <v>6</v>
      </c>
      <c r="AB91" t="s">
        <v>139</v>
      </c>
      <c r="AD91">
        <v>1</v>
      </c>
      <c r="AE91">
        <v>10</v>
      </c>
    </row>
    <row r="92" spans="1:41" x14ac:dyDescent="0.3">
      <c r="A92" s="3">
        <v>44486</v>
      </c>
      <c r="B92">
        <v>5</v>
      </c>
      <c r="C92" t="s">
        <v>26</v>
      </c>
      <c r="G92" t="s">
        <v>37</v>
      </c>
      <c r="H92" t="s">
        <v>93</v>
      </c>
      <c r="J92">
        <v>0</v>
      </c>
      <c r="Q92" t="s">
        <v>37</v>
      </c>
      <c r="R92" t="s">
        <v>93</v>
      </c>
      <c r="S92" t="s">
        <v>45</v>
      </c>
      <c r="T92">
        <v>1</v>
      </c>
      <c r="U92">
        <v>7</v>
      </c>
      <c r="W92" t="s">
        <v>38</v>
      </c>
    </row>
    <row r="93" spans="1:41" x14ac:dyDescent="0.3">
      <c r="A93" s="3">
        <v>44486</v>
      </c>
      <c r="B93">
        <v>5</v>
      </c>
      <c r="C93" t="s">
        <v>93</v>
      </c>
      <c r="G93" t="s">
        <v>140</v>
      </c>
      <c r="H93" t="s">
        <v>31</v>
      </c>
      <c r="J93">
        <v>1</v>
      </c>
      <c r="K93">
        <v>17</v>
      </c>
      <c r="M93" t="s">
        <v>25</v>
      </c>
    </row>
    <row r="94" spans="1:41" x14ac:dyDescent="0.3">
      <c r="A94" s="3">
        <v>44486</v>
      </c>
      <c r="B94">
        <v>5</v>
      </c>
      <c r="C94" t="s">
        <v>109</v>
      </c>
      <c r="D94">
        <v>1</v>
      </c>
      <c r="G94" t="s">
        <v>131</v>
      </c>
    </row>
    <row r="95" spans="1:41" x14ac:dyDescent="0.3">
      <c r="A95" s="3">
        <v>44486</v>
      </c>
      <c r="B95">
        <v>5</v>
      </c>
      <c r="C95" t="s">
        <v>141</v>
      </c>
      <c r="D95">
        <v>11</v>
      </c>
      <c r="G95" t="s">
        <v>142</v>
      </c>
      <c r="H95" t="s">
        <v>125</v>
      </c>
      <c r="J95">
        <v>1</v>
      </c>
      <c r="K95">
        <v>32</v>
      </c>
      <c r="M95" t="s">
        <v>38</v>
      </c>
      <c r="Q95" t="s">
        <v>143</v>
      </c>
      <c r="R95" t="s">
        <v>26</v>
      </c>
      <c r="T95">
        <v>1</v>
      </c>
      <c r="U95">
        <v>8</v>
      </c>
      <c r="W95" t="s">
        <v>61</v>
      </c>
      <c r="Z95">
        <v>1</v>
      </c>
    </row>
    <row r="96" spans="1:41" x14ac:dyDescent="0.3">
      <c r="A96" s="3">
        <v>44486</v>
      </c>
      <c r="B96">
        <v>5</v>
      </c>
      <c r="C96" t="s">
        <v>97</v>
      </c>
      <c r="D96">
        <v>0</v>
      </c>
      <c r="E96">
        <v>30</v>
      </c>
      <c r="G96" t="s">
        <v>46</v>
      </c>
      <c r="H96" t="s">
        <v>125</v>
      </c>
      <c r="J96">
        <v>1</v>
      </c>
      <c r="O96">
        <v>14</v>
      </c>
    </row>
    <row r="97" spans="1:35" x14ac:dyDescent="0.3">
      <c r="A97" s="3">
        <v>44486</v>
      </c>
      <c r="B97">
        <v>5</v>
      </c>
      <c r="C97" t="s">
        <v>102</v>
      </c>
      <c r="D97">
        <v>0</v>
      </c>
      <c r="E97">
        <v>15</v>
      </c>
      <c r="G97" t="s">
        <v>144</v>
      </c>
      <c r="H97" t="s">
        <v>109</v>
      </c>
      <c r="J97">
        <v>1</v>
      </c>
      <c r="K97">
        <v>10</v>
      </c>
      <c r="Q97" t="s">
        <v>111</v>
      </c>
      <c r="R97" t="s">
        <v>145</v>
      </c>
      <c r="T97">
        <v>0</v>
      </c>
    </row>
    <row r="98" spans="1:35" x14ac:dyDescent="0.3">
      <c r="A98" s="3">
        <v>44486</v>
      </c>
      <c r="B98">
        <v>5</v>
      </c>
      <c r="C98" t="s">
        <v>34</v>
      </c>
      <c r="D98">
        <v>0</v>
      </c>
      <c r="E98">
        <v>20</v>
      </c>
      <c r="G98" t="s">
        <v>72</v>
      </c>
      <c r="J98">
        <v>1</v>
      </c>
      <c r="K98">
        <v>0</v>
      </c>
      <c r="L98">
        <v>11</v>
      </c>
      <c r="M98" t="s">
        <v>38</v>
      </c>
      <c r="Q98" t="s">
        <v>53</v>
      </c>
      <c r="R98" t="s">
        <v>146</v>
      </c>
      <c r="T98">
        <v>1</v>
      </c>
      <c r="U98">
        <v>0</v>
      </c>
      <c r="V98">
        <v>14</v>
      </c>
      <c r="W98" t="s">
        <v>25</v>
      </c>
    </row>
    <row r="99" spans="1:35" x14ac:dyDescent="0.3">
      <c r="A99" s="3">
        <v>44486</v>
      </c>
      <c r="B99">
        <v>6</v>
      </c>
      <c r="C99" t="s">
        <v>147</v>
      </c>
      <c r="E99">
        <v>20</v>
      </c>
      <c r="G99" t="s">
        <v>144</v>
      </c>
      <c r="H99" t="s">
        <v>146</v>
      </c>
      <c r="J99">
        <v>1</v>
      </c>
      <c r="K99">
        <v>0</v>
      </c>
      <c r="L99">
        <v>6</v>
      </c>
      <c r="M99" t="s">
        <v>25</v>
      </c>
    </row>
    <row r="100" spans="1:35" x14ac:dyDescent="0.3">
      <c r="A100" s="3">
        <v>44486</v>
      </c>
      <c r="B100">
        <v>6</v>
      </c>
      <c r="C100" t="s">
        <v>23</v>
      </c>
      <c r="D100">
        <v>0</v>
      </c>
      <c r="E100">
        <v>35</v>
      </c>
      <c r="G100" t="s">
        <v>64</v>
      </c>
      <c r="H100" t="s">
        <v>148</v>
      </c>
      <c r="J100">
        <v>1</v>
      </c>
      <c r="AA100" t="s">
        <v>136</v>
      </c>
      <c r="AD100">
        <v>1</v>
      </c>
      <c r="AI100">
        <v>13</v>
      </c>
    </row>
    <row r="101" spans="1:35" x14ac:dyDescent="0.3">
      <c r="A101" s="3">
        <v>44486</v>
      </c>
      <c r="B101">
        <v>6</v>
      </c>
      <c r="C101" t="s">
        <v>26</v>
      </c>
      <c r="D101">
        <v>0</v>
      </c>
      <c r="Q101" t="s">
        <v>149</v>
      </c>
      <c r="R101" t="s">
        <v>146</v>
      </c>
      <c r="S101" t="s">
        <v>45</v>
      </c>
      <c r="T101">
        <v>1</v>
      </c>
      <c r="U101">
        <v>7</v>
      </c>
      <c r="W101" t="s">
        <v>38</v>
      </c>
    </row>
    <row r="102" spans="1:35" x14ac:dyDescent="0.3">
      <c r="A102" s="3">
        <v>44486</v>
      </c>
      <c r="B102">
        <v>6</v>
      </c>
      <c r="C102" t="s">
        <v>109</v>
      </c>
      <c r="G102" t="s">
        <v>150</v>
      </c>
      <c r="H102" t="s">
        <v>31</v>
      </c>
      <c r="J102">
        <v>1</v>
      </c>
      <c r="K102">
        <v>22</v>
      </c>
      <c r="M102" t="s">
        <v>151</v>
      </c>
    </row>
    <row r="103" spans="1:35" x14ac:dyDescent="0.3">
      <c r="A103" s="3">
        <v>44486</v>
      </c>
      <c r="B103">
        <v>6</v>
      </c>
      <c r="C103" t="s">
        <v>141</v>
      </c>
      <c r="G103" t="s">
        <v>142</v>
      </c>
      <c r="H103" t="s">
        <v>31</v>
      </c>
      <c r="J103">
        <v>1</v>
      </c>
      <c r="K103">
        <v>25</v>
      </c>
      <c r="M103" t="s">
        <v>38</v>
      </c>
      <c r="Q103" t="s">
        <v>69</v>
      </c>
      <c r="R103" t="s">
        <v>31</v>
      </c>
      <c r="T103">
        <v>1</v>
      </c>
      <c r="U103">
        <v>8</v>
      </c>
      <c r="W103" t="s">
        <v>61</v>
      </c>
    </row>
    <row r="104" spans="1:35" x14ac:dyDescent="0.3">
      <c r="A104" s="3">
        <v>44486</v>
      </c>
      <c r="B104">
        <v>6</v>
      </c>
      <c r="C104" t="s">
        <v>97</v>
      </c>
      <c r="D104">
        <v>0</v>
      </c>
      <c r="E104">
        <v>25</v>
      </c>
      <c r="G104" t="s">
        <v>46</v>
      </c>
      <c r="H104" t="s">
        <v>31</v>
      </c>
      <c r="J104">
        <v>1</v>
      </c>
      <c r="O104">
        <v>10</v>
      </c>
    </row>
    <row r="105" spans="1:35" x14ac:dyDescent="0.3">
      <c r="A105" s="3">
        <v>44486</v>
      </c>
      <c r="B105">
        <v>6</v>
      </c>
      <c r="C105" t="s">
        <v>152</v>
      </c>
      <c r="D105">
        <v>1</v>
      </c>
      <c r="G105" t="s">
        <v>153</v>
      </c>
    </row>
    <row r="107" spans="1:35" x14ac:dyDescent="0.3">
      <c r="A107" s="3">
        <v>44502</v>
      </c>
      <c r="B107">
        <v>0</v>
      </c>
      <c r="C107" t="s">
        <v>26</v>
      </c>
      <c r="D107">
        <v>0</v>
      </c>
      <c r="G107" t="s">
        <v>37</v>
      </c>
      <c r="H107" t="s">
        <v>109</v>
      </c>
      <c r="I107" t="s">
        <v>45</v>
      </c>
      <c r="J107">
        <v>1</v>
      </c>
      <c r="K107">
        <v>8</v>
      </c>
      <c r="L107">
        <v>8</v>
      </c>
      <c r="M107" t="s">
        <v>38</v>
      </c>
      <c r="N107" t="s">
        <v>155</v>
      </c>
      <c r="Q107" t="s">
        <v>37</v>
      </c>
      <c r="R107" t="s">
        <v>109</v>
      </c>
      <c r="S107" t="s">
        <v>154</v>
      </c>
      <c r="T107">
        <v>1</v>
      </c>
      <c r="U107">
        <v>9</v>
      </c>
      <c r="W107" t="s">
        <v>38</v>
      </c>
    </row>
    <row r="108" spans="1:35" x14ac:dyDescent="0.3">
      <c r="A108" s="3">
        <v>44502</v>
      </c>
      <c r="B108">
        <v>1</v>
      </c>
      <c r="C108" t="s">
        <v>26</v>
      </c>
      <c r="D108">
        <v>0</v>
      </c>
      <c r="G108" t="s">
        <v>37</v>
      </c>
      <c r="H108" t="s">
        <v>109</v>
      </c>
      <c r="I108" t="s">
        <v>45</v>
      </c>
      <c r="J108">
        <v>1</v>
      </c>
      <c r="K108">
        <v>9</v>
      </c>
      <c r="Q108" t="s">
        <v>37</v>
      </c>
      <c r="R108" t="s">
        <v>109</v>
      </c>
      <c r="S108" t="s">
        <v>154</v>
      </c>
      <c r="T108">
        <v>1</v>
      </c>
      <c r="U108">
        <v>11</v>
      </c>
      <c r="V108">
        <v>2</v>
      </c>
      <c r="W108" t="s">
        <v>38</v>
      </c>
      <c r="X108" t="s">
        <v>45</v>
      </c>
    </row>
    <row r="109" spans="1:35" x14ac:dyDescent="0.3">
      <c r="A109" s="3">
        <v>44502</v>
      </c>
      <c r="B109">
        <v>1</v>
      </c>
      <c r="C109" t="s">
        <v>109</v>
      </c>
      <c r="D109">
        <v>1</v>
      </c>
      <c r="G109" t="s">
        <v>156</v>
      </c>
      <c r="H109" t="s">
        <v>97</v>
      </c>
      <c r="J109">
        <v>0</v>
      </c>
    </row>
    <row r="110" spans="1:35" x14ac:dyDescent="0.3">
      <c r="A110" s="3">
        <v>44502</v>
      </c>
      <c r="B110">
        <v>1</v>
      </c>
      <c r="C110" t="s">
        <v>97</v>
      </c>
      <c r="D110">
        <v>0</v>
      </c>
      <c r="G110" t="s">
        <v>98</v>
      </c>
      <c r="H110" t="s">
        <v>109</v>
      </c>
      <c r="J110">
        <v>1</v>
      </c>
      <c r="K110">
        <v>6</v>
      </c>
      <c r="M110" t="s">
        <v>61</v>
      </c>
      <c r="Q110" t="s">
        <v>98</v>
      </c>
      <c r="R110" t="s">
        <v>109</v>
      </c>
      <c r="T110">
        <v>0</v>
      </c>
    </row>
    <row r="111" spans="1:35" x14ac:dyDescent="0.3">
      <c r="A111" s="3">
        <v>44502</v>
      </c>
      <c r="B111">
        <v>2</v>
      </c>
      <c r="C111" t="s">
        <v>26</v>
      </c>
      <c r="D111">
        <v>0</v>
      </c>
      <c r="G111" t="s">
        <v>37</v>
      </c>
      <c r="H111" t="s">
        <v>109</v>
      </c>
      <c r="I111" t="s">
        <v>45</v>
      </c>
      <c r="J111">
        <v>1</v>
      </c>
      <c r="K111">
        <v>7</v>
      </c>
      <c r="L111">
        <v>2</v>
      </c>
      <c r="M111" t="s">
        <v>38</v>
      </c>
      <c r="N111" t="s">
        <v>45</v>
      </c>
      <c r="Q111" t="s">
        <v>37</v>
      </c>
      <c r="R111" t="s">
        <v>109</v>
      </c>
      <c r="S111" t="s">
        <v>45</v>
      </c>
      <c r="T111">
        <v>1</v>
      </c>
      <c r="U111">
        <v>11</v>
      </c>
      <c r="V111">
        <v>2</v>
      </c>
      <c r="W111" t="s">
        <v>38</v>
      </c>
      <c r="X111" t="s">
        <v>45</v>
      </c>
    </row>
    <row r="112" spans="1:35" x14ac:dyDescent="0.3">
      <c r="A112" s="3">
        <v>44502</v>
      </c>
      <c r="B112">
        <v>2</v>
      </c>
      <c r="C112" t="s">
        <v>109</v>
      </c>
      <c r="D112">
        <v>1</v>
      </c>
      <c r="G112" t="s">
        <v>157</v>
      </c>
      <c r="H112" t="s">
        <v>97</v>
      </c>
      <c r="J112">
        <v>1</v>
      </c>
    </row>
    <row r="113" spans="1:38" x14ac:dyDescent="0.3">
      <c r="A113" s="3">
        <v>44502</v>
      </c>
      <c r="B113">
        <v>2</v>
      </c>
      <c r="C113" t="s">
        <v>97</v>
      </c>
      <c r="D113">
        <v>0</v>
      </c>
      <c r="G113" t="s">
        <v>98</v>
      </c>
      <c r="H113" t="s">
        <v>109</v>
      </c>
      <c r="J113">
        <v>1</v>
      </c>
      <c r="K113">
        <v>30</v>
      </c>
      <c r="M113" t="s">
        <v>61</v>
      </c>
      <c r="P113">
        <v>1</v>
      </c>
      <c r="Q113" t="s">
        <v>98</v>
      </c>
      <c r="R113" t="s">
        <v>109</v>
      </c>
      <c r="T113">
        <v>1</v>
      </c>
      <c r="U113">
        <v>12</v>
      </c>
      <c r="W113" t="s">
        <v>61</v>
      </c>
    </row>
    <row r="114" spans="1:38" x14ac:dyDescent="0.3">
      <c r="A114" s="3">
        <v>44502</v>
      </c>
      <c r="B114">
        <v>2</v>
      </c>
      <c r="C114" t="s">
        <v>97</v>
      </c>
      <c r="D114">
        <v>0</v>
      </c>
      <c r="G114" t="s">
        <v>46</v>
      </c>
      <c r="H114" t="s">
        <v>97</v>
      </c>
      <c r="J114">
        <v>1</v>
      </c>
      <c r="O114">
        <v>12</v>
      </c>
    </row>
    <row r="115" spans="1:38" x14ac:dyDescent="0.3">
      <c r="A115" s="3">
        <v>44502</v>
      </c>
      <c r="B115">
        <v>0</v>
      </c>
      <c r="C115" t="s">
        <v>26</v>
      </c>
      <c r="D115">
        <v>0</v>
      </c>
      <c r="G115" t="s">
        <v>158</v>
      </c>
      <c r="H115" t="s">
        <v>109</v>
      </c>
      <c r="I115" t="s">
        <v>45</v>
      </c>
      <c r="J115">
        <v>1</v>
      </c>
      <c r="K115">
        <v>8</v>
      </c>
      <c r="L115">
        <v>7</v>
      </c>
      <c r="M115" t="s">
        <v>159</v>
      </c>
      <c r="N115" t="s">
        <v>155</v>
      </c>
    </row>
    <row r="116" spans="1:38" x14ac:dyDescent="0.3">
      <c r="A116" s="3">
        <v>44502</v>
      </c>
      <c r="B116">
        <v>0</v>
      </c>
      <c r="C116" t="s">
        <v>97</v>
      </c>
      <c r="D116">
        <v>0</v>
      </c>
      <c r="G116" t="s">
        <v>98</v>
      </c>
      <c r="H116" t="s">
        <v>109</v>
      </c>
      <c r="J116">
        <v>1</v>
      </c>
      <c r="K116">
        <v>19</v>
      </c>
      <c r="M116" t="s">
        <v>61</v>
      </c>
      <c r="P116">
        <v>1</v>
      </c>
    </row>
    <row r="117" spans="1:38" x14ac:dyDescent="0.3">
      <c r="A117" s="3">
        <v>44502</v>
      </c>
      <c r="B117">
        <v>1</v>
      </c>
      <c r="C117" t="s">
        <v>26</v>
      </c>
      <c r="D117">
        <v>0</v>
      </c>
      <c r="G117" t="s">
        <v>158</v>
      </c>
      <c r="H117" t="s">
        <v>160</v>
      </c>
      <c r="I117" t="s">
        <v>45</v>
      </c>
      <c r="J117">
        <v>1</v>
      </c>
      <c r="K117">
        <v>7</v>
      </c>
      <c r="L117">
        <v>6</v>
      </c>
      <c r="M117" t="s">
        <v>159</v>
      </c>
      <c r="N117" t="s">
        <v>155</v>
      </c>
      <c r="Q117" t="s">
        <v>158</v>
      </c>
      <c r="R117" t="s">
        <v>160</v>
      </c>
      <c r="S117" t="s">
        <v>45</v>
      </c>
      <c r="T117">
        <v>1</v>
      </c>
      <c r="U117">
        <v>7</v>
      </c>
      <c r="W117" t="s">
        <v>25</v>
      </c>
    </row>
    <row r="118" spans="1:38" x14ac:dyDescent="0.3">
      <c r="A118" s="3">
        <v>44502</v>
      </c>
      <c r="B118">
        <v>1</v>
      </c>
      <c r="C118" t="s">
        <v>97</v>
      </c>
      <c r="D118">
        <v>0</v>
      </c>
      <c r="G118" t="s">
        <v>98</v>
      </c>
      <c r="H118" t="s">
        <v>160</v>
      </c>
      <c r="I118" t="s">
        <v>161</v>
      </c>
      <c r="J118">
        <v>1</v>
      </c>
      <c r="K118">
        <v>12</v>
      </c>
      <c r="M118" t="s">
        <v>61</v>
      </c>
      <c r="Q118" t="s">
        <v>98</v>
      </c>
      <c r="R118" t="s">
        <v>160</v>
      </c>
      <c r="U118">
        <v>6</v>
      </c>
      <c r="W118" t="s">
        <v>61</v>
      </c>
    </row>
    <row r="119" spans="1:38" x14ac:dyDescent="0.3">
      <c r="A119" s="3">
        <v>44502</v>
      </c>
      <c r="B119">
        <v>0</v>
      </c>
      <c r="C119" t="s">
        <v>162</v>
      </c>
      <c r="D119">
        <v>1</v>
      </c>
      <c r="G119" t="s">
        <v>69</v>
      </c>
      <c r="H119" t="s">
        <v>97</v>
      </c>
      <c r="I119" t="s">
        <v>161</v>
      </c>
      <c r="J119">
        <v>0</v>
      </c>
    </row>
    <row r="120" spans="1:38" x14ac:dyDescent="0.3">
      <c r="A120" s="3">
        <v>44502</v>
      </c>
      <c r="B120">
        <v>1</v>
      </c>
      <c r="C120" t="s">
        <v>26</v>
      </c>
      <c r="D120">
        <v>0</v>
      </c>
      <c r="G120" t="s">
        <v>158</v>
      </c>
      <c r="H120" t="s">
        <v>162</v>
      </c>
      <c r="J120">
        <v>1</v>
      </c>
      <c r="K120">
        <v>5</v>
      </c>
      <c r="M120" t="s">
        <v>25</v>
      </c>
      <c r="Q120" t="s">
        <v>158</v>
      </c>
      <c r="R120" t="s">
        <v>162</v>
      </c>
      <c r="T120">
        <v>1</v>
      </c>
      <c r="U120">
        <v>8</v>
      </c>
      <c r="W120" t="s">
        <v>25</v>
      </c>
    </row>
    <row r="121" spans="1:38" x14ac:dyDescent="0.3">
      <c r="A121" s="3">
        <v>44502</v>
      </c>
      <c r="B121">
        <v>1</v>
      </c>
      <c r="C121" t="s">
        <v>23</v>
      </c>
      <c r="D121">
        <v>0</v>
      </c>
      <c r="G121" t="s">
        <v>163</v>
      </c>
      <c r="H121" t="s">
        <v>162</v>
      </c>
      <c r="J121">
        <v>1</v>
      </c>
      <c r="K121">
        <v>35</v>
      </c>
      <c r="M121" t="s">
        <v>42</v>
      </c>
    </row>
    <row r="122" spans="1:38" x14ac:dyDescent="0.3">
      <c r="A122" s="3">
        <v>44502</v>
      </c>
      <c r="B122">
        <v>1</v>
      </c>
      <c r="C122" t="s">
        <v>162</v>
      </c>
      <c r="D122">
        <v>1</v>
      </c>
    </row>
    <row r="123" spans="1:38" x14ac:dyDescent="0.3">
      <c r="A123" s="3">
        <v>44502</v>
      </c>
      <c r="B123">
        <v>1</v>
      </c>
      <c r="C123" t="s">
        <v>34</v>
      </c>
      <c r="D123">
        <v>0</v>
      </c>
      <c r="G123" t="s">
        <v>72</v>
      </c>
      <c r="H123" t="s">
        <v>162</v>
      </c>
      <c r="J123">
        <v>1</v>
      </c>
      <c r="K123">
        <v>6</v>
      </c>
      <c r="M123" t="s">
        <v>38</v>
      </c>
      <c r="Q123" t="s">
        <v>72</v>
      </c>
      <c r="R123" t="s">
        <v>162</v>
      </c>
      <c r="T123">
        <v>0</v>
      </c>
      <c r="AA123" t="s">
        <v>72</v>
      </c>
      <c r="AB123" t="s">
        <v>162</v>
      </c>
      <c r="AD123">
        <v>1</v>
      </c>
      <c r="AE123">
        <v>24</v>
      </c>
      <c r="AG123" t="s">
        <v>38</v>
      </c>
      <c r="AL123" t="s">
        <v>95</v>
      </c>
    </row>
    <row r="124" spans="1:38" x14ac:dyDescent="0.3">
      <c r="A124" s="3">
        <v>44502</v>
      </c>
      <c r="B124">
        <v>1</v>
      </c>
      <c r="C124" t="s">
        <v>102</v>
      </c>
      <c r="D124">
        <v>0</v>
      </c>
      <c r="G124" t="s">
        <v>100</v>
      </c>
      <c r="H124" t="s">
        <v>162</v>
      </c>
      <c r="J124">
        <v>1</v>
      </c>
      <c r="K124">
        <v>25</v>
      </c>
      <c r="M124" t="s">
        <v>38</v>
      </c>
      <c r="Q124" t="s">
        <v>100</v>
      </c>
      <c r="R124" t="s">
        <v>162</v>
      </c>
      <c r="T124">
        <v>1</v>
      </c>
      <c r="U124">
        <v>12</v>
      </c>
      <c r="W124" t="s">
        <v>38</v>
      </c>
    </row>
    <row r="125" spans="1:38" x14ac:dyDescent="0.3">
      <c r="A125" s="3">
        <v>44502</v>
      </c>
      <c r="B125">
        <v>1</v>
      </c>
      <c r="C125" t="s">
        <v>97</v>
      </c>
      <c r="D125">
        <v>0</v>
      </c>
      <c r="G125" t="s">
        <v>164</v>
      </c>
      <c r="H125" t="s">
        <v>162</v>
      </c>
      <c r="J125">
        <v>1</v>
      </c>
      <c r="K125">
        <v>5</v>
      </c>
      <c r="M125" t="s">
        <v>61</v>
      </c>
      <c r="Q125" t="s">
        <v>98</v>
      </c>
      <c r="R125" t="s">
        <v>162</v>
      </c>
      <c r="T125">
        <v>1</v>
      </c>
      <c r="U125">
        <v>9</v>
      </c>
      <c r="W125" t="s">
        <v>61</v>
      </c>
      <c r="Z125">
        <v>1</v>
      </c>
    </row>
    <row r="126" spans="1:38" x14ac:dyDescent="0.3">
      <c r="A126" s="3">
        <v>44502</v>
      </c>
      <c r="B126">
        <v>-1</v>
      </c>
      <c r="C126" t="s">
        <v>26</v>
      </c>
      <c r="D126">
        <v>0</v>
      </c>
      <c r="G126" t="s">
        <v>158</v>
      </c>
      <c r="H126" t="s">
        <v>23</v>
      </c>
      <c r="J126">
        <v>1</v>
      </c>
      <c r="K126">
        <v>7</v>
      </c>
      <c r="M126" t="s">
        <v>25</v>
      </c>
    </row>
    <row r="127" spans="1:38" x14ac:dyDescent="0.3">
      <c r="A127" s="3">
        <v>44502</v>
      </c>
      <c r="B127">
        <v>-1</v>
      </c>
      <c r="C127" t="s">
        <v>102</v>
      </c>
      <c r="D127">
        <v>0</v>
      </c>
      <c r="G127" t="s">
        <v>100</v>
      </c>
      <c r="H127" t="s">
        <v>23</v>
      </c>
      <c r="J127">
        <v>1</v>
      </c>
      <c r="K127">
        <v>19</v>
      </c>
      <c r="M127" t="s">
        <v>38</v>
      </c>
    </row>
    <row r="128" spans="1:38" x14ac:dyDescent="0.3">
      <c r="A128" s="3">
        <v>44502</v>
      </c>
      <c r="B128">
        <v>0</v>
      </c>
      <c r="C128" t="s">
        <v>31</v>
      </c>
      <c r="D128">
        <v>0</v>
      </c>
      <c r="G128" t="s">
        <v>165</v>
      </c>
      <c r="H128" t="s">
        <v>166</v>
      </c>
      <c r="I128" t="s">
        <v>167</v>
      </c>
      <c r="J128">
        <v>1</v>
      </c>
      <c r="K128">
        <v>14</v>
      </c>
      <c r="M128" t="s">
        <v>25</v>
      </c>
    </row>
    <row r="129" spans="1:36" x14ac:dyDescent="0.3">
      <c r="A129" s="3">
        <v>44502</v>
      </c>
      <c r="B129">
        <v>0</v>
      </c>
      <c r="C129" t="s">
        <v>102</v>
      </c>
      <c r="D129">
        <v>0</v>
      </c>
      <c r="G129" t="s">
        <v>100</v>
      </c>
      <c r="H129" t="s">
        <v>166</v>
      </c>
      <c r="J129">
        <v>1</v>
      </c>
      <c r="K129">
        <v>22</v>
      </c>
      <c r="M129" t="s">
        <v>38</v>
      </c>
      <c r="Q129" t="s">
        <v>100</v>
      </c>
      <c r="R129" t="s">
        <v>166</v>
      </c>
      <c r="T129">
        <v>1</v>
      </c>
      <c r="U129">
        <v>21</v>
      </c>
      <c r="W129" t="s">
        <v>38</v>
      </c>
      <c r="Z129">
        <v>1</v>
      </c>
    </row>
    <row r="130" spans="1:36" x14ac:dyDescent="0.3">
      <c r="A130" s="3">
        <v>44502</v>
      </c>
      <c r="B130">
        <v>0</v>
      </c>
      <c r="C130" t="s">
        <v>26</v>
      </c>
      <c r="D130">
        <v>0</v>
      </c>
      <c r="G130" t="s">
        <v>158</v>
      </c>
      <c r="H130" t="s">
        <v>168</v>
      </c>
      <c r="I130" t="s">
        <v>161</v>
      </c>
      <c r="J130">
        <v>1</v>
      </c>
      <c r="K130">
        <v>12</v>
      </c>
      <c r="L130">
        <v>7</v>
      </c>
      <c r="M130" t="s">
        <v>25</v>
      </c>
      <c r="N130" t="s">
        <v>161</v>
      </c>
      <c r="P130">
        <v>1</v>
      </c>
    </row>
    <row r="131" spans="1:36" x14ac:dyDescent="0.3">
      <c r="A131" s="3">
        <v>44502</v>
      </c>
      <c r="B131">
        <v>0</v>
      </c>
      <c r="C131" t="s">
        <v>102</v>
      </c>
      <c r="D131">
        <v>0</v>
      </c>
      <c r="G131" t="s">
        <v>111</v>
      </c>
      <c r="H131" t="s">
        <v>169</v>
      </c>
      <c r="J131">
        <v>1</v>
      </c>
      <c r="K131">
        <v>14</v>
      </c>
      <c r="L131">
        <v>14</v>
      </c>
      <c r="M131" t="s">
        <v>38</v>
      </c>
      <c r="N131" t="s">
        <v>38</v>
      </c>
      <c r="P131">
        <v>2</v>
      </c>
    </row>
    <row r="132" spans="1:36" x14ac:dyDescent="0.3">
      <c r="A132" s="3">
        <v>44502</v>
      </c>
      <c r="B132">
        <v>0</v>
      </c>
      <c r="C132" t="s">
        <v>26</v>
      </c>
      <c r="D132">
        <v>0</v>
      </c>
      <c r="G132" t="s">
        <v>37</v>
      </c>
      <c r="H132" t="s">
        <v>166</v>
      </c>
      <c r="I132" t="s">
        <v>161</v>
      </c>
      <c r="J132">
        <v>1</v>
      </c>
      <c r="K132">
        <v>7</v>
      </c>
      <c r="L132">
        <v>8</v>
      </c>
      <c r="M132" t="s">
        <v>38</v>
      </c>
      <c r="N132" t="s">
        <v>161</v>
      </c>
      <c r="Q132" t="s">
        <v>37</v>
      </c>
      <c r="R132" t="s">
        <v>166</v>
      </c>
      <c r="T132">
        <v>1</v>
      </c>
      <c r="U132">
        <v>9</v>
      </c>
      <c r="W132" t="s">
        <v>38</v>
      </c>
    </row>
    <row r="133" spans="1:36" x14ac:dyDescent="0.3">
      <c r="A133" s="3">
        <v>44502</v>
      </c>
      <c r="B133">
        <v>0</v>
      </c>
      <c r="C133" t="s">
        <v>160</v>
      </c>
      <c r="D133">
        <v>1</v>
      </c>
      <c r="G133" t="s">
        <v>101</v>
      </c>
      <c r="H133" t="s">
        <v>97</v>
      </c>
    </row>
    <row r="134" spans="1:36" x14ac:dyDescent="0.3">
      <c r="A134" s="3">
        <v>44502</v>
      </c>
      <c r="B134">
        <v>1</v>
      </c>
      <c r="C134" t="s">
        <v>23</v>
      </c>
      <c r="D134">
        <v>0</v>
      </c>
      <c r="G134" t="s">
        <v>108</v>
      </c>
    </row>
    <row r="135" spans="1:36" x14ac:dyDescent="0.3">
      <c r="A135" s="3">
        <v>44502</v>
      </c>
      <c r="B135">
        <v>1</v>
      </c>
      <c r="C135" t="s">
        <v>102</v>
      </c>
      <c r="D135">
        <v>0</v>
      </c>
      <c r="G135" t="s">
        <v>100</v>
      </c>
      <c r="H135" t="s">
        <v>160</v>
      </c>
      <c r="J135">
        <v>1</v>
      </c>
      <c r="K135">
        <v>22</v>
      </c>
      <c r="M135" t="s">
        <v>38</v>
      </c>
      <c r="Q135" t="s">
        <v>100</v>
      </c>
      <c r="R135" t="s">
        <v>160</v>
      </c>
      <c r="T135">
        <v>1</v>
      </c>
      <c r="U135">
        <v>31</v>
      </c>
      <c r="W135" t="s">
        <v>38</v>
      </c>
      <c r="Z135">
        <v>1</v>
      </c>
    </row>
    <row r="136" spans="1:36" x14ac:dyDescent="0.3">
      <c r="A136" s="3">
        <v>44502</v>
      </c>
      <c r="B136">
        <v>1</v>
      </c>
      <c r="C136" t="s">
        <v>34</v>
      </c>
      <c r="D136">
        <v>0</v>
      </c>
      <c r="E136">
        <v>30</v>
      </c>
    </row>
    <row r="137" spans="1:36" x14ac:dyDescent="0.3">
      <c r="A137" s="3">
        <v>44502</v>
      </c>
      <c r="B137">
        <v>1</v>
      </c>
      <c r="C137" t="s">
        <v>97</v>
      </c>
      <c r="D137">
        <v>0</v>
      </c>
      <c r="G137" t="s">
        <v>46</v>
      </c>
      <c r="H137" t="s">
        <v>97</v>
      </c>
      <c r="J137">
        <v>1</v>
      </c>
      <c r="O137">
        <v>13</v>
      </c>
    </row>
    <row r="138" spans="1:36" x14ac:dyDescent="0.3">
      <c r="A138" s="3">
        <v>44502</v>
      </c>
      <c r="B138">
        <v>1</v>
      </c>
      <c r="C138" t="s">
        <v>160</v>
      </c>
      <c r="D138">
        <v>1</v>
      </c>
      <c r="G138" t="s">
        <v>101</v>
      </c>
      <c r="H138" t="s">
        <v>97</v>
      </c>
      <c r="I138" t="s">
        <v>174</v>
      </c>
      <c r="J138">
        <v>1</v>
      </c>
    </row>
    <row r="139" spans="1:36" x14ac:dyDescent="0.3">
      <c r="A139" s="3">
        <v>44502</v>
      </c>
      <c r="B139">
        <v>2</v>
      </c>
      <c r="C139" t="s">
        <v>160</v>
      </c>
      <c r="D139">
        <v>1</v>
      </c>
      <c r="G139" t="s">
        <v>101</v>
      </c>
      <c r="H139" t="s">
        <v>102</v>
      </c>
      <c r="J139">
        <v>0</v>
      </c>
    </row>
    <row r="140" spans="1:36" x14ac:dyDescent="0.3">
      <c r="A140" s="3">
        <v>44502</v>
      </c>
      <c r="B140">
        <v>2</v>
      </c>
      <c r="C140" t="s">
        <v>23</v>
      </c>
      <c r="D140">
        <v>0</v>
      </c>
      <c r="E140">
        <v>70</v>
      </c>
    </row>
    <row r="141" spans="1:36" x14ac:dyDescent="0.3">
      <c r="A141" s="3">
        <v>44502</v>
      </c>
      <c r="B141">
        <v>2</v>
      </c>
      <c r="C141" t="s">
        <v>102</v>
      </c>
      <c r="D141">
        <v>0</v>
      </c>
      <c r="G141" t="s">
        <v>111</v>
      </c>
      <c r="H141" t="s">
        <v>160</v>
      </c>
      <c r="J141">
        <v>1</v>
      </c>
      <c r="K141">
        <v>22</v>
      </c>
      <c r="M141" t="s">
        <v>38</v>
      </c>
      <c r="Q141" t="s">
        <v>111</v>
      </c>
      <c r="R141" t="s">
        <v>160</v>
      </c>
      <c r="T141">
        <v>1</v>
      </c>
      <c r="U141">
        <v>14</v>
      </c>
      <c r="W141" t="s">
        <v>38</v>
      </c>
    </row>
    <row r="142" spans="1:36" x14ac:dyDescent="0.3">
      <c r="A142" s="3">
        <v>44502</v>
      </c>
      <c r="B142">
        <v>0</v>
      </c>
      <c r="C142" t="s">
        <v>31</v>
      </c>
      <c r="D142">
        <v>0</v>
      </c>
      <c r="E142" t="s">
        <v>172</v>
      </c>
      <c r="G142" t="s">
        <v>170</v>
      </c>
      <c r="H142" t="s">
        <v>171</v>
      </c>
      <c r="J142">
        <v>1</v>
      </c>
      <c r="K142">
        <v>12</v>
      </c>
      <c r="M142" t="s">
        <v>25</v>
      </c>
      <c r="Q142" t="s">
        <v>165</v>
      </c>
      <c r="R142" t="s">
        <v>171</v>
      </c>
      <c r="T142">
        <v>1</v>
      </c>
      <c r="U142">
        <v>9</v>
      </c>
      <c r="W142" t="s">
        <v>25</v>
      </c>
      <c r="Z142">
        <v>1</v>
      </c>
      <c r="AA142" t="s">
        <v>165</v>
      </c>
      <c r="AB142" t="s">
        <v>171</v>
      </c>
      <c r="AD142">
        <v>1</v>
      </c>
      <c r="AE142">
        <v>19</v>
      </c>
      <c r="AG142" t="s">
        <v>25</v>
      </c>
      <c r="AJ142">
        <v>1</v>
      </c>
    </row>
    <row r="143" spans="1:36" x14ac:dyDescent="0.3">
      <c r="A143" s="3">
        <v>44502</v>
      </c>
      <c r="B143">
        <v>1</v>
      </c>
      <c r="C143" t="s">
        <v>31</v>
      </c>
      <c r="D143">
        <v>0</v>
      </c>
      <c r="G143" t="s">
        <v>165</v>
      </c>
      <c r="H143" t="s">
        <v>171</v>
      </c>
      <c r="J143">
        <v>1</v>
      </c>
      <c r="K143">
        <v>20</v>
      </c>
      <c r="M143" t="s">
        <v>25</v>
      </c>
      <c r="Q143" t="s">
        <v>173</v>
      </c>
      <c r="R143" t="s">
        <v>171</v>
      </c>
      <c r="T143">
        <v>1</v>
      </c>
      <c r="U143">
        <v>21</v>
      </c>
      <c r="W143" t="s">
        <v>25</v>
      </c>
      <c r="Z143">
        <v>1</v>
      </c>
    </row>
    <row r="144" spans="1:36" x14ac:dyDescent="0.3">
      <c r="A144" s="3">
        <v>44502</v>
      </c>
      <c r="B144">
        <v>0</v>
      </c>
      <c r="C144" t="s">
        <v>97</v>
      </c>
      <c r="D144">
        <v>0</v>
      </c>
      <c r="G144" t="s">
        <v>98</v>
      </c>
      <c r="H144" t="s">
        <v>171</v>
      </c>
      <c r="J144">
        <v>1</v>
      </c>
      <c r="K144">
        <v>11</v>
      </c>
      <c r="M144" t="s">
        <v>61</v>
      </c>
      <c r="Q144" t="s">
        <v>98</v>
      </c>
      <c r="R144" t="s">
        <v>171</v>
      </c>
      <c r="T144">
        <v>1</v>
      </c>
      <c r="U144">
        <v>17</v>
      </c>
      <c r="W144" t="s">
        <v>61</v>
      </c>
      <c r="Z144">
        <v>1</v>
      </c>
    </row>
    <row r="145" spans="1:36" x14ac:dyDescent="0.3">
      <c r="A145" s="3">
        <v>44502</v>
      </c>
      <c r="B145">
        <v>0</v>
      </c>
      <c r="C145" t="s">
        <v>102</v>
      </c>
      <c r="G145" t="s">
        <v>111</v>
      </c>
      <c r="H145" t="s">
        <v>168</v>
      </c>
    </row>
    <row r="146" spans="1:36" x14ac:dyDescent="0.3">
      <c r="A146" s="3">
        <v>44502</v>
      </c>
      <c r="B146">
        <v>0</v>
      </c>
      <c r="C146" t="s">
        <v>26</v>
      </c>
      <c r="D146">
        <v>0</v>
      </c>
      <c r="G146" t="s">
        <v>37</v>
      </c>
      <c r="H146" t="s">
        <v>168</v>
      </c>
      <c r="J146">
        <v>1</v>
      </c>
      <c r="K146">
        <v>8</v>
      </c>
      <c r="L146">
        <v>7</v>
      </c>
      <c r="M146" t="s">
        <v>38</v>
      </c>
      <c r="N146" t="s">
        <v>161</v>
      </c>
      <c r="P146">
        <v>1</v>
      </c>
      <c r="Q146" t="s">
        <v>37</v>
      </c>
      <c r="R146" t="s">
        <v>168</v>
      </c>
      <c r="T146">
        <v>1</v>
      </c>
      <c r="U146">
        <v>16</v>
      </c>
      <c r="W146" t="s">
        <v>38</v>
      </c>
      <c r="Z146">
        <v>1</v>
      </c>
      <c r="AA146" t="s">
        <v>37</v>
      </c>
      <c r="AB146" t="s">
        <v>168</v>
      </c>
      <c r="AD146">
        <v>1</v>
      </c>
      <c r="AE146">
        <v>12</v>
      </c>
      <c r="AG146" t="s">
        <v>38</v>
      </c>
      <c r="AJ146">
        <v>1</v>
      </c>
    </row>
    <row r="147" spans="1:36" x14ac:dyDescent="0.3">
      <c r="A147" s="3">
        <v>44502</v>
      </c>
      <c r="B147">
        <v>1</v>
      </c>
      <c r="C147" t="s">
        <v>26</v>
      </c>
      <c r="D147">
        <v>0</v>
      </c>
      <c r="G147" t="s">
        <v>158</v>
      </c>
      <c r="H147" t="s">
        <v>168</v>
      </c>
      <c r="J147">
        <v>1</v>
      </c>
      <c r="K147">
        <v>13</v>
      </c>
      <c r="M147" t="s">
        <v>25</v>
      </c>
      <c r="P147">
        <v>1</v>
      </c>
      <c r="Q147" t="s">
        <v>158</v>
      </c>
      <c r="R147" t="s">
        <v>168</v>
      </c>
      <c r="T147">
        <v>1</v>
      </c>
      <c r="U147">
        <v>12</v>
      </c>
      <c r="W147" t="s">
        <v>25</v>
      </c>
      <c r="Z147">
        <v>1</v>
      </c>
      <c r="AA147" t="s">
        <v>158</v>
      </c>
      <c r="AB147" t="s">
        <v>168</v>
      </c>
      <c r="AD147">
        <v>1</v>
      </c>
      <c r="AE147">
        <v>12</v>
      </c>
      <c r="AG147" t="s">
        <v>25</v>
      </c>
      <c r="AJ147">
        <v>1</v>
      </c>
    </row>
    <row r="148" spans="1:36" x14ac:dyDescent="0.3">
      <c r="A148" s="3">
        <v>44502</v>
      </c>
      <c r="B148">
        <v>2</v>
      </c>
      <c r="C148" t="s">
        <v>26</v>
      </c>
      <c r="D148">
        <v>0</v>
      </c>
    </row>
    <row r="149" spans="1:36" x14ac:dyDescent="0.3">
      <c r="A149" s="3">
        <v>44502</v>
      </c>
      <c r="B149">
        <v>0</v>
      </c>
      <c r="C149" t="s">
        <v>31</v>
      </c>
      <c r="G149" t="s">
        <v>165</v>
      </c>
      <c r="H149" t="s">
        <v>171</v>
      </c>
      <c r="J149">
        <v>1</v>
      </c>
      <c r="K149">
        <v>23</v>
      </c>
      <c r="M149" t="s">
        <v>25</v>
      </c>
      <c r="P149">
        <v>1</v>
      </c>
      <c r="Q149" t="s">
        <v>165</v>
      </c>
      <c r="R149" t="s">
        <v>171</v>
      </c>
      <c r="T149">
        <v>1</v>
      </c>
      <c r="U149">
        <v>11</v>
      </c>
      <c r="W149" t="s">
        <v>25</v>
      </c>
    </row>
    <row r="150" spans="1:36" x14ac:dyDescent="0.3">
      <c r="A150" s="3">
        <v>44502</v>
      </c>
      <c r="B150">
        <v>0</v>
      </c>
      <c r="C150" t="s">
        <v>34</v>
      </c>
      <c r="D150">
        <v>0</v>
      </c>
      <c r="G150" t="s">
        <v>72</v>
      </c>
      <c r="H150" t="s">
        <v>171</v>
      </c>
      <c r="J150">
        <v>1</v>
      </c>
      <c r="K150">
        <v>7</v>
      </c>
      <c r="M150" t="s">
        <v>38</v>
      </c>
      <c r="Q150" t="s">
        <v>72</v>
      </c>
      <c r="R150" t="s">
        <v>171</v>
      </c>
      <c r="T150">
        <v>1</v>
      </c>
      <c r="U150">
        <v>9</v>
      </c>
      <c r="W150" t="s">
        <v>38</v>
      </c>
      <c r="Z150">
        <v>1</v>
      </c>
      <c r="AA150" t="s">
        <v>175</v>
      </c>
      <c r="AB150" t="s">
        <v>171</v>
      </c>
      <c r="AD150">
        <v>1</v>
      </c>
      <c r="AE150">
        <v>11</v>
      </c>
      <c r="AG150" t="s">
        <v>25</v>
      </c>
      <c r="AJ150">
        <v>1</v>
      </c>
    </row>
    <row r="151" spans="1:36" x14ac:dyDescent="0.3">
      <c r="A151" s="3">
        <v>44502</v>
      </c>
      <c r="B151">
        <v>0</v>
      </c>
      <c r="C151" t="s">
        <v>102</v>
      </c>
      <c r="D151">
        <v>0</v>
      </c>
      <c r="G151" t="s">
        <v>111</v>
      </c>
      <c r="H151" t="s">
        <v>171</v>
      </c>
      <c r="J151">
        <v>1</v>
      </c>
      <c r="K151">
        <v>12</v>
      </c>
      <c r="M151" t="s">
        <v>38</v>
      </c>
      <c r="Q151" t="s">
        <v>111</v>
      </c>
      <c r="R151" t="s">
        <v>171</v>
      </c>
      <c r="T151">
        <v>1</v>
      </c>
      <c r="U151">
        <v>16</v>
      </c>
      <c r="W151" t="s">
        <v>38</v>
      </c>
      <c r="Z151">
        <v>1</v>
      </c>
    </row>
    <row r="152" spans="1:36" x14ac:dyDescent="0.3">
      <c r="A152" s="3">
        <v>44502</v>
      </c>
      <c r="B152">
        <v>1</v>
      </c>
      <c r="C152" t="s">
        <v>31</v>
      </c>
      <c r="D152">
        <v>0</v>
      </c>
      <c r="G152" t="s">
        <v>165</v>
      </c>
      <c r="H152" t="s">
        <v>171</v>
      </c>
      <c r="J152">
        <v>1</v>
      </c>
      <c r="K152">
        <v>19</v>
      </c>
      <c r="M152" t="s">
        <v>25</v>
      </c>
      <c r="Q152" t="s">
        <v>92</v>
      </c>
      <c r="R152" t="s">
        <v>171</v>
      </c>
      <c r="T152">
        <v>1</v>
      </c>
      <c r="U152">
        <v>8</v>
      </c>
      <c r="W152" t="s">
        <v>25</v>
      </c>
      <c r="Z152">
        <v>1</v>
      </c>
    </row>
    <row r="153" spans="1:36" x14ac:dyDescent="0.3">
      <c r="A153" s="3">
        <v>44502</v>
      </c>
      <c r="B153">
        <v>1</v>
      </c>
      <c r="C153" t="s">
        <v>34</v>
      </c>
      <c r="D153">
        <v>0</v>
      </c>
      <c r="G153" t="s">
        <v>35</v>
      </c>
      <c r="H153" t="s">
        <v>171</v>
      </c>
      <c r="J153">
        <v>1</v>
      </c>
      <c r="K153">
        <v>11</v>
      </c>
      <c r="M153" t="s">
        <v>25</v>
      </c>
    </row>
    <row r="154" spans="1:36" x14ac:dyDescent="0.3">
      <c r="A154" s="3">
        <v>44502</v>
      </c>
      <c r="B154">
        <v>2</v>
      </c>
      <c r="C154" t="s">
        <v>31</v>
      </c>
      <c r="D154">
        <v>0</v>
      </c>
      <c r="G154" t="s">
        <v>165</v>
      </c>
      <c r="H154" t="s">
        <v>171</v>
      </c>
      <c r="J154">
        <v>1</v>
      </c>
      <c r="K154">
        <v>19</v>
      </c>
      <c r="M154" t="s">
        <v>25</v>
      </c>
      <c r="P154">
        <v>1</v>
      </c>
    </row>
    <row r="155" spans="1:36" x14ac:dyDescent="0.3">
      <c r="A155" s="3">
        <v>44502</v>
      </c>
      <c r="B155">
        <v>0</v>
      </c>
      <c r="C155" t="s">
        <v>26</v>
      </c>
      <c r="D155">
        <v>0</v>
      </c>
      <c r="G155" t="s">
        <v>72</v>
      </c>
      <c r="H155" t="s">
        <v>171</v>
      </c>
      <c r="J155">
        <v>1</v>
      </c>
      <c r="K155">
        <v>16</v>
      </c>
      <c r="L155">
        <v>4</v>
      </c>
      <c r="M155" t="s">
        <v>38</v>
      </c>
      <c r="N155" t="s">
        <v>161</v>
      </c>
      <c r="Q155" t="s">
        <v>37</v>
      </c>
      <c r="R155" t="s">
        <v>171</v>
      </c>
      <c r="T155">
        <v>1</v>
      </c>
      <c r="U155">
        <v>15</v>
      </c>
      <c r="W155" t="s">
        <v>38</v>
      </c>
      <c r="Z155">
        <v>1</v>
      </c>
      <c r="AA155" t="s">
        <v>37</v>
      </c>
      <c r="AB155" t="s">
        <v>171</v>
      </c>
      <c r="AD155">
        <v>1</v>
      </c>
      <c r="AE155">
        <v>12</v>
      </c>
      <c r="AG155" t="s">
        <v>38</v>
      </c>
      <c r="AJ155">
        <v>1</v>
      </c>
    </row>
    <row r="156" spans="1:36" x14ac:dyDescent="0.3">
      <c r="A156" s="3">
        <v>44502</v>
      </c>
      <c r="B156">
        <v>1</v>
      </c>
      <c r="C156" t="s">
        <v>26</v>
      </c>
      <c r="D156">
        <v>0</v>
      </c>
      <c r="G156" t="s">
        <v>158</v>
      </c>
      <c r="H156" t="s">
        <v>171</v>
      </c>
      <c r="J156">
        <v>1</v>
      </c>
      <c r="K156">
        <v>7</v>
      </c>
      <c r="M156" t="s">
        <v>25</v>
      </c>
      <c r="Q156" t="s">
        <v>158</v>
      </c>
    </row>
    <row r="157" spans="1:36" x14ac:dyDescent="0.3">
      <c r="A157" s="3">
        <v>44502</v>
      </c>
      <c r="B157">
        <v>1</v>
      </c>
      <c r="C157" t="s">
        <v>102</v>
      </c>
      <c r="D157">
        <v>0</v>
      </c>
      <c r="G157" t="s">
        <v>131</v>
      </c>
      <c r="H157" t="s">
        <v>166</v>
      </c>
      <c r="J157">
        <v>1</v>
      </c>
      <c r="K157">
        <v>9</v>
      </c>
      <c r="M157" t="s">
        <v>61</v>
      </c>
      <c r="Q157" t="s">
        <v>111</v>
      </c>
      <c r="R157" t="s">
        <v>176</v>
      </c>
      <c r="T157">
        <v>1</v>
      </c>
      <c r="U157">
        <v>15</v>
      </c>
      <c r="W157" t="s">
        <v>38</v>
      </c>
      <c r="Z157">
        <v>1</v>
      </c>
    </row>
    <row r="158" spans="1:36" x14ac:dyDescent="0.3">
      <c r="A158" s="3">
        <v>44502</v>
      </c>
      <c r="B158">
        <v>1</v>
      </c>
      <c r="C158" t="s">
        <v>171</v>
      </c>
      <c r="D158">
        <v>1</v>
      </c>
      <c r="G158" t="s">
        <v>69</v>
      </c>
      <c r="H158" t="s">
        <v>102</v>
      </c>
      <c r="J158">
        <v>1</v>
      </c>
      <c r="K158">
        <v>20</v>
      </c>
      <c r="M158" t="s">
        <v>61</v>
      </c>
    </row>
    <row r="159" spans="1:36" x14ac:dyDescent="0.3">
      <c r="A159" s="3">
        <v>44502</v>
      </c>
      <c r="B159">
        <v>1</v>
      </c>
      <c r="C159" t="s">
        <v>171</v>
      </c>
      <c r="D159">
        <v>1</v>
      </c>
      <c r="G159" t="s">
        <v>69</v>
      </c>
      <c r="H159" t="s">
        <v>102</v>
      </c>
      <c r="J159">
        <v>1</v>
      </c>
      <c r="K159">
        <v>18</v>
      </c>
      <c r="M159" t="s">
        <v>61</v>
      </c>
    </row>
    <row r="160" spans="1:36" x14ac:dyDescent="0.3">
      <c r="A160" s="3">
        <v>44502</v>
      </c>
      <c r="B160">
        <v>1</v>
      </c>
      <c r="C160" t="s">
        <v>166</v>
      </c>
      <c r="D160">
        <v>1</v>
      </c>
      <c r="H160" t="s">
        <v>102</v>
      </c>
      <c r="J160">
        <v>1</v>
      </c>
      <c r="P160">
        <v>1</v>
      </c>
    </row>
    <row r="161" spans="1:41" x14ac:dyDescent="0.3">
      <c r="A161" s="3">
        <v>44502</v>
      </c>
      <c r="B161">
        <v>-1</v>
      </c>
      <c r="C161" t="s">
        <v>23</v>
      </c>
      <c r="D161">
        <v>0</v>
      </c>
      <c r="G161" t="s">
        <v>46</v>
      </c>
      <c r="H161" t="s">
        <v>97</v>
      </c>
      <c r="J161">
        <v>1</v>
      </c>
      <c r="O161">
        <v>13</v>
      </c>
    </row>
    <row r="162" spans="1:41" x14ac:dyDescent="0.3">
      <c r="A162" s="3">
        <v>44502</v>
      </c>
      <c r="B162">
        <v>0</v>
      </c>
      <c r="C162" t="s">
        <v>26</v>
      </c>
      <c r="D162">
        <v>0</v>
      </c>
      <c r="G162" t="s">
        <v>158</v>
      </c>
      <c r="H162" t="s">
        <v>171</v>
      </c>
      <c r="J162">
        <v>1</v>
      </c>
      <c r="K162">
        <v>9</v>
      </c>
      <c r="M162" t="s">
        <v>25</v>
      </c>
      <c r="Q162" t="s">
        <v>158</v>
      </c>
      <c r="R162" t="s">
        <v>171</v>
      </c>
      <c r="S162" t="s">
        <v>95</v>
      </c>
      <c r="T162">
        <v>1</v>
      </c>
      <c r="U162">
        <v>13</v>
      </c>
      <c r="Z162">
        <v>1</v>
      </c>
    </row>
    <row r="163" spans="1:41" x14ac:dyDescent="0.3">
      <c r="A163" s="3">
        <v>44502</v>
      </c>
      <c r="B163">
        <v>0</v>
      </c>
      <c r="C163" t="s">
        <v>23</v>
      </c>
      <c r="D163">
        <v>0</v>
      </c>
      <c r="G163" t="s">
        <v>177</v>
      </c>
      <c r="H163" t="s">
        <v>166</v>
      </c>
      <c r="J163">
        <v>1</v>
      </c>
      <c r="K163">
        <v>22</v>
      </c>
      <c r="M163" t="s">
        <v>42</v>
      </c>
      <c r="P163">
        <v>1</v>
      </c>
    </row>
    <row r="164" spans="1:41" x14ac:dyDescent="0.3">
      <c r="A164" s="3"/>
    </row>
    <row r="165" spans="1:41" x14ac:dyDescent="0.3">
      <c r="A165" s="3"/>
    </row>
    <row r="166" spans="1:41" x14ac:dyDescent="0.3">
      <c r="A166" s="3">
        <v>44507</v>
      </c>
      <c r="B166">
        <v>1</v>
      </c>
      <c r="C166" t="s">
        <v>26</v>
      </c>
      <c r="D166">
        <v>0</v>
      </c>
      <c r="G166" t="s">
        <v>37</v>
      </c>
      <c r="H166" t="s">
        <v>272</v>
      </c>
      <c r="I166" t="s">
        <v>45</v>
      </c>
      <c r="J166">
        <v>1</v>
      </c>
      <c r="K166">
        <v>7</v>
      </c>
      <c r="M166" t="s">
        <v>38</v>
      </c>
      <c r="Q166" t="s">
        <v>37</v>
      </c>
      <c r="R166" t="s">
        <v>272</v>
      </c>
      <c r="S166" t="s">
        <v>45</v>
      </c>
      <c r="T166">
        <v>1</v>
      </c>
      <c r="U166">
        <v>11</v>
      </c>
      <c r="W166" t="s">
        <v>38</v>
      </c>
      <c r="AA166" t="s">
        <v>37</v>
      </c>
      <c r="AB166" t="s">
        <v>272</v>
      </c>
      <c r="AK166" t="s">
        <v>277</v>
      </c>
      <c r="AO166" s="14">
        <v>8.9930555555555555E-2</v>
      </c>
    </row>
    <row r="167" spans="1:41" x14ac:dyDescent="0.3">
      <c r="A167" s="3">
        <v>44507</v>
      </c>
      <c r="B167">
        <v>1</v>
      </c>
      <c r="C167" t="s">
        <v>272</v>
      </c>
      <c r="D167">
        <v>3</v>
      </c>
      <c r="G167" t="s">
        <v>273</v>
      </c>
      <c r="H167" t="s">
        <v>26</v>
      </c>
      <c r="J167">
        <v>1</v>
      </c>
      <c r="K167">
        <v>13</v>
      </c>
      <c r="M167" t="s">
        <v>25</v>
      </c>
      <c r="Q167" t="s">
        <v>273</v>
      </c>
      <c r="R167" t="s">
        <v>26</v>
      </c>
      <c r="T167">
        <v>1</v>
      </c>
      <c r="U167">
        <v>10</v>
      </c>
      <c r="W167" t="s">
        <v>25</v>
      </c>
      <c r="AA167" t="s">
        <v>273</v>
      </c>
      <c r="AB167" t="s">
        <v>26</v>
      </c>
      <c r="AD167">
        <v>1</v>
      </c>
      <c r="AG167" t="s">
        <v>25</v>
      </c>
      <c r="AK167" t="s">
        <v>277</v>
      </c>
    </row>
    <row r="168" spans="1:41" x14ac:dyDescent="0.3">
      <c r="A168" s="3">
        <v>44507</v>
      </c>
      <c r="B168">
        <v>1</v>
      </c>
      <c r="C168" t="s">
        <v>97</v>
      </c>
      <c r="D168">
        <v>0</v>
      </c>
      <c r="G168" t="s">
        <v>274</v>
      </c>
      <c r="H168" t="s">
        <v>98</v>
      </c>
      <c r="AA168" t="s">
        <v>275</v>
      </c>
      <c r="AK168" t="s">
        <v>277</v>
      </c>
    </row>
    <row r="169" spans="1:41" x14ac:dyDescent="0.3">
      <c r="A169" s="3">
        <v>44507</v>
      </c>
      <c r="B169">
        <v>2</v>
      </c>
      <c r="C169" t="s">
        <v>26</v>
      </c>
      <c r="D169">
        <v>0</v>
      </c>
      <c r="G169" t="s">
        <v>37</v>
      </c>
      <c r="H169" t="s">
        <v>272</v>
      </c>
      <c r="I169" t="s">
        <v>45</v>
      </c>
      <c r="J169">
        <v>1</v>
      </c>
      <c r="K169">
        <v>8</v>
      </c>
      <c r="M169" t="s">
        <v>38</v>
      </c>
      <c r="Q169" t="s">
        <v>37</v>
      </c>
      <c r="R169" t="s">
        <v>272</v>
      </c>
      <c r="S169" t="s">
        <v>276</v>
      </c>
      <c r="T169">
        <v>0</v>
      </c>
      <c r="AA169" t="s">
        <v>37</v>
      </c>
      <c r="AB169" t="s">
        <v>272</v>
      </c>
      <c r="AC169" t="s">
        <v>45</v>
      </c>
      <c r="AD169">
        <v>1</v>
      </c>
      <c r="AE169">
        <v>13</v>
      </c>
      <c r="AG169" t="s">
        <v>38</v>
      </c>
      <c r="AK169" t="s">
        <v>277</v>
      </c>
    </row>
    <row r="170" spans="1:41" x14ac:dyDescent="0.3">
      <c r="A170" s="3">
        <v>44507</v>
      </c>
      <c r="B170">
        <v>2</v>
      </c>
      <c r="C170" t="s">
        <v>272</v>
      </c>
      <c r="D170">
        <v>3</v>
      </c>
      <c r="G170" t="s">
        <v>278</v>
      </c>
      <c r="H170" t="s">
        <v>26</v>
      </c>
      <c r="J170">
        <v>1</v>
      </c>
      <c r="K170">
        <v>37</v>
      </c>
      <c r="M170" t="s">
        <v>42</v>
      </c>
      <c r="Q170" t="s">
        <v>278</v>
      </c>
      <c r="R170" t="s">
        <v>97</v>
      </c>
      <c r="T170">
        <v>1</v>
      </c>
      <c r="U170">
        <v>18</v>
      </c>
      <c r="W170" t="s">
        <v>42</v>
      </c>
      <c r="AK170" t="s">
        <v>277</v>
      </c>
    </row>
    <row r="171" spans="1:41" x14ac:dyDescent="0.3">
      <c r="A171" s="3">
        <v>44507</v>
      </c>
      <c r="B171">
        <v>2</v>
      </c>
      <c r="C171" t="s">
        <v>272</v>
      </c>
      <c r="D171">
        <v>3</v>
      </c>
      <c r="G171" t="s">
        <v>273</v>
      </c>
      <c r="H171" t="s">
        <v>26</v>
      </c>
      <c r="J171">
        <v>1</v>
      </c>
      <c r="K171">
        <v>19</v>
      </c>
      <c r="Q171" t="s">
        <v>273</v>
      </c>
      <c r="R171" t="s">
        <v>26</v>
      </c>
      <c r="T171">
        <v>1</v>
      </c>
      <c r="U171">
        <v>10</v>
      </c>
      <c r="Z171">
        <v>1</v>
      </c>
      <c r="AK171" t="s">
        <v>277</v>
      </c>
    </row>
    <row r="172" spans="1:41" x14ac:dyDescent="0.3">
      <c r="A172" s="3">
        <v>44507</v>
      </c>
      <c r="B172">
        <v>2</v>
      </c>
      <c r="C172" t="s">
        <v>97</v>
      </c>
      <c r="D172">
        <v>0</v>
      </c>
      <c r="G172" t="s">
        <v>98</v>
      </c>
      <c r="H172" t="s">
        <v>272</v>
      </c>
      <c r="I172" t="s">
        <v>274</v>
      </c>
      <c r="J172">
        <v>1</v>
      </c>
      <c r="K172">
        <v>12</v>
      </c>
      <c r="M172" t="s">
        <v>61</v>
      </c>
      <c r="Q172" t="s">
        <v>98</v>
      </c>
      <c r="R172" t="s">
        <v>272</v>
      </c>
      <c r="S172" t="s">
        <v>274</v>
      </c>
      <c r="T172">
        <v>1</v>
      </c>
      <c r="U172">
        <v>12</v>
      </c>
      <c r="W172" t="s">
        <v>61</v>
      </c>
      <c r="AA172" t="s">
        <v>279</v>
      </c>
      <c r="AB172" t="s">
        <v>272</v>
      </c>
      <c r="AD172">
        <v>1</v>
      </c>
      <c r="AE172">
        <v>20</v>
      </c>
      <c r="AG172" t="s">
        <v>129</v>
      </c>
      <c r="AK172" t="s">
        <v>277</v>
      </c>
    </row>
    <row r="173" spans="1:41" x14ac:dyDescent="0.3">
      <c r="A173" s="3">
        <v>44507</v>
      </c>
      <c r="B173">
        <v>2</v>
      </c>
      <c r="C173" t="s">
        <v>31</v>
      </c>
      <c r="D173">
        <v>0</v>
      </c>
      <c r="G173" t="s">
        <v>165</v>
      </c>
      <c r="H173" t="s">
        <v>272</v>
      </c>
      <c r="I173" t="s">
        <v>95</v>
      </c>
      <c r="J173">
        <v>1</v>
      </c>
      <c r="K173">
        <v>27</v>
      </c>
      <c r="M173" t="s">
        <v>25</v>
      </c>
      <c r="AA173" t="s">
        <v>280</v>
      </c>
      <c r="AK173" t="s">
        <v>277</v>
      </c>
    </row>
    <row r="174" spans="1:41" x14ac:dyDescent="0.3">
      <c r="A174" s="3">
        <v>44507</v>
      </c>
      <c r="B174">
        <v>2</v>
      </c>
      <c r="C174" t="s">
        <v>34</v>
      </c>
      <c r="D174">
        <v>0</v>
      </c>
      <c r="G174" t="s">
        <v>281</v>
      </c>
      <c r="H174" t="s">
        <v>272</v>
      </c>
      <c r="AK174" t="s">
        <v>277</v>
      </c>
    </row>
    <row r="175" spans="1:41" x14ac:dyDescent="0.3">
      <c r="A175" s="3">
        <v>44507</v>
      </c>
      <c r="B175">
        <v>2</v>
      </c>
      <c r="C175" t="s">
        <v>272</v>
      </c>
      <c r="D175">
        <v>3</v>
      </c>
      <c r="J175">
        <v>1</v>
      </c>
      <c r="K175">
        <v>15</v>
      </c>
      <c r="M175" t="s">
        <v>42</v>
      </c>
      <c r="AK175" t="s">
        <v>277</v>
      </c>
    </row>
    <row r="176" spans="1:41" x14ac:dyDescent="0.3">
      <c r="A176" s="3">
        <v>44507</v>
      </c>
      <c r="B176">
        <v>3</v>
      </c>
      <c r="C176" t="s">
        <v>26</v>
      </c>
      <c r="D176">
        <v>0</v>
      </c>
      <c r="G176" t="s">
        <v>37</v>
      </c>
      <c r="H176" t="s">
        <v>272</v>
      </c>
      <c r="I176" t="s">
        <v>45</v>
      </c>
      <c r="J176">
        <v>0</v>
      </c>
      <c r="Q176" t="s">
        <v>37</v>
      </c>
      <c r="R176" t="s">
        <v>272</v>
      </c>
      <c r="S176" t="s">
        <v>45</v>
      </c>
      <c r="T176">
        <v>1</v>
      </c>
      <c r="U176">
        <v>9</v>
      </c>
      <c r="W176" t="s">
        <v>38</v>
      </c>
      <c r="AA176" t="s">
        <v>37</v>
      </c>
      <c r="AB176" t="s">
        <v>272</v>
      </c>
      <c r="AC176" t="s">
        <v>276</v>
      </c>
      <c r="AD176">
        <v>1</v>
      </c>
      <c r="AK176" t="s">
        <v>277</v>
      </c>
    </row>
    <row r="177" spans="1:42" x14ac:dyDescent="0.3">
      <c r="A177" s="3">
        <v>44507</v>
      </c>
      <c r="B177">
        <v>3</v>
      </c>
      <c r="C177" t="s">
        <v>23</v>
      </c>
      <c r="D177">
        <v>0</v>
      </c>
      <c r="G177" t="s">
        <v>64</v>
      </c>
      <c r="H177" t="s">
        <v>282</v>
      </c>
      <c r="AK177" t="s">
        <v>277</v>
      </c>
    </row>
    <row r="178" spans="1:42" x14ac:dyDescent="0.3">
      <c r="A178" s="3">
        <v>44507</v>
      </c>
      <c r="B178">
        <v>3</v>
      </c>
      <c r="C178" t="s">
        <v>272</v>
      </c>
      <c r="D178">
        <v>3</v>
      </c>
      <c r="G178" t="s">
        <v>283</v>
      </c>
      <c r="H178" t="s">
        <v>31</v>
      </c>
      <c r="Q178" t="s">
        <v>283</v>
      </c>
      <c r="R178" t="s">
        <v>97</v>
      </c>
      <c r="AK178" t="s">
        <v>277</v>
      </c>
    </row>
    <row r="179" spans="1:42" x14ac:dyDescent="0.3">
      <c r="A179" s="3">
        <v>44507</v>
      </c>
      <c r="B179">
        <v>3</v>
      </c>
      <c r="C179" t="s">
        <v>272</v>
      </c>
      <c r="D179">
        <v>3</v>
      </c>
      <c r="G179" t="s">
        <v>284</v>
      </c>
      <c r="H179" t="s">
        <v>34</v>
      </c>
      <c r="J179">
        <v>1</v>
      </c>
      <c r="K179">
        <v>35</v>
      </c>
      <c r="M179" t="s">
        <v>42</v>
      </c>
      <c r="AK179" t="s">
        <v>277</v>
      </c>
    </row>
    <row r="180" spans="1:42" x14ac:dyDescent="0.3">
      <c r="A180" s="3">
        <v>44507</v>
      </c>
      <c r="B180">
        <v>3</v>
      </c>
      <c r="C180" t="s">
        <v>97</v>
      </c>
      <c r="D180">
        <v>0</v>
      </c>
      <c r="G180" t="s">
        <v>98</v>
      </c>
      <c r="H180" t="s">
        <v>272</v>
      </c>
      <c r="I180" t="s">
        <v>274</v>
      </c>
      <c r="J180">
        <v>1</v>
      </c>
      <c r="K180">
        <v>8</v>
      </c>
      <c r="M180" t="s">
        <v>61</v>
      </c>
      <c r="Q180" t="s">
        <v>98</v>
      </c>
      <c r="R180" t="s">
        <v>272</v>
      </c>
      <c r="S180" t="s">
        <v>285</v>
      </c>
      <c r="T180">
        <v>1</v>
      </c>
      <c r="AA180" t="s">
        <v>279</v>
      </c>
      <c r="AB180" t="s">
        <v>272</v>
      </c>
      <c r="AD180">
        <v>1</v>
      </c>
      <c r="AE180">
        <v>14</v>
      </c>
      <c r="AG180" t="s">
        <v>129</v>
      </c>
      <c r="AK180" t="s">
        <v>277</v>
      </c>
    </row>
    <row r="181" spans="1:42" x14ac:dyDescent="0.3">
      <c r="A181" s="3">
        <v>44507</v>
      </c>
      <c r="B181">
        <v>3</v>
      </c>
      <c r="C181" t="s">
        <v>31</v>
      </c>
      <c r="D181">
        <v>0</v>
      </c>
      <c r="G181" t="s">
        <v>173</v>
      </c>
      <c r="H181" t="s">
        <v>272</v>
      </c>
      <c r="J181">
        <v>1</v>
      </c>
      <c r="K181">
        <v>21</v>
      </c>
      <c r="Q181" t="s">
        <v>92</v>
      </c>
      <c r="R181" t="s">
        <v>272</v>
      </c>
      <c r="AA181" t="s">
        <v>286</v>
      </c>
      <c r="AB181" t="s">
        <v>287</v>
      </c>
      <c r="AK181" t="s">
        <v>277</v>
      </c>
      <c r="AO181" t="s">
        <v>288</v>
      </c>
    </row>
    <row r="182" spans="1:42" x14ac:dyDescent="0.3">
      <c r="A182" s="3">
        <v>44507</v>
      </c>
      <c r="B182">
        <v>3</v>
      </c>
      <c r="C182" t="s">
        <v>34</v>
      </c>
      <c r="D182">
        <v>0</v>
      </c>
      <c r="G182" t="s">
        <v>289</v>
      </c>
      <c r="H182" t="s">
        <v>272</v>
      </c>
      <c r="J182">
        <v>0</v>
      </c>
      <c r="AA182" t="s">
        <v>290</v>
      </c>
      <c r="AB182" t="s">
        <v>272</v>
      </c>
      <c r="AD182">
        <v>1</v>
      </c>
      <c r="AE182">
        <v>10</v>
      </c>
      <c r="AG182" t="s">
        <v>25</v>
      </c>
      <c r="AK182" t="s">
        <v>277</v>
      </c>
    </row>
    <row r="183" spans="1:42" x14ac:dyDescent="0.3">
      <c r="A183" s="3">
        <v>44507</v>
      </c>
      <c r="B183">
        <v>4</v>
      </c>
      <c r="C183" t="s">
        <v>26</v>
      </c>
      <c r="D183">
        <v>0</v>
      </c>
      <c r="G183" t="s">
        <v>37</v>
      </c>
      <c r="H183" t="s">
        <v>272</v>
      </c>
      <c r="J183">
        <v>1</v>
      </c>
      <c r="K183">
        <v>15</v>
      </c>
      <c r="M183" t="s">
        <v>38</v>
      </c>
      <c r="Q183" t="s">
        <v>37</v>
      </c>
      <c r="R183" t="s">
        <v>272</v>
      </c>
      <c r="T183">
        <v>0</v>
      </c>
      <c r="AA183" t="s">
        <v>37</v>
      </c>
      <c r="AB183" t="s">
        <v>272</v>
      </c>
      <c r="AC183" t="s">
        <v>45</v>
      </c>
      <c r="AD183">
        <v>1</v>
      </c>
      <c r="AE183">
        <v>9</v>
      </c>
      <c r="AG183" t="s">
        <v>38</v>
      </c>
      <c r="AK183" t="s">
        <v>277</v>
      </c>
    </row>
    <row r="184" spans="1:42" x14ac:dyDescent="0.3">
      <c r="A184" s="3">
        <v>44507</v>
      </c>
      <c r="B184">
        <v>4</v>
      </c>
      <c r="C184" t="s">
        <v>23</v>
      </c>
      <c r="D184">
        <v>0</v>
      </c>
      <c r="G184" t="s">
        <v>177</v>
      </c>
      <c r="H184" t="s">
        <v>97</v>
      </c>
      <c r="J184">
        <v>1</v>
      </c>
      <c r="K184">
        <v>21</v>
      </c>
      <c r="M184" t="s">
        <v>42</v>
      </c>
      <c r="P184">
        <v>1</v>
      </c>
      <c r="Q184" t="s">
        <v>291</v>
      </c>
      <c r="R184" t="s">
        <v>34</v>
      </c>
      <c r="T184">
        <v>1</v>
      </c>
      <c r="Y184">
        <v>13</v>
      </c>
      <c r="AK184" t="s">
        <v>277</v>
      </c>
    </row>
    <row r="185" spans="1:42" x14ac:dyDescent="0.3">
      <c r="A185" s="3">
        <v>44507</v>
      </c>
      <c r="B185">
        <v>4</v>
      </c>
      <c r="C185" t="s">
        <v>272</v>
      </c>
      <c r="D185">
        <v>3</v>
      </c>
      <c r="H185" t="s">
        <v>26</v>
      </c>
      <c r="J185">
        <v>1</v>
      </c>
      <c r="K185">
        <v>42</v>
      </c>
      <c r="M185" t="s">
        <v>292</v>
      </c>
      <c r="R185" t="s">
        <v>23</v>
      </c>
      <c r="T185">
        <v>1</v>
      </c>
      <c r="U185">
        <v>42</v>
      </c>
      <c r="AB185" t="s">
        <v>97</v>
      </c>
      <c r="AD185">
        <v>1</v>
      </c>
      <c r="AE185">
        <v>63</v>
      </c>
      <c r="AK185" t="s">
        <v>277</v>
      </c>
      <c r="AM185" t="s">
        <v>31</v>
      </c>
      <c r="AO185">
        <v>1</v>
      </c>
      <c r="AP185">
        <v>42</v>
      </c>
    </row>
    <row r="186" spans="1:42" x14ac:dyDescent="0.3">
      <c r="A186" s="3">
        <v>44507</v>
      </c>
      <c r="B186">
        <v>4</v>
      </c>
      <c r="C186" t="s">
        <v>272</v>
      </c>
      <c r="D186">
        <v>3</v>
      </c>
      <c r="G186" t="s">
        <v>293</v>
      </c>
      <c r="H186" t="s">
        <v>34</v>
      </c>
      <c r="J186">
        <v>0</v>
      </c>
      <c r="Q186" t="s">
        <v>294</v>
      </c>
      <c r="R186" t="s">
        <v>34</v>
      </c>
      <c r="T186">
        <v>0</v>
      </c>
      <c r="AK186" t="s">
        <v>277</v>
      </c>
    </row>
    <row r="187" spans="1:42" x14ac:dyDescent="0.3">
      <c r="A187" s="3">
        <v>44507</v>
      </c>
      <c r="B187">
        <v>4</v>
      </c>
      <c r="C187" t="s">
        <v>31</v>
      </c>
      <c r="D187">
        <v>0</v>
      </c>
      <c r="G187" t="s">
        <v>295</v>
      </c>
      <c r="H187" t="s">
        <v>272</v>
      </c>
      <c r="J187">
        <v>1</v>
      </c>
      <c r="K187">
        <v>13</v>
      </c>
      <c r="M187" t="s">
        <v>296</v>
      </c>
      <c r="AK187" t="s">
        <v>277</v>
      </c>
      <c r="AO187" t="s">
        <v>297</v>
      </c>
    </row>
    <row r="188" spans="1:42" x14ac:dyDescent="0.3">
      <c r="A188" s="3">
        <v>44507</v>
      </c>
      <c r="B188">
        <v>4</v>
      </c>
      <c r="C188" t="s">
        <v>34</v>
      </c>
      <c r="D188">
        <v>0</v>
      </c>
      <c r="G188" t="s">
        <v>298</v>
      </c>
      <c r="H188" t="s">
        <v>272</v>
      </c>
      <c r="J188">
        <v>1</v>
      </c>
      <c r="K188">
        <v>21</v>
      </c>
      <c r="Q188" t="s">
        <v>298</v>
      </c>
      <c r="R188" t="s">
        <v>31</v>
      </c>
      <c r="T188">
        <v>1</v>
      </c>
      <c r="U188">
        <v>9</v>
      </c>
      <c r="AK188" t="s">
        <v>277</v>
      </c>
    </row>
    <row r="189" spans="1:42" x14ac:dyDescent="0.3">
      <c r="A189" s="3">
        <v>44507</v>
      </c>
      <c r="B189">
        <v>4</v>
      </c>
      <c r="C189" t="s">
        <v>272</v>
      </c>
      <c r="D189">
        <v>3</v>
      </c>
      <c r="G189" t="s">
        <v>283</v>
      </c>
      <c r="H189" t="s">
        <v>31</v>
      </c>
      <c r="J189">
        <v>0</v>
      </c>
      <c r="Q189" t="s">
        <v>283</v>
      </c>
      <c r="R189" t="s">
        <v>26</v>
      </c>
      <c r="T189">
        <v>1</v>
      </c>
      <c r="AA189" t="s">
        <v>283</v>
      </c>
      <c r="AB189" t="s">
        <v>23</v>
      </c>
      <c r="AD189">
        <v>0</v>
      </c>
      <c r="AK189" t="s">
        <v>277</v>
      </c>
    </row>
    <row r="190" spans="1:42" x14ac:dyDescent="0.3">
      <c r="A190" s="3">
        <v>44507</v>
      </c>
      <c r="B190">
        <v>4</v>
      </c>
      <c r="C190" t="s">
        <v>272</v>
      </c>
      <c r="D190">
        <v>3</v>
      </c>
      <c r="G190" t="s">
        <v>299</v>
      </c>
      <c r="H190" t="s">
        <v>34</v>
      </c>
      <c r="J190">
        <v>1</v>
      </c>
      <c r="K190">
        <v>11</v>
      </c>
      <c r="AK190" t="s">
        <v>277</v>
      </c>
    </row>
    <row r="191" spans="1:42" x14ac:dyDescent="0.3">
      <c r="A191" s="3">
        <v>44507</v>
      </c>
      <c r="B191">
        <v>5</v>
      </c>
      <c r="C191" t="s">
        <v>26</v>
      </c>
      <c r="D191">
        <v>0</v>
      </c>
      <c r="G191" t="s">
        <v>158</v>
      </c>
      <c r="H191" t="s">
        <v>272</v>
      </c>
      <c r="J191">
        <v>1</v>
      </c>
      <c r="K191">
        <v>12</v>
      </c>
      <c r="M191" t="s">
        <v>25</v>
      </c>
      <c r="Q191" t="s">
        <v>158</v>
      </c>
      <c r="R191" t="s">
        <v>272</v>
      </c>
      <c r="T191">
        <v>0</v>
      </c>
      <c r="AA191" t="s">
        <v>158</v>
      </c>
      <c r="AB191" t="s">
        <v>272</v>
      </c>
      <c r="AD191">
        <v>1</v>
      </c>
      <c r="AE191">
        <v>8</v>
      </c>
      <c r="AG191" t="s">
        <v>25</v>
      </c>
      <c r="AK191" t="s">
        <v>277</v>
      </c>
    </row>
    <row r="192" spans="1:42" x14ac:dyDescent="0.3">
      <c r="A192" s="3">
        <v>44507</v>
      </c>
      <c r="B192">
        <v>5</v>
      </c>
      <c r="C192" t="s">
        <v>23</v>
      </c>
      <c r="D192">
        <v>0</v>
      </c>
      <c r="G192" t="s">
        <v>300</v>
      </c>
      <c r="H192" t="s">
        <v>125</v>
      </c>
      <c r="J192">
        <v>1</v>
      </c>
      <c r="O192">
        <v>26</v>
      </c>
      <c r="AA192" t="s">
        <v>136</v>
      </c>
      <c r="AB192" t="s">
        <v>97</v>
      </c>
      <c r="AD192">
        <v>1</v>
      </c>
      <c r="AI192">
        <v>19</v>
      </c>
      <c r="AK192" t="s">
        <v>277</v>
      </c>
      <c r="AO192" t="s">
        <v>301</v>
      </c>
    </row>
    <row r="193" spans="1:37" x14ac:dyDescent="0.3">
      <c r="A193" s="3">
        <v>44507</v>
      </c>
      <c r="B193">
        <v>5</v>
      </c>
      <c r="C193" t="s">
        <v>97</v>
      </c>
      <c r="D193">
        <v>0</v>
      </c>
      <c r="G193" t="s">
        <v>98</v>
      </c>
      <c r="H193" t="s">
        <v>272</v>
      </c>
      <c r="I193" t="s">
        <v>274</v>
      </c>
      <c r="J193">
        <v>1</v>
      </c>
      <c r="K193">
        <v>17</v>
      </c>
      <c r="M193" t="s">
        <v>61</v>
      </c>
      <c r="Q193" t="s">
        <v>302</v>
      </c>
      <c r="R193" t="s">
        <v>272</v>
      </c>
      <c r="S193" t="s">
        <v>303</v>
      </c>
      <c r="T193">
        <v>1</v>
      </c>
      <c r="U193">
        <v>3</v>
      </c>
      <c r="W193" t="s">
        <v>61</v>
      </c>
      <c r="AA193" t="s">
        <v>279</v>
      </c>
      <c r="AB193" t="s">
        <v>272</v>
      </c>
      <c r="AD193">
        <v>1</v>
      </c>
      <c r="AE193">
        <v>31</v>
      </c>
      <c r="AG193" t="s">
        <v>129</v>
      </c>
      <c r="AK193" t="s">
        <v>277</v>
      </c>
    </row>
    <row r="194" spans="1:37" x14ac:dyDescent="0.3">
      <c r="A194" s="3">
        <v>44507</v>
      </c>
      <c r="B194">
        <v>5</v>
      </c>
      <c r="C194" t="s">
        <v>31</v>
      </c>
      <c r="D194">
        <v>0</v>
      </c>
      <c r="G194" t="s">
        <v>165</v>
      </c>
      <c r="H194" t="s">
        <v>272</v>
      </c>
      <c r="J194">
        <v>0</v>
      </c>
      <c r="Q194" t="s">
        <v>165</v>
      </c>
      <c r="R194" t="s">
        <v>272</v>
      </c>
      <c r="T194">
        <v>0</v>
      </c>
      <c r="AA194" t="s">
        <v>304</v>
      </c>
      <c r="AB194" t="s">
        <v>272</v>
      </c>
      <c r="AD194">
        <v>1</v>
      </c>
      <c r="AE194">
        <v>10</v>
      </c>
      <c r="AG194" t="s">
        <v>25</v>
      </c>
      <c r="AJ194">
        <v>1</v>
      </c>
      <c r="AK194" t="s">
        <v>277</v>
      </c>
    </row>
    <row r="195" spans="1:37" x14ac:dyDescent="0.3">
      <c r="A195" s="3">
        <v>44507</v>
      </c>
      <c r="B195">
        <v>0</v>
      </c>
      <c r="C195" t="s">
        <v>97</v>
      </c>
      <c r="D195">
        <v>0</v>
      </c>
      <c r="G195" t="s">
        <v>98</v>
      </c>
      <c r="H195" t="s">
        <v>23</v>
      </c>
      <c r="J195">
        <v>1</v>
      </c>
      <c r="K195">
        <v>41</v>
      </c>
      <c r="L195">
        <v>28</v>
      </c>
      <c r="M195" t="s">
        <v>61</v>
      </c>
      <c r="N195" t="s">
        <v>305</v>
      </c>
      <c r="AK195" t="s">
        <v>277</v>
      </c>
    </row>
    <row r="196" spans="1:37" x14ac:dyDescent="0.3">
      <c r="A196" s="3">
        <v>44507</v>
      </c>
      <c r="B196">
        <v>0</v>
      </c>
      <c r="C196" t="s">
        <v>23</v>
      </c>
      <c r="D196">
        <v>0</v>
      </c>
      <c r="G196" t="s">
        <v>306</v>
      </c>
      <c r="H196" t="s">
        <v>23</v>
      </c>
      <c r="J196">
        <v>1</v>
      </c>
      <c r="O196">
        <v>75</v>
      </c>
      <c r="AK196" t="s">
        <v>277</v>
      </c>
    </row>
    <row r="1048576" spans="37:37" x14ac:dyDescent="0.3">
      <c r="AK1048576" t="s">
        <v>277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BC1C2-368E-4425-BECC-62F4C9EC3A4C}">
  <dimension ref="A1:AS231"/>
  <sheetViews>
    <sheetView topLeftCell="A2" zoomScaleNormal="100" workbookViewId="0">
      <pane ySplit="1" topLeftCell="A3" activePane="bottomLeft" state="frozen"/>
      <selection activeCell="A2" sqref="A2"/>
      <selection pane="bottomLeft" activeCell="Y239" sqref="Y239"/>
    </sheetView>
  </sheetViews>
  <sheetFormatPr defaultRowHeight="14.4" outlineLevelCol="2" x14ac:dyDescent="0.3"/>
  <cols>
    <col min="1" max="1" width="10.5546875" bestFit="1" customWidth="1"/>
    <col min="2" max="2" width="6.77734375" customWidth="1"/>
    <col min="3" max="3" width="16.21875" customWidth="1"/>
    <col min="4" max="4" width="7.77734375" customWidth="1"/>
    <col min="5" max="5" width="12.21875" customWidth="1"/>
    <col min="6" max="6" width="19.109375" customWidth="1"/>
    <col min="7" max="7" width="21.77734375" bestFit="1" customWidth="1"/>
    <col min="8" max="8" width="14.44140625" customWidth="1" outlineLevel="1"/>
    <col min="9" max="9" width="10.6640625" customWidth="1" outlineLevel="1"/>
    <col min="10" max="11" width="9.77734375" customWidth="1" outlineLevel="1"/>
    <col min="12" max="12" width="11.77734375" customWidth="1" outlineLevel="1"/>
    <col min="13" max="13" width="8.21875" customWidth="1" outlineLevel="1"/>
    <col min="14" max="14" width="10.88671875" customWidth="1" outlineLevel="1"/>
    <col min="15" max="15" width="12.44140625" customWidth="1" outlineLevel="1"/>
    <col min="16" max="16" width="9.109375" customWidth="1" outlineLevel="1"/>
    <col min="17" max="17" width="6.109375" customWidth="1" outlineLevel="1"/>
    <col min="18" max="18" width="21.77734375" bestFit="1" customWidth="1"/>
    <col min="19" max="19" width="19.33203125" customWidth="1" outlineLevel="1"/>
    <col min="20" max="20" width="11.6640625" customWidth="1" outlineLevel="2"/>
    <col min="21" max="22" width="10.77734375" customWidth="1" outlineLevel="2"/>
    <col min="23" max="23" width="8.5546875" customWidth="1" outlineLevel="2"/>
    <col min="24" max="24" width="9.21875" customWidth="1" outlineLevel="2"/>
    <col min="25" max="25" width="12.109375" customWidth="1" outlineLevel="2"/>
    <col min="26" max="26" width="13.44140625" customWidth="1" outlineLevel="2"/>
    <col min="27" max="27" width="10.109375" customWidth="1" outlineLevel="2"/>
    <col min="28" max="28" width="8.88671875" customWidth="1" outlineLevel="2"/>
    <col min="29" max="29" width="20.5546875" customWidth="1"/>
    <col min="30" max="30" width="14.44140625" customWidth="1" outlineLevel="1"/>
    <col min="31" max="31" width="12.6640625" customWidth="1" outlineLevel="1"/>
    <col min="32" max="33" width="11.77734375" customWidth="1" outlineLevel="1"/>
    <col min="34" max="34" width="8.88671875" customWidth="1" outlineLevel="1"/>
    <col min="35" max="35" width="10.21875" customWidth="1" outlineLevel="1"/>
    <col min="36" max="36" width="14.109375" customWidth="1" outlineLevel="1"/>
    <col min="37" max="37" width="14.44140625" customWidth="1" outlineLevel="1"/>
    <col min="38" max="38" width="11.109375" customWidth="1" outlineLevel="1"/>
    <col min="39" max="39" width="8.88671875" customWidth="1" outlineLevel="1"/>
    <col min="40" max="40" width="11.33203125" bestFit="1" customWidth="1"/>
    <col min="44" max="44" width="12.109375" bestFit="1" customWidth="1"/>
  </cols>
  <sheetData>
    <row r="1" spans="1:45" x14ac:dyDescent="0.3">
      <c r="A1">
        <v>51</v>
      </c>
      <c r="AJ1" s="2" t="s">
        <v>7</v>
      </c>
    </row>
    <row r="2" spans="1:45" s="1" customFormat="1" x14ac:dyDescent="0.3">
      <c r="A2" s="2" t="s">
        <v>0</v>
      </c>
      <c r="B2" s="2" t="s">
        <v>1</v>
      </c>
      <c r="C2" s="2" t="s">
        <v>2</v>
      </c>
      <c r="D2" s="2" t="s">
        <v>3</v>
      </c>
      <c r="E2" s="2" t="s">
        <v>4</v>
      </c>
      <c r="F2" s="2" t="s">
        <v>5</v>
      </c>
      <c r="G2" s="2" t="s">
        <v>6</v>
      </c>
      <c r="H2" s="2" t="s">
        <v>9</v>
      </c>
      <c r="I2" s="2" t="s">
        <v>89</v>
      </c>
      <c r="J2" s="2" t="s">
        <v>10</v>
      </c>
      <c r="K2" s="2" t="s">
        <v>95</v>
      </c>
      <c r="L2" s="2" t="s">
        <v>11</v>
      </c>
      <c r="M2" s="2" t="s">
        <v>17</v>
      </c>
      <c r="N2" s="2" t="s">
        <v>248</v>
      </c>
      <c r="O2" s="2" t="s">
        <v>18</v>
      </c>
      <c r="P2" s="2" t="s">
        <v>13</v>
      </c>
      <c r="Q2" s="2" t="s">
        <v>15</v>
      </c>
      <c r="R2" s="2" t="s">
        <v>16</v>
      </c>
      <c r="S2" s="2" t="s">
        <v>237</v>
      </c>
      <c r="T2" s="2" t="s">
        <v>249</v>
      </c>
      <c r="U2" s="2" t="s">
        <v>261</v>
      </c>
      <c r="V2" s="2" t="s">
        <v>382</v>
      </c>
      <c r="W2" s="2" t="s">
        <v>244</v>
      </c>
      <c r="X2" s="2" t="s">
        <v>245</v>
      </c>
      <c r="Y2" s="2" t="s">
        <v>250</v>
      </c>
      <c r="Z2" s="2" t="s">
        <v>251</v>
      </c>
      <c r="AA2" s="2" t="s">
        <v>252</v>
      </c>
      <c r="AB2" s="2" t="s">
        <v>253</v>
      </c>
      <c r="AC2" s="2" t="s">
        <v>28</v>
      </c>
      <c r="AD2" s="2" t="s">
        <v>254</v>
      </c>
      <c r="AE2" s="2" t="s">
        <v>255</v>
      </c>
      <c r="AF2" s="2" t="s">
        <v>256</v>
      </c>
      <c r="AG2" s="2" t="s">
        <v>383</v>
      </c>
      <c r="AH2" s="2" t="s">
        <v>246</v>
      </c>
      <c r="AI2" s="2" t="s">
        <v>247</v>
      </c>
      <c r="AJ2" s="2" t="s">
        <v>257</v>
      </c>
      <c r="AK2" s="2" t="s">
        <v>258</v>
      </c>
      <c r="AL2" s="2" t="s">
        <v>259</v>
      </c>
      <c r="AM2" s="2" t="s">
        <v>260</v>
      </c>
      <c r="AN2" s="2" t="s">
        <v>20</v>
      </c>
      <c r="AR2" s="2" t="s">
        <v>51</v>
      </c>
    </row>
    <row r="3" spans="1:45" s="1" customFormat="1" x14ac:dyDescent="0.3">
      <c r="A3" s="2"/>
      <c r="B3" s="2"/>
      <c r="C3" s="1" t="s">
        <v>26</v>
      </c>
      <c r="D3" s="2"/>
      <c r="E3" s="2"/>
      <c r="F3" s="2"/>
      <c r="G3" s="2"/>
      <c r="H3" s="1" t="s">
        <v>26</v>
      </c>
      <c r="I3" s="2"/>
      <c r="J3" s="2"/>
      <c r="K3" s="2"/>
      <c r="L3" s="2">
        <v>1</v>
      </c>
      <c r="M3" s="2">
        <v>1</v>
      </c>
      <c r="N3" s="2"/>
      <c r="O3" s="2"/>
      <c r="P3" s="2">
        <v>1</v>
      </c>
      <c r="Q3" s="2"/>
      <c r="R3" s="2"/>
      <c r="S3" s="1" t="s">
        <v>26</v>
      </c>
      <c r="T3" s="2"/>
      <c r="U3" s="2"/>
      <c r="V3" s="2"/>
      <c r="W3" s="2">
        <v>1</v>
      </c>
      <c r="X3" s="2">
        <v>1</v>
      </c>
      <c r="Y3" s="2"/>
      <c r="Z3" s="2"/>
      <c r="AA3" s="2">
        <v>1</v>
      </c>
      <c r="AB3" s="2"/>
      <c r="AC3" s="2"/>
      <c r="AD3" s="1" t="s">
        <v>26</v>
      </c>
      <c r="AE3" s="2"/>
      <c r="AF3" s="2"/>
      <c r="AG3" s="2"/>
      <c r="AH3" s="2">
        <v>1</v>
      </c>
      <c r="AI3" s="2">
        <v>1</v>
      </c>
      <c r="AJ3" s="2"/>
      <c r="AK3" s="2"/>
      <c r="AL3" s="2">
        <v>1</v>
      </c>
      <c r="AM3" s="2"/>
      <c r="AN3" s="2"/>
      <c r="AR3" s="2"/>
    </row>
    <row r="4" spans="1:45" s="1" customFormat="1" x14ac:dyDescent="0.3">
      <c r="A4" s="2"/>
      <c r="B4" s="2"/>
      <c r="C4" s="1" t="s">
        <v>97</v>
      </c>
      <c r="D4" s="2"/>
      <c r="E4" s="2"/>
      <c r="F4" s="2"/>
      <c r="G4" s="2"/>
      <c r="H4" s="1" t="s">
        <v>97</v>
      </c>
      <c r="I4" s="2"/>
      <c r="J4" s="2"/>
      <c r="K4" s="2"/>
      <c r="L4" s="2">
        <v>2</v>
      </c>
      <c r="M4" s="2">
        <v>1</v>
      </c>
      <c r="N4" s="2"/>
      <c r="O4" s="2"/>
      <c r="P4" s="2">
        <v>1</v>
      </c>
      <c r="Q4" s="2"/>
      <c r="R4" s="2"/>
      <c r="S4" s="1" t="s">
        <v>97</v>
      </c>
      <c r="T4" s="2"/>
      <c r="U4" s="2"/>
      <c r="V4" s="2"/>
      <c r="W4" s="2">
        <v>1</v>
      </c>
      <c r="X4" s="2">
        <v>1</v>
      </c>
      <c r="Y4" s="2"/>
      <c r="Z4" s="2"/>
      <c r="AA4" s="2">
        <v>1</v>
      </c>
      <c r="AB4" s="2"/>
      <c r="AC4" s="2"/>
      <c r="AD4" s="1" t="s">
        <v>97</v>
      </c>
      <c r="AE4" s="2"/>
      <c r="AF4" s="2"/>
      <c r="AG4" s="2"/>
      <c r="AH4" s="2">
        <v>1</v>
      </c>
      <c r="AI4" s="2">
        <v>1</v>
      </c>
      <c r="AJ4" s="2"/>
      <c r="AK4" s="2"/>
      <c r="AL4" s="2">
        <v>1</v>
      </c>
      <c r="AM4" s="2"/>
      <c r="AN4" s="2"/>
      <c r="AR4" s="2"/>
    </row>
    <row r="5" spans="1:45" s="1" customFormat="1" x14ac:dyDescent="0.3">
      <c r="A5" s="2"/>
      <c r="B5" s="2"/>
      <c r="C5" s="1" t="s">
        <v>23</v>
      </c>
      <c r="D5" s="2"/>
      <c r="E5" s="2"/>
      <c r="F5" s="2"/>
      <c r="G5" s="2"/>
      <c r="H5" s="1" t="s">
        <v>23</v>
      </c>
      <c r="I5" s="2"/>
      <c r="J5" s="2"/>
      <c r="K5" s="2"/>
      <c r="L5" s="2">
        <v>1</v>
      </c>
      <c r="M5" s="2">
        <v>1</v>
      </c>
      <c r="N5" s="2"/>
      <c r="O5" s="2"/>
      <c r="P5" s="2">
        <v>1</v>
      </c>
      <c r="Q5" s="2"/>
      <c r="R5" s="2"/>
      <c r="S5" s="1" t="s">
        <v>23</v>
      </c>
      <c r="T5" s="2"/>
      <c r="U5" s="2"/>
      <c r="V5" s="2"/>
      <c r="W5" s="2">
        <v>1</v>
      </c>
      <c r="X5" s="2">
        <v>1</v>
      </c>
      <c r="Y5" s="2"/>
      <c r="Z5" s="2"/>
      <c r="AA5" s="2">
        <v>1</v>
      </c>
      <c r="AB5" s="2"/>
      <c r="AC5" s="2"/>
      <c r="AD5" s="1" t="s">
        <v>23</v>
      </c>
      <c r="AE5" s="2"/>
      <c r="AF5" s="2"/>
      <c r="AG5" s="2"/>
      <c r="AH5" s="2">
        <v>1</v>
      </c>
      <c r="AI5" s="2">
        <v>1</v>
      </c>
      <c r="AJ5" s="2"/>
      <c r="AK5" s="2"/>
      <c r="AL5" s="2">
        <v>1</v>
      </c>
      <c r="AM5" s="2"/>
      <c r="AN5" s="2"/>
      <c r="AR5" s="2"/>
    </row>
    <row r="6" spans="1:45" s="1" customFormat="1" x14ac:dyDescent="0.3">
      <c r="A6" s="2"/>
      <c r="B6" s="2"/>
      <c r="C6" s="1" t="s">
        <v>34</v>
      </c>
      <c r="D6" s="2"/>
      <c r="E6" s="2"/>
      <c r="F6" s="2"/>
      <c r="G6" s="2"/>
      <c r="H6" s="1" t="s">
        <v>34</v>
      </c>
      <c r="I6" s="2"/>
      <c r="J6" s="2"/>
      <c r="K6" s="2"/>
      <c r="L6" s="2">
        <v>1</v>
      </c>
      <c r="M6" s="2">
        <v>1</v>
      </c>
      <c r="N6" s="2"/>
      <c r="O6" s="2"/>
      <c r="P6" s="2">
        <v>1</v>
      </c>
      <c r="Q6" s="2"/>
      <c r="R6" s="2"/>
      <c r="S6" s="1" t="s">
        <v>34</v>
      </c>
      <c r="T6" s="2"/>
      <c r="U6" s="2"/>
      <c r="V6" s="2"/>
      <c r="W6" s="2">
        <v>1</v>
      </c>
      <c r="X6" s="2">
        <v>1</v>
      </c>
      <c r="Y6" s="2"/>
      <c r="Z6" s="2"/>
      <c r="AA6" s="2">
        <v>1</v>
      </c>
      <c r="AB6" s="2"/>
      <c r="AC6" s="2"/>
      <c r="AD6" s="1" t="s">
        <v>34</v>
      </c>
      <c r="AE6" s="2"/>
      <c r="AF6" s="2"/>
      <c r="AG6" s="2"/>
      <c r="AH6" s="2">
        <v>1</v>
      </c>
      <c r="AI6" s="2">
        <v>1</v>
      </c>
      <c r="AJ6" s="2"/>
      <c r="AK6" s="2"/>
      <c r="AL6" s="2">
        <v>1</v>
      </c>
      <c r="AM6" s="2"/>
      <c r="AN6" s="2"/>
      <c r="AR6" s="2"/>
    </row>
    <row r="7" spans="1:45" s="1" customFormat="1" x14ac:dyDescent="0.3">
      <c r="A7" s="2"/>
      <c r="B7" s="2"/>
      <c r="C7" s="1" t="s">
        <v>31</v>
      </c>
      <c r="D7" s="2"/>
      <c r="E7" s="2"/>
      <c r="F7" s="2"/>
      <c r="G7" s="2"/>
      <c r="H7" s="1" t="s">
        <v>31</v>
      </c>
      <c r="I7" s="2"/>
      <c r="J7" s="2"/>
      <c r="K7" s="2"/>
      <c r="L7" s="2">
        <v>1</v>
      </c>
      <c r="M7" s="2">
        <v>1</v>
      </c>
      <c r="N7" s="2"/>
      <c r="O7" s="2"/>
      <c r="P7" s="2">
        <v>1</v>
      </c>
      <c r="Q7" s="2"/>
      <c r="R7" s="2"/>
      <c r="S7" s="1" t="s">
        <v>31</v>
      </c>
      <c r="T7" s="2"/>
      <c r="U7" s="2"/>
      <c r="V7" s="2"/>
      <c r="W7" s="2">
        <v>1</v>
      </c>
      <c r="X7" s="2">
        <v>1</v>
      </c>
      <c r="Y7" s="2"/>
      <c r="Z7" s="2"/>
      <c r="AA7" s="2">
        <v>1</v>
      </c>
      <c r="AB7" s="2"/>
      <c r="AC7" s="2"/>
      <c r="AD7" s="1" t="s">
        <v>31</v>
      </c>
      <c r="AE7" s="2"/>
      <c r="AF7" s="2"/>
      <c r="AG7" s="2"/>
      <c r="AH7" s="2">
        <v>1</v>
      </c>
      <c r="AI7" s="2">
        <v>1</v>
      </c>
      <c r="AJ7" s="2"/>
      <c r="AK7" s="2"/>
      <c r="AL7" s="2">
        <v>1</v>
      </c>
      <c r="AM7" s="2"/>
      <c r="AN7" s="2"/>
      <c r="AR7" s="2"/>
    </row>
    <row r="8" spans="1:45" s="1" customFormat="1" x14ac:dyDescent="0.3">
      <c r="A8" s="2"/>
      <c r="B8" s="2"/>
      <c r="C8" s="10" t="s">
        <v>102</v>
      </c>
      <c r="D8" s="2"/>
      <c r="E8" s="2"/>
      <c r="F8" s="2"/>
      <c r="G8" s="2"/>
      <c r="H8" s="10" t="s">
        <v>102</v>
      </c>
      <c r="I8" s="2"/>
      <c r="J8" s="2"/>
      <c r="K8" s="2"/>
      <c r="L8" s="2">
        <v>1</v>
      </c>
      <c r="M8" s="2">
        <v>1</v>
      </c>
      <c r="N8" s="2"/>
      <c r="O8" s="2"/>
      <c r="P8" s="2">
        <v>1</v>
      </c>
      <c r="Q8" s="2"/>
      <c r="R8" s="2"/>
      <c r="S8" s="10" t="s">
        <v>102</v>
      </c>
      <c r="T8" s="2"/>
      <c r="U8" s="2"/>
      <c r="V8" s="2"/>
      <c r="W8" s="2">
        <v>1</v>
      </c>
      <c r="X8" s="2">
        <v>1</v>
      </c>
      <c r="Y8" s="2"/>
      <c r="Z8" s="2"/>
      <c r="AA8" s="2">
        <v>1</v>
      </c>
      <c r="AB8" s="2"/>
      <c r="AC8" s="2"/>
      <c r="AD8" s="10" t="s">
        <v>102</v>
      </c>
      <c r="AE8" s="2"/>
      <c r="AF8" s="2"/>
      <c r="AG8" s="2"/>
      <c r="AH8" s="2">
        <v>1</v>
      </c>
      <c r="AI8" s="2">
        <v>1</v>
      </c>
      <c r="AJ8" s="2"/>
      <c r="AK8" s="2"/>
      <c r="AL8" s="2">
        <v>1</v>
      </c>
      <c r="AM8" s="2"/>
      <c r="AN8" s="2"/>
      <c r="AR8" s="2"/>
    </row>
    <row r="9" spans="1:45" x14ac:dyDescent="0.3">
      <c r="A9" s="3">
        <v>44485</v>
      </c>
      <c r="B9">
        <v>1</v>
      </c>
      <c r="C9" t="s">
        <v>21</v>
      </c>
      <c r="D9">
        <v>1</v>
      </c>
      <c r="E9">
        <v>25</v>
      </c>
      <c r="F9" t="s">
        <v>14</v>
      </c>
      <c r="G9" t="s">
        <v>22</v>
      </c>
      <c r="H9" t="s">
        <v>23</v>
      </c>
      <c r="J9">
        <v>1</v>
      </c>
      <c r="L9">
        <v>10</v>
      </c>
      <c r="N9" t="s">
        <v>316</v>
      </c>
      <c r="R9" t="s">
        <v>24</v>
      </c>
      <c r="S9" t="s">
        <v>26</v>
      </c>
      <c r="U9">
        <v>1</v>
      </c>
      <c r="W9">
        <v>6</v>
      </c>
      <c r="Y9" t="s">
        <v>316</v>
      </c>
      <c r="AN9" t="s">
        <v>27</v>
      </c>
    </row>
    <row r="10" spans="1:45" x14ac:dyDescent="0.3">
      <c r="A10" s="3">
        <v>44485</v>
      </c>
      <c r="B10">
        <v>1</v>
      </c>
      <c r="C10" t="s">
        <v>23</v>
      </c>
      <c r="D10">
        <v>0</v>
      </c>
      <c r="E10">
        <v>10</v>
      </c>
      <c r="F10" t="s">
        <v>29</v>
      </c>
      <c r="G10" t="s">
        <v>30</v>
      </c>
      <c r="L10">
        <v>0</v>
      </c>
      <c r="AN10" t="s">
        <v>27</v>
      </c>
    </row>
    <row r="11" spans="1:45" x14ac:dyDescent="0.3">
      <c r="A11" s="3">
        <v>44485</v>
      </c>
      <c r="B11">
        <v>1</v>
      </c>
      <c r="C11" t="s">
        <v>31</v>
      </c>
      <c r="D11">
        <v>0</v>
      </c>
      <c r="E11">
        <v>30</v>
      </c>
      <c r="F11" t="s">
        <v>32</v>
      </c>
      <c r="G11" t="s">
        <v>398</v>
      </c>
      <c r="H11" t="s">
        <v>21</v>
      </c>
      <c r="J11">
        <v>1</v>
      </c>
      <c r="L11">
        <v>9</v>
      </c>
      <c r="M11">
        <v>9</v>
      </c>
      <c r="N11" t="s">
        <v>316</v>
      </c>
      <c r="AC11" t="s">
        <v>33</v>
      </c>
      <c r="AD11" t="s">
        <v>21</v>
      </c>
      <c r="AF11">
        <v>0</v>
      </c>
      <c r="AN11" t="s">
        <v>27</v>
      </c>
    </row>
    <row r="12" spans="1:45" x14ac:dyDescent="0.3">
      <c r="A12" s="3">
        <v>44485</v>
      </c>
      <c r="B12">
        <v>1</v>
      </c>
      <c r="C12" t="s">
        <v>34</v>
      </c>
      <c r="D12">
        <v>0</v>
      </c>
      <c r="E12">
        <v>30</v>
      </c>
      <c r="F12" t="s">
        <v>29</v>
      </c>
      <c r="G12" t="s">
        <v>298</v>
      </c>
      <c r="H12" t="s">
        <v>21</v>
      </c>
      <c r="J12">
        <v>1</v>
      </c>
      <c r="L12">
        <v>1</v>
      </c>
      <c r="N12" t="s">
        <v>316</v>
      </c>
      <c r="R12" t="s">
        <v>298</v>
      </c>
      <c r="S12" t="s">
        <v>21</v>
      </c>
      <c r="U12">
        <v>1</v>
      </c>
      <c r="W12">
        <v>9</v>
      </c>
      <c r="Y12" t="s">
        <v>316</v>
      </c>
      <c r="AN12" t="s">
        <v>27</v>
      </c>
    </row>
    <row r="13" spans="1:45" x14ac:dyDescent="0.3">
      <c r="A13" s="3">
        <v>44485</v>
      </c>
      <c r="B13">
        <v>1</v>
      </c>
      <c r="C13" t="s">
        <v>26</v>
      </c>
      <c r="D13">
        <v>0</v>
      </c>
      <c r="G13" t="s">
        <v>37</v>
      </c>
      <c r="H13" t="s">
        <v>36</v>
      </c>
      <c r="J13">
        <v>0</v>
      </c>
      <c r="L13">
        <v>0</v>
      </c>
      <c r="R13" t="s">
        <v>37</v>
      </c>
      <c r="S13" t="s">
        <v>21</v>
      </c>
      <c r="U13">
        <v>1</v>
      </c>
      <c r="W13">
        <v>5</v>
      </c>
      <c r="Y13" t="s">
        <v>38</v>
      </c>
      <c r="AC13" t="s">
        <v>37</v>
      </c>
      <c r="AD13" t="s">
        <v>21</v>
      </c>
      <c r="AF13">
        <v>1</v>
      </c>
      <c r="AH13">
        <v>10</v>
      </c>
      <c r="AJ13" t="s">
        <v>38</v>
      </c>
      <c r="AN13" t="s">
        <v>27</v>
      </c>
      <c r="AR13" t="s">
        <v>39</v>
      </c>
      <c r="AS13" t="s">
        <v>45</v>
      </c>
    </row>
    <row r="14" spans="1:45" x14ac:dyDescent="0.3">
      <c r="A14" s="3">
        <v>44485</v>
      </c>
      <c r="B14">
        <v>2</v>
      </c>
      <c r="C14" t="s">
        <v>21</v>
      </c>
      <c r="D14">
        <v>1</v>
      </c>
      <c r="E14" t="s">
        <v>40</v>
      </c>
      <c r="F14" t="s">
        <v>29</v>
      </c>
      <c r="G14" t="s">
        <v>41</v>
      </c>
      <c r="H14" t="s">
        <v>26</v>
      </c>
      <c r="J14">
        <v>1</v>
      </c>
      <c r="L14">
        <v>10</v>
      </c>
      <c r="N14" t="s">
        <v>42</v>
      </c>
      <c r="R14" t="s">
        <v>43</v>
      </c>
      <c r="S14" t="s">
        <v>26</v>
      </c>
      <c r="U14">
        <v>1</v>
      </c>
      <c r="W14">
        <v>10</v>
      </c>
      <c r="Y14" t="s">
        <v>42</v>
      </c>
      <c r="AC14" t="s">
        <v>37</v>
      </c>
      <c r="AD14" t="s">
        <v>44</v>
      </c>
      <c r="AN14" t="s">
        <v>27</v>
      </c>
      <c r="AR14" t="s">
        <v>50</v>
      </c>
    </row>
    <row r="15" spans="1:45" x14ac:dyDescent="0.3">
      <c r="A15" s="3">
        <v>44485</v>
      </c>
      <c r="B15">
        <v>2</v>
      </c>
      <c r="C15" t="s">
        <v>23</v>
      </c>
      <c r="D15">
        <v>0</v>
      </c>
      <c r="G15" t="s">
        <v>46</v>
      </c>
      <c r="H15" t="s">
        <v>26</v>
      </c>
      <c r="J15">
        <v>1</v>
      </c>
      <c r="L15">
        <v>0</v>
      </c>
      <c r="P15">
        <v>17</v>
      </c>
      <c r="AC15" t="s">
        <v>48</v>
      </c>
      <c r="AD15" t="s">
        <v>21</v>
      </c>
      <c r="AF15">
        <v>1</v>
      </c>
      <c r="AN15" t="s">
        <v>27</v>
      </c>
    </row>
    <row r="16" spans="1:45" x14ac:dyDescent="0.3">
      <c r="A16" s="3">
        <v>44485</v>
      </c>
      <c r="B16">
        <v>2</v>
      </c>
      <c r="C16" t="s">
        <v>31</v>
      </c>
      <c r="D16">
        <v>0</v>
      </c>
      <c r="G16" t="s">
        <v>398</v>
      </c>
      <c r="H16" t="s">
        <v>21</v>
      </c>
      <c r="J16">
        <v>0</v>
      </c>
      <c r="L16">
        <v>0</v>
      </c>
      <c r="R16" t="s">
        <v>398</v>
      </c>
      <c r="S16" t="s">
        <v>21</v>
      </c>
      <c r="U16">
        <v>0</v>
      </c>
      <c r="AC16" t="s">
        <v>33</v>
      </c>
      <c r="AN16" t="s">
        <v>27</v>
      </c>
    </row>
    <row r="17" spans="1:44" x14ac:dyDescent="0.3">
      <c r="A17" s="3">
        <v>44485</v>
      </c>
      <c r="B17">
        <v>2</v>
      </c>
      <c r="C17" t="s">
        <v>34</v>
      </c>
      <c r="D17">
        <v>0</v>
      </c>
      <c r="E17">
        <v>10</v>
      </c>
      <c r="F17" t="s">
        <v>29</v>
      </c>
      <c r="G17" t="s">
        <v>298</v>
      </c>
      <c r="H17" t="s">
        <v>21</v>
      </c>
      <c r="J17">
        <v>1</v>
      </c>
      <c r="L17">
        <v>22</v>
      </c>
      <c r="N17" t="s">
        <v>316</v>
      </c>
      <c r="R17" t="s">
        <v>298</v>
      </c>
      <c r="S17" t="s">
        <v>21</v>
      </c>
      <c r="U17">
        <v>1</v>
      </c>
      <c r="W17">
        <v>14</v>
      </c>
      <c r="Y17" t="s">
        <v>316</v>
      </c>
      <c r="AC17" t="s">
        <v>57</v>
      </c>
      <c r="AD17" t="s">
        <v>21</v>
      </c>
      <c r="AF17">
        <v>0</v>
      </c>
      <c r="AN17" t="s">
        <v>27</v>
      </c>
      <c r="AR17" t="s">
        <v>54</v>
      </c>
    </row>
    <row r="18" spans="1:44" x14ac:dyDescent="0.3">
      <c r="A18" s="3">
        <v>44485</v>
      </c>
      <c r="B18">
        <v>2</v>
      </c>
      <c r="C18" t="s">
        <v>26</v>
      </c>
      <c r="D18">
        <v>0</v>
      </c>
      <c r="E18">
        <v>15</v>
      </c>
      <c r="G18" t="s">
        <v>37</v>
      </c>
      <c r="H18" t="s">
        <v>21</v>
      </c>
      <c r="J18">
        <v>1</v>
      </c>
      <c r="L18">
        <v>8</v>
      </c>
      <c r="N18" t="s">
        <v>38</v>
      </c>
      <c r="R18" t="s">
        <v>37</v>
      </c>
      <c r="AC18" t="s">
        <v>37</v>
      </c>
      <c r="AD18" t="s">
        <v>21</v>
      </c>
      <c r="AF18">
        <v>1</v>
      </c>
      <c r="AH18">
        <v>14</v>
      </c>
      <c r="AJ18" t="s">
        <v>38</v>
      </c>
      <c r="AN18" t="s">
        <v>27</v>
      </c>
    </row>
    <row r="19" spans="1:44" x14ac:dyDescent="0.3">
      <c r="A19" s="3">
        <v>44485</v>
      </c>
      <c r="B19">
        <v>3</v>
      </c>
      <c r="C19" t="s">
        <v>21</v>
      </c>
      <c r="D19">
        <v>1</v>
      </c>
      <c r="E19">
        <v>140</v>
      </c>
      <c r="G19" t="s">
        <v>59</v>
      </c>
      <c r="H19" t="s">
        <v>60</v>
      </c>
      <c r="J19">
        <v>4</v>
      </c>
      <c r="L19">
        <v>19</v>
      </c>
      <c r="N19" t="s">
        <v>61</v>
      </c>
      <c r="AC19" t="s">
        <v>63</v>
      </c>
      <c r="AN19" t="s">
        <v>27</v>
      </c>
      <c r="AR19" t="s">
        <v>58</v>
      </c>
    </row>
    <row r="20" spans="1:44" x14ac:dyDescent="0.3">
      <c r="A20" s="3">
        <v>44485</v>
      </c>
      <c r="B20">
        <v>3</v>
      </c>
      <c r="C20" t="s">
        <v>23</v>
      </c>
      <c r="D20">
        <v>0</v>
      </c>
      <c r="G20" t="s">
        <v>64</v>
      </c>
      <c r="H20" t="s">
        <v>60</v>
      </c>
      <c r="J20">
        <v>4</v>
      </c>
      <c r="L20">
        <v>0</v>
      </c>
      <c r="P20">
        <v>15</v>
      </c>
      <c r="AC20" t="s">
        <v>65</v>
      </c>
      <c r="AD20" t="s">
        <v>23</v>
      </c>
      <c r="AF20">
        <v>1</v>
      </c>
      <c r="AL20">
        <v>15</v>
      </c>
      <c r="AN20" t="s">
        <v>27</v>
      </c>
    </row>
    <row r="21" spans="1:44" x14ac:dyDescent="0.3">
      <c r="A21" s="3">
        <v>44485</v>
      </c>
      <c r="B21">
        <v>3</v>
      </c>
      <c r="C21" t="s">
        <v>31</v>
      </c>
      <c r="D21">
        <v>0</v>
      </c>
      <c r="E21">
        <v>25</v>
      </c>
      <c r="F21" t="s">
        <v>14</v>
      </c>
      <c r="G21" t="s">
        <v>33</v>
      </c>
      <c r="H21" t="s">
        <v>21</v>
      </c>
      <c r="J21">
        <v>0</v>
      </c>
      <c r="L21">
        <v>0</v>
      </c>
      <c r="AC21" t="s">
        <v>66</v>
      </c>
      <c r="AL21">
        <v>13</v>
      </c>
      <c r="AN21" t="s">
        <v>27</v>
      </c>
    </row>
    <row r="22" spans="1:44" x14ac:dyDescent="0.3">
      <c r="A22" s="3">
        <v>44485</v>
      </c>
      <c r="B22">
        <v>3</v>
      </c>
      <c r="C22" t="s">
        <v>34</v>
      </c>
      <c r="D22">
        <v>0</v>
      </c>
      <c r="G22" t="s">
        <v>298</v>
      </c>
      <c r="H22" t="s">
        <v>21</v>
      </c>
      <c r="J22">
        <v>1</v>
      </c>
      <c r="L22">
        <v>15</v>
      </c>
      <c r="N22" t="s">
        <v>316</v>
      </c>
      <c r="R22" t="s">
        <v>298</v>
      </c>
      <c r="S22" t="s">
        <v>21</v>
      </c>
      <c r="U22">
        <v>1</v>
      </c>
      <c r="W22">
        <v>8</v>
      </c>
      <c r="Y22" t="s">
        <v>316</v>
      </c>
      <c r="AC22" t="s">
        <v>57</v>
      </c>
      <c r="AN22" t="s">
        <v>27</v>
      </c>
      <c r="AR22" t="s">
        <v>67</v>
      </c>
    </row>
    <row r="23" spans="1:44" x14ac:dyDescent="0.3">
      <c r="A23" s="3">
        <v>44485</v>
      </c>
      <c r="B23">
        <v>3</v>
      </c>
      <c r="C23" t="s">
        <v>26</v>
      </c>
      <c r="D23">
        <v>0</v>
      </c>
      <c r="E23">
        <v>5</v>
      </c>
      <c r="G23" t="s">
        <v>37</v>
      </c>
      <c r="H23" t="s">
        <v>21</v>
      </c>
      <c r="J23">
        <v>1</v>
      </c>
      <c r="L23">
        <v>11</v>
      </c>
      <c r="N23" t="s">
        <v>38</v>
      </c>
      <c r="R23" t="s">
        <v>37</v>
      </c>
      <c r="S23" t="s">
        <v>21</v>
      </c>
      <c r="U23">
        <v>0</v>
      </c>
      <c r="AC23" t="s">
        <v>37</v>
      </c>
      <c r="AD23" t="s">
        <v>21</v>
      </c>
      <c r="AF23">
        <v>0</v>
      </c>
      <c r="AN23" t="s">
        <v>27</v>
      </c>
    </row>
    <row r="24" spans="1:44" x14ac:dyDescent="0.3">
      <c r="A24" s="3">
        <v>44485</v>
      </c>
      <c r="B24">
        <v>4</v>
      </c>
      <c r="C24" t="s">
        <v>21</v>
      </c>
      <c r="D24">
        <v>1</v>
      </c>
      <c r="G24" t="s">
        <v>68</v>
      </c>
      <c r="L24">
        <v>0</v>
      </c>
      <c r="AN24" t="s">
        <v>27</v>
      </c>
    </row>
    <row r="25" spans="1:44" x14ac:dyDescent="0.3">
      <c r="A25" s="3">
        <v>44485</v>
      </c>
      <c r="B25">
        <v>4</v>
      </c>
      <c r="C25" t="s">
        <v>23</v>
      </c>
      <c r="D25">
        <v>0</v>
      </c>
      <c r="G25" t="s">
        <v>46</v>
      </c>
      <c r="H25" t="s">
        <v>23</v>
      </c>
      <c r="J25">
        <v>1</v>
      </c>
      <c r="L25">
        <v>0</v>
      </c>
      <c r="P25">
        <v>16</v>
      </c>
      <c r="AC25" t="s">
        <v>69</v>
      </c>
      <c r="AD25" t="s">
        <v>21</v>
      </c>
      <c r="AF25">
        <v>1</v>
      </c>
      <c r="AH25">
        <v>5</v>
      </c>
      <c r="AJ25" t="s">
        <v>61</v>
      </c>
      <c r="AN25" t="s">
        <v>27</v>
      </c>
    </row>
    <row r="26" spans="1:44" x14ac:dyDescent="0.3">
      <c r="A26" s="3">
        <v>44485</v>
      </c>
      <c r="B26">
        <v>4</v>
      </c>
      <c r="C26" t="s">
        <v>31</v>
      </c>
      <c r="D26">
        <v>0</v>
      </c>
      <c r="G26" t="s">
        <v>33</v>
      </c>
      <c r="H26" t="s">
        <v>21</v>
      </c>
      <c r="L26">
        <v>0</v>
      </c>
      <c r="AC26" t="s">
        <v>396</v>
      </c>
      <c r="AD26" t="s">
        <v>21</v>
      </c>
      <c r="AF26">
        <v>1</v>
      </c>
      <c r="AN26" t="s">
        <v>27</v>
      </c>
    </row>
    <row r="27" spans="1:44" x14ac:dyDescent="0.3">
      <c r="A27" s="3">
        <v>44485</v>
      </c>
      <c r="B27">
        <v>4</v>
      </c>
      <c r="C27" t="s">
        <v>34</v>
      </c>
      <c r="D27">
        <v>0</v>
      </c>
      <c r="E27">
        <v>30</v>
      </c>
      <c r="F27" t="s">
        <v>71</v>
      </c>
      <c r="G27" t="s">
        <v>72</v>
      </c>
      <c r="H27" t="s">
        <v>21</v>
      </c>
      <c r="J27">
        <v>1</v>
      </c>
      <c r="L27">
        <v>10</v>
      </c>
      <c r="N27" t="s">
        <v>38</v>
      </c>
      <c r="R27" t="s">
        <v>298</v>
      </c>
      <c r="S27" t="s">
        <v>21</v>
      </c>
      <c r="U27">
        <v>0</v>
      </c>
      <c r="AN27" t="s">
        <v>27</v>
      </c>
      <c r="AQ27" t="s">
        <v>172</v>
      </c>
    </row>
    <row r="28" spans="1:44" x14ac:dyDescent="0.3">
      <c r="A28" s="3">
        <v>44485</v>
      </c>
      <c r="B28">
        <v>4</v>
      </c>
      <c r="C28" t="s">
        <v>26</v>
      </c>
      <c r="D28">
        <v>0</v>
      </c>
      <c r="G28" t="s">
        <v>37</v>
      </c>
      <c r="H28" t="s">
        <v>21</v>
      </c>
      <c r="J28">
        <v>1</v>
      </c>
      <c r="L28">
        <v>15</v>
      </c>
      <c r="N28" t="s">
        <v>38</v>
      </c>
      <c r="R28" t="s">
        <v>37</v>
      </c>
      <c r="S28" t="s">
        <v>21</v>
      </c>
      <c r="U28">
        <v>1</v>
      </c>
      <c r="W28">
        <v>17</v>
      </c>
      <c r="Y28" t="s">
        <v>38</v>
      </c>
      <c r="AC28" t="s">
        <v>37</v>
      </c>
      <c r="AD28" t="s">
        <v>21</v>
      </c>
      <c r="AF28">
        <v>1</v>
      </c>
      <c r="AH28">
        <v>11</v>
      </c>
      <c r="AJ28" t="s">
        <v>38</v>
      </c>
      <c r="AN28" t="s">
        <v>27</v>
      </c>
    </row>
    <row r="29" spans="1:44" x14ac:dyDescent="0.3">
      <c r="A29" s="3">
        <v>44485</v>
      </c>
      <c r="B29">
        <v>5</v>
      </c>
      <c r="C29" t="s">
        <v>21</v>
      </c>
      <c r="D29">
        <v>1</v>
      </c>
      <c r="E29">
        <v>60</v>
      </c>
      <c r="G29" t="s">
        <v>73</v>
      </c>
      <c r="L29">
        <v>0</v>
      </c>
      <c r="AC29" t="s">
        <v>63</v>
      </c>
      <c r="AN29" t="s">
        <v>27</v>
      </c>
    </row>
    <row r="30" spans="1:44" x14ac:dyDescent="0.3">
      <c r="A30" s="3">
        <v>44485</v>
      </c>
      <c r="B30">
        <v>5</v>
      </c>
      <c r="C30" t="s">
        <v>23</v>
      </c>
      <c r="D30">
        <v>0</v>
      </c>
      <c r="E30">
        <v>20</v>
      </c>
      <c r="G30" t="s">
        <v>46</v>
      </c>
      <c r="H30" t="s">
        <v>26</v>
      </c>
      <c r="J30">
        <v>1</v>
      </c>
      <c r="L30">
        <v>0</v>
      </c>
      <c r="P30">
        <v>15</v>
      </c>
      <c r="AC30" t="s">
        <v>65</v>
      </c>
      <c r="AD30" t="s">
        <v>26</v>
      </c>
      <c r="AF30">
        <v>1</v>
      </c>
      <c r="AL30">
        <v>11</v>
      </c>
      <c r="AN30" t="s">
        <v>27</v>
      </c>
    </row>
    <row r="31" spans="1:44" x14ac:dyDescent="0.3">
      <c r="A31" s="3">
        <v>44485</v>
      </c>
      <c r="B31">
        <v>5</v>
      </c>
      <c r="C31" t="s">
        <v>31</v>
      </c>
      <c r="D31">
        <v>0</v>
      </c>
      <c r="G31" t="s">
        <v>395</v>
      </c>
      <c r="H31" t="s">
        <v>21</v>
      </c>
      <c r="J31">
        <v>1</v>
      </c>
      <c r="L31">
        <v>7</v>
      </c>
      <c r="N31" t="s">
        <v>38</v>
      </c>
      <c r="AN31" t="s">
        <v>27</v>
      </c>
    </row>
    <row r="32" spans="1:44" x14ac:dyDescent="0.3">
      <c r="A32" s="3">
        <v>44485</v>
      </c>
      <c r="B32">
        <v>5</v>
      </c>
      <c r="C32" t="s">
        <v>34</v>
      </c>
      <c r="D32">
        <v>0</v>
      </c>
      <c r="E32">
        <v>15</v>
      </c>
      <c r="F32" t="s">
        <v>75</v>
      </c>
      <c r="G32" t="s">
        <v>72</v>
      </c>
      <c r="H32" t="s">
        <v>21</v>
      </c>
      <c r="J32">
        <v>1</v>
      </c>
      <c r="L32">
        <v>9</v>
      </c>
      <c r="N32" t="s">
        <v>38</v>
      </c>
      <c r="R32" t="s">
        <v>298</v>
      </c>
      <c r="S32" t="s">
        <v>21</v>
      </c>
      <c r="U32">
        <v>1</v>
      </c>
      <c r="W32">
        <v>11</v>
      </c>
      <c r="Y32" t="s">
        <v>316</v>
      </c>
      <c r="AC32" t="s">
        <v>76</v>
      </c>
      <c r="AN32" t="s">
        <v>27</v>
      </c>
    </row>
    <row r="33" spans="1:44" x14ac:dyDescent="0.3">
      <c r="A33" s="3">
        <v>44485</v>
      </c>
      <c r="B33">
        <v>5</v>
      </c>
      <c r="C33" t="s">
        <v>26</v>
      </c>
      <c r="D33">
        <v>0</v>
      </c>
      <c r="G33" t="s">
        <v>37</v>
      </c>
      <c r="H33" t="s">
        <v>21</v>
      </c>
      <c r="J33">
        <v>1</v>
      </c>
      <c r="L33">
        <v>12</v>
      </c>
      <c r="N33" t="s">
        <v>38</v>
      </c>
      <c r="R33" t="s">
        <v>37</v>
      </c>
      <c r="S33" t="s">
        <v>21</v>
      </c>
      <c r="U33">
        <v>1</v>
      </c>
      <c r="W33">
        <v>11</v>
      </c>
      <c r="Y33" t="s">
        <v>38</v>
      </c>
      <c r="AC33" t="s">
        <v>37</v>
      </c>
      <c r="AD33" t="s">
        <v>21</v>
      </c>
      <c r="AF33">
        <v>1</v>
      </c>
      <c r="AH33">
        <v>9</v>
      </c>
      <c r="AJ33" t="s">
        <v>38</v>
      </c>
      <c r="AN33" t="s">
        <v>27</v>
      </c>
    </row>
    <row r="34" spans="1:44" x14ac:dyDescent="0.3">
      <c r="A34" s="3">
        <v>44485</v>
      </c>
      <c r="B34">
        <v>6</v>
      </c>
      <c r="C34" t="s">
        <v>21</v>
      </c>
      <c r="D34">
        <v>1</v>
      </c>
      <c r="G34" t="s">
        <v>77</v>
      </c>
      <c r="H34" t="s">
        <v>23</v>
      </c>
      <c r="J34">
        <v>1</v>
      </c>
      <c r="L34">
        <v>24</v>
      </c>
      <c r="M34">
        <v>25</v>
      </c>
      <c r="N34" t="s">
        <v>61</v>
      </c>
      <c r="O34" t="s">
        <v>78</v>
      </c>
      <c r="R34" t="s">
        <v>77</v>
      </c>
      <c r="S34" t="s">
        <v>23</v>
      </c>
      <c r="U34">
        <v>1</v>
      </c>
      <c r="W34">
        <v>33</v>
      </c>
      <c r="Y34" t="s">
        <v>61</v>
      </c>
      <c r="AB34">
        <v>1</v>
      </c>
      <c r="AN34" t="s">
        <v>27</v>
      </c>
      <c r="AR34" t="s">
        <v>79</v>
      </c>
    </row>
    <row r="35" spans="1:44" x14ac:dyDescent="0.3">
      <c r="A35" s="3">
        <v>44485</v>
      </c>
      <c r="B35">
        <v>6</v>
      </c>
      <c r="C35" t="s">
        <v>31</v>
      </c>
      <c r="D35">
        <v>0</v>
      </c>
      <c r="E35">
        <v>30</v>
      </c>
      <c r="G35" t="s">
        <v>33</v>
      </c>
      <c r="H35" t="s">
        <v>21</v>
      </c>
      <c r="J35">
        <v>0</v>
      </c>
      <c r="L35">
        <v>0</v>
      </c>
      <c r="R35" t="s">
        <v>33</v>
      </c>
      <c r="S35" t="s">
        <v>21</v>
      </c>
      <c r="U35">
        <v>0</v>
      </c>
      <c r="AC35" t="s">
        <v>66</v>
      </c>
      <c r="AN35" t="s">
        <v>27</v>
      </c>
      <c r="AR35" t="s">
        <v>80</v>
      </c>
    </row>
    <row r="36" spans="1:44" x14ac:dyDescent="0.3">
      <c r="A36" s="3">
        <v>44485</v>
      </c>
      <c r="B36">
        <v>6</v>
      </c>
      <c r="C36" t="s">
        <v>34</v>
      </c>
      <c r="D36">
        <v>0</v>
      </c>
      <c r="G36" t="s">
        <v>298</v>
      </c>
      <c r="H36" t="s">
        <v>21</v>
      </c>
      <c r="J36">
        <v>1</v>
      </c>
      <c r="L36">
        <v>12</v>
      </c>
      <c r="N36" t="s">
        <v>316</v>
      </c>
      <c r="R36" t="s">
        <v>298</v>
      </c>
      <c r="S36" t="s">
        <v>21</v>
      </c>
      <c r="U36">
        <v>1</v>
      </c>
      <c r="W36">
        <v>11</v>
      </c>
      <c r="Y36" t="s">
        <v>316</v>
      </c>
      <c r="AN36" t="s">
        <v>27</v>
      </c>
    </row>
    <row r="37" spans="1:44" x14ac:dyDescent="0.3">
      <c r="A37" s="3">
        <v>44485</v>
      </c>
      <c r="C37" t="s">
        <v>26</v>
      </c>
      <c r="D37">
        <v>0</v>
      </c>
      <c r="G37" t="s">
        <v>37</v>
      </c>
      <c r="H37" t="s">
        <v>21</v>
      </c>
      <c r="J37">
        <v>1</v>
      </c>
      <c r="L37">
        <v>16</v>
      </c>
      <c r="N37" t="s">
        <v>38</v>
      </c>
      <c r="R37" t="s">
        <v>37</v>
      </c>
      <c r="S37" t="s">
        <v>21</v>
      </c>
      <c r="U37">
        <v>1</v>
      </c>
      <c r="AC37" t="s">
        <v>37</v>
      </c>
      <c r="AN37" t="s">
        <v>27</v>
      </c>
    </row>
    <row r="38" spans="1:44" x14ac:dyDescent="0.3">
      <c r="A38" s="3">
        <v>44485</v>
      </c>
      <c r="B38">
        <v>7</v>
      </c>
      <c r="C38" t="s">
        <v>21</v>
      </c>
      <c r="D38">
        <v>1</v>
      </c>
      <c r="G38" t="s">
        <v>77</v>
      </c>
      <c r="H38" t="s">
        <v>21</v>
      </c>
      <c r="J38">
        <v>1</v>
      </c>
      <c r="L38">
        <v>9</v>
      </c>
      <c r="M38">
        <v>30</v>
      </c>
      <c r="N38" t="s">
        <v>61</v>
      </c>
      <c r="O38" t="s">
        <v>78</v>
      </c>
      <c r="AC38" t="s">
        <v>77</v>
      </c>
      <c r="AD38" t="s">
        <v>82</v>
      </c>
      <c r="AF38" t="s">
        <v>83</v>
      </c>
      <c r="AN38" t="s">
        <v>27</v>
      </c>
    </row>
    <row r="39" spans="1:44" x14ac:dyDescent="0.3">
      <c r="A39" s="3">
        <v>44485</v>
      </c>
      <c r="B39">
        <v>7</v>
      </c>
      <c r="C39" t="s">
        <v>31</v>
      </c>
      <c r="D39">
        <v>0</v>
      </c>
      <c r="G39" t="s">
        <v>33</v>
      </c>
      <c r="H39" t="s">
        <v>21</v>
      </c>
      <c r="J39">
        <v>1</v>
      </c>
      <c r="L39">
        <v>0</v>
      </c>
      <c r="R39" t="s">
        <v>84</v>
      </c>
      <c r="S39" t="s">
        <v>21</v>
      </c>
      <c r="U39">
        <v>1</v>
      </c>
      <c r="W39">
        <v>16</v>
      </c>
      <c r="Y39" t="s">
        <v>316</v>
      </c>
      <c r="AC39" t="s">
        <v>66</v>
      </c>
      <c r="AN39" t="s">
        <v>27</v>
      </c>
      <c r="AR39" t="s">
        <v>85</v>
      </c>
    </row>
    <row r="40" spans="1:44" x14ac:dyDescent="0.3">
      <c r="A40" s="3">
        <v>44485</v>
      </c>
      <c r="B40">
        <v>7</v>
      </c>
      <c r="C40" t="s">
        <v>34</v>
      </c>
      <c r="D40">
        <v>0</v>
      </c>
      <c r="G40" t="s">
        <v>72</v>
      </c>
      <c r="H40" t="s">
        <v>21</v>
      </c>
      <c r="J40">
        <v>1</v>
      </c>
      <c r="L40">
        <v>0</v>
      </c>
      <c r="R40" t="s">
        <v>72</v>
      </c>
      <c r="AN40" t="s">
        <v>27</v>
      </c>
    </row>
    <row r="41" spans="1:44" x14ac:dyDescent="0.3">
      <c r="A41" s="3">
        <v>44485</v>
      </c>
      <c r="B41">
        <v>7</v>
      </c>
      <c r="C41" t="s">
        <v>26</v>
      </c>
      <c r="D41">
        <v>0</v>
      </c>
      <c r="G41" t="s">
        <v>37</v>
      </c>
      <c r="H41" t="s">
        <v>21</v>
      </c>
      <c r="J41">
        <v>1</v>
      </c>
      <c r="L41">
        <v>7</v>
      </c>
      <c r="N41" t="s">
        <v>38</v>
      </c>
      <c r="R41" t="s">
        <v>37</v>
      </c>
      <c r="S41" t="s">
        <v>21</v>
      </c>
      <c r="U41">
        <v>1</v>
      </c>
      <c r="W41">
        <v>10</v>
      </c>
      <c r="Y41" t="s">
        <v>38</v>
      </c>
      <c r="AN41" t="s">
        <v>27</v>
      </c>
    </row>
    <row r="42" spans="1:44" x14ac:dyDescent="0.3">
      <c r="A42" s="3">
        <v>44485</v>
      </c>
      <c r="B42">
        <v>8</v>
      </c>
      <c r="C42" t="s">
        <v>21</v>
      </c>
      <c r="D42">
        <v>1</v>
      </c>
      <c r="G42" t="s">
        <v>77</v>
      </c>
      <c r="H42" t="s">
        <v>34</v>
      </c>
      <c r="J42">
        <v>0</v>
      </c>
      <c r="L42">
        <v>0</v>
      </c>
      <c r="AN42" t="s">
        <v>27</v>
      </c>
    </row>
    <row r="43" spans="1:44" x14ac:dyDescent="0.3">
      <c r="A43" s="3">
        <v>44485</v>
      </c>
      <c r="B43">
        <v>8</v>
      </c>
      <c r="C43" t="s">
        <v>23</v>
      </c>
      <c r="D43">
        <v>0</v>
      </c>
      <c r="G43" t="s">
        <v>64</v>
      </c>
      <c r="H43" t="s">
        <v>87</v>
      </c>
      <c r="J43">
        <v>3</v>
      </c>
      <c r="L43">
        <v>0</v>
      </c>
      <c r="P43">
        <v>15</v>
      </c>
      <c r="AC43" t="s">
        <v>65</v>
      </c>
      <c r="AD43" t="s">
        <v>23</v>
      </c>
      <c r="AF43">
        <v>1</v>
      </c>
      <c r="AL43">
        <v>16</v>
      </c>
      <c r="AN43" t="s">
        <v>27</v>
      </c>
    </row>
    <row r="44" spans="1:44" x14ac:dyDescent="0.3">
      <c r="A44" s="3">
        <v>44485</v>
      </c>
      <c r="B44">
        <v>8</v>
      </c>
      <c r="C44" t="s">
        <v>31</v>
      </c>
      <c r="D44">
        <v>0</v>
      </c>
      <c r="G44" t="s">
        <v>92</v>
      </c>
      <c r="H44" t="s">
        <v>21</v>
      </c>
      <c r="J44">
        <v>1</v>
      </c>
      <c r="L44">
        <v>21</v>
      </c>
      <c r="N44" t="s">
        <v>316</v>
      </c>
      <c r="R44" t="s">
        <v>92</v>
      </c>
      <c r="S44" t="s">
        <v>21</v>
      </c>
      <c r="U44">
        <v>1</v>
      </c>
      <c r="W44">
        <v>12</v>
      </c>
      <c r="Y44" t="s">
        <v>316</v>
      </c>
      <c r="AN44" t="s">
        <v>27</v>
      </c>
    </row>
    <row r="45" spans="1:44" x14ac:dyDescent="0.3">
      <c r="A45" s="3">
        <v>44485</v>
      </c>
      <c r="B45">
        <v>8</v>
      </c>
      <c r="C45" t="s">
        <v>34</v>
      </c>
      <c r="D45">
        <v>0</v>
      </c>
      <c r="G45" t="s">
        <v>72</v>
      </c>
      <c r="H45" t="s">
        <v>21</v>
      </c>
      <c r="J45">
        <v>1</v>
      </c>
      <c r="L45">
        <v>7</v>
      </c>
      <c r="N45" t="s">
        <v>38</v>
      </c>
      <c r="R45" t="s">
        <v>72</v>
      </c>
      <c r="S45" t="s">
        <v>21</v>
      </c>
      <c r="U45">
        <v>1</v>
      </c>
      <c r="W45">
        <v>11</v>
      </c>
      <c r="Y45" t="s">
        <v>38</v>
      </c>
      <c r="AC45" t="s">
        <v>298</v>
      </c>
      <c r="AD45" t="s">
        <v>21</v>
      </c>
      <c r="AF45">
        <v>1</v>
      </c>
      <c r="AH45">
        <v>15</v>
      </c>
      <c r="AJ45" t="s">
        <v>316</v>
      </c>
      <c r="AN45" t="s">
        <v>27</v>
      </c>
    </row>
    <row r="46" spans="1:44" x14ac:dyDescent="0.3">
      <c r="C46" t="s">
        <v>236</v>
      </c>
      <c r="L46">
        <v>0</v>
      </c>
    </row>
    <row r="47" spans="1:44" x14ac:dyDescent="0.3">
      <c r="L47">
        <v>0</v>
      </c>
    </row>
    <row r="48" spans="1:44" x14ac:dyDescent="0.3">
      <c r="A48" s="3">
        <v>44486</v>
      </c>
      <c r="B48">
        <v>1</v>
      </c>
      <c r="C48" t="s">
        <v>31</v>
      </c>
      <c r="D48">
        <v>0</v>
      </c>
      <c r="G48" t="s">
        <v>84</v>
      </c>
      <c r="H48" t="s">
        <v>93</v>
      </c>
      <c r="J48">
        <v>1</v>
      </c>
      <c r="L48">
        <v>12</v>
      </c>
      <c r="N48" t="s">
        <v>38</v>
      </c>
      <c r="R48" t="s">
        <v>92</v>
      </c>
      <c r="S48" t="s">
        <v>93</v>
      </c>
      <c r="U48">
        <v>1</v>
      </c>
      <c r="W48">
        <v>12</v>
      </c>
      <c r="Y48" t="s">
        <v>316</v>
      </c>
      <c r="AC48" t="s">
        <v>66</v>
      </c>
      <c r="AE48">
        <v>12</v>
      </c>
      <c r="AN48" t="s">
        <v>99</v>
      </c>
    </row>
    <row r="49" spans="1:41" x14ac:dyDescent="0.3">
      <c r="A49" s="3"/>
      <c r="B49">
        <v>1</v>
      </c>
      <c r="C49" t="s">
        <v>102</v>
      </c>
      <c r="D49">
        <v>0</v>
      </c>
      <c r="G49" t="s">
        <v>100</v>
      </c>
      <c r="H49" t="s">
        <v>93</v>
      </c>
      <c r="J49">
        <v>1</v>
      </c>
      <c r="K49">
        <v>1</v>
      </c>
      <c r="L49">
        <v>19</v>
      </c>
      <c r="N49" t="s">
        <v>38</v>
      </c>
      <c r="R49" t="s">
        <v>100</v>
      </c>
      <c r="S49" t="s">
        <v>93</v>
      </c>
      <c r="U49">
        <v>1</v>
      </c>
      <c r="W49">
        <v>22</v>
      </c>
      <c r="Y49" t="s">
        <v>38</v>
      </c>
      <c r="AN49" t="s">
        <v>99</v>
      </c>
    </row>
    <row r="50" spans="1:41" x14ac:dyDescent="0.3">
      <c r="A50" s="3">
        <v>44486</v>
      </c>
      <c r="B50">
        <v>1</v>
      </c>
      <c r="L50">
        <v>0</v>
      </c>
      <c r="AN50" t="s">
        <v>99</v>
      </c>
    </row>
    <row r="51" spans="1:41" x14ac:dyDescent="0.3">
      <c r="A51" s="3">
        <v>44486</v>
      </c>
      <c r="B51">
        <v>2</v>
      </c>
      <c r="C51" t="s">
        <v>31</v>
      </c>
      <c r="D51">
        <v>0</v>
      </c>
      <c r="G51" t="s">
        <v>84</v>
      </c>
      <c r="H51" t="s">
        <v>93</v>
      </c>
      <c r="J51">
        <v>1</v>
      </c>
      <c r="L51">
        <v>11</v>
      </c>
      <c r="N51" t="s">
        <v>316</v>
      </c>
      <c r="R51" t="s">
        <v>84</v>
      </c>
      <c r="S51" t="s">
        <v>93</v>
      </c>
      <c r="U51">
        <v>1</v>
      </c>
      <c r="W51">
        <v>11</v>
      </c>
      <c r="Y51" t="s">
        <v>316</v>
      </c>
      <c r="AN51" t="s">
        <v>99</v>
      </c>
    </row>
    <row r="52" spans="1:41" x14ac:dyDescent="0.3">
      <c r="A52" s="3">
        <v>44486</v>
      </c>
      <c r="B52">
        <v>2</v>
      </c>
      <c r="C52" t="s">
        <v>26</v>
      </c>
      <c r="D52">
        <v>0</v>
      </c>
      <c r="G52" t="s">
        <v>37</v>
      </c>
      <c r="H52" t="s">
        <v>93</v>
      </c>
      <c r="J52">
        <v>1</v>
      </c>
      <c r="K52">
        <v>1</v>
      </c>
      <c r="L52">
        <v>22</v>
      </c>
      <c r="N52" t="s">
        <v>38</v>
      </c>
      <c r="AB52">
        <v>1</v>
      </c>
      <c r="AN52" t="s">
        <v>99</v>
      </c>
      <c r="AO52" t="s">
        <v>95</v>
      </c>
    </row>
    <row r="53" spans="1:41" x14ac:dyDescent="0.3">
      <c r="A53" s="3">
        <v>44486</v>
      </c>
      <c r="B53">
        <v>2</v>
      </c>
      <c r="C53" t="s">
        <v>93</v>
      </c>
      <c r="D53">
        <v>1</v>
      </c>
      <c r="G53" t="s">
        <v>69</v>
      </c>
      <c r="H53" t="s">
        <v>96</v>
      </c>
      <c r="J53">
        <v>0</v>
      </c>
      <c r="L53">
        <v>0</v>
      </c>
      <c r="AN53" t="s">
        <v>99</v>
      </c>
    </row>
    <row r="54" spans="1:41" x14ac:dyDescent="0.3">
      <c r="A54" s="3">
        <v>44486</v>
      </c>
      <c r="B54">
        <v>2</v>
      </c>
      <c r="C54" t="s">
        <v>93</v>
      </c>
      <c r="D54">
        <v>1</v>
      </c>
      <c r="E54">
        <v>10</v>
      </c>
      <c r="G54" t="s">
        <v>69</v>
      </c>
      <c r="H54" t="s">
        <v>23</v>
      </c>
      <c r="J54">
        <v>0</v>
      </c>
      <c r="L54">
        <v>0</v>
      </c>
      <c r="AN54" t="s">
        <v>99</v>
      </c>
    </row>
    <row r="55" spans="1:41" x14ac:dyDescent="0.3">
      <c r="A55" s="3">
        <v>44486</v>
      </c>
      <c r="B55">
        <v>2</v>
      </c>
      <c r="C55" t="s">
        <v>93</v>
      </c>
      <c r="D55">
        <v>1</v>
      </c>
      <c r="E55">
        <v>25</v>
      </c>
      <c r="G55" t="s">
        <v>69</v>
      </c>
      <c r="H55" t="s">
        <v>23</v>
      </c>
      <c r="J55">
        <v>0</v>
      </c>
      <c r="L55">
        <v>0</v>
      </c>
      <c r="AN55" t="s">
        <v>99</v>
      </c>
      <c r="AO55" t="s">
        <v>95</v>
      </c>
    </row>
    <row r="56" spans="1:41" x14ac:dyDescent="0.3">
      <c r="A56" s="3">
        <v>44486</v>
      </c>
      <c r="B56">
        <v>2</v>
      </c>
      <c r="C56" t="s">
        <v>97</v>
      </c>
      <c r="D56">
        <v>0</v>
      </c>
      <c r="G56" t="s">
        <v>98</v>
      </c>
      <c r="H56" t="s">
        <v>109</v>
      </c>
      <c r="J56">
        <v>1</v>
      </c>
      <c r="L56">
        <v>11</v>
      </c>
      <c r="N56" t="s">
        <v>61</v>
      </c>
      <c r="R56" t="s">
        <v>98</v>
      </c>
      <c r="S56" t="s">
        <v>93</v>
      </c>
      <c r="U56">
        <v>1</v>
      </c>
      <c r="W56">
        <v>8</v>
      </c>
      <c r="Y56" t="s">
        <v>61</v>
      </c>
      <c r="AN56" t="s">
        <v>99</v>
      </c>
    </row>
    <row r="57" spans="1:41" x14ac:dyDescent="0.3">
      <c r="A57" s="3">
        <v>44486</v>
      </c>
      <c r="B57">
        <v>2</v>
      </c>
      <c r="C57" t="s">
        <v>102</v>
      </c>
      <c r="D57">
        <v>0</v>
      </c>
      <c r="E57">
        <v>15</v>
      </c>
      <c r="G57" t="s">
        <v>100</v>
      </c>
      <c r="H57" t="s">
        <v>109</v>
      </c>
      <c r="J57">
        <v>1</v>
      </c>
      <c r="L57">
        <v>20</v>
      </c>
      <c r="N57" t="s">
        <v>38</v>
      </c>
      <c r="R57" t="s">
        <v>100</v>
      </c>
      <c r="S57" t="s">
        <v>93</v>
      </c>
      <c r="U57">
        <v>1</v>
      </c>
      <c r="W57">
        <v>25</v>
      </c>
      <c r="Y57" t="s">
        <v>38</v>
      </c>
      <c r="AN57" t="s">
        <v>99</v>
      </c>
    </row>
    <row r="58" spans="1:41" x14ac:dyDescent="0.3">
      <c r="A58" s="3">
        <v>44486</v>
      </c>
      <c r="B58">
        <v>2</v>
      </c>
      <c r="C58" t="s">
        <v>34</v>
      </c>
      <c r="D58">
        <v>0</v>
      </c>
      <c r="E58">
        <v>5</v>
      </c>
      <c r="G58" t="s">
        <v>298</v>
      </c>
      <c r="H58" t="s">
        <v>109</v>
      </c>
      <c r="J58">
        <v>1</v>
      </c>
      <c r="L58">
        <v>11</v>
      </c>
      <c r="N58" t="s">
        <v>316</v>
      </c>
      <c r="AN58" t="s">
        <v>99</v>
      </c>
    </row>
    <row r="59" spans="1:41" x14ac:dyDescent="0.3">
      <c r="A59" s="3">
        <v>44486</v>
      </c>
      <c r="B59">
        <v>3</v>
      </c>
      <c r="C59" t="s">
        <v>31</v>
      </c>
      <c r="D59">
        <v>0</v>
      </c>
      <c r="G59" t="s">
        <v>84</v>
      </c>
      <c r="H59" t="s">
        <v>109</v>
      </c>
      <c r="J59">
        <v>1</v>
      </c>
      <c r="L59">
        <v>13</v>
      </c>
      <c r="N59" t="s">
        <v>316</v>
      </c>
      <c r="R59" t="s">
        <v>84</v>
      </c>
      <c r="S59" t="s">
        <v>93</v>
      </c>
      <c r="U59">
        <v>1</v>
      </c>
      <c r="W59">
        <v>8</v>
      </c>
      <c r="Y59" t="s">
        <v>316</v>
      </c>
      <c r="AC59" t="s">
        <v>104</v>
      </c>
      <c r="AN59" t="s">
        <v>99</v>
      </c>
    </row>
    <row r="60" spans="1:41" x14ac:dyDescent="0.3">
      <c r="A60" s="3">
        <v>44486</v>
      </c>
      <c r="B60">
        <v>3</v>
      </c>
      <c r="C60" t="s">
        <v>93</v>
      </c>
      <c r="D60">
        <v>1</v>
      </c>
      <c r="G60" t="s">
        <v>105</v>
      </c>
      <c r="H60" t="s">
        <v>31</v>
      </c>
      <c r="J60">
        <v>1</v>
      </c>
      <c r="L60">
        <v>16</v>
      </c>
      <c r="N60" t="s">
        <v>61</v>
      </c>
      <c r="AN60" t="s">
        <v>99</v>
      </c>
    </row>
    <row r="61" spans="1:41" x14ac:dyDescent="0.3">
      <c r="A61" s="3">
        <v>44486</v>
      </c>
      <c r="B61">
        <v>3</v>
      </c>
      <c r="C61" t="s">
        <v>23</v>
      </c>
      <c r="D61">
        <v>0</v>
      </c>
      <c r="L61">
        <v>0</v>
      </c>
      <c r="AN61" t="s">
        <v>99</v>
      </c>
    </row>
    <row r="62" spans="1:41" x14ac:dyDescent="0.3">
      <c r="A62" s="3">
        <v>44486</v>
      </c>
      <c r="B62">
        <v>3</v>
      </c>
      <c r="C62" t="s">
        <v>26</v>
      </c>
      <c r="D62">
        <v>0</v>
      </c>
      <c r="G62" t="s">
        <v>37</v>
      </c>
      <c r="H62" t="s">
        <v>109</v>
      </c>
      <c r="J62">
        <v>1</v>
      </c>
      <c r="L62">
        <v>14</v>
      </c>
      <c r="N62" t="s">
        <v>38</v>
      </c>
      <c r="R62" t="s">
        <v>37</v>
      </c>
      <c r="S62" t="s">
        <v>93</v>
      </c>
      <c r="U62">
        <v>1</v>
      </c>
      <c r="W62">
        <v>5</v>
      </c>
      <c r="Y62" t="s">
        <v>38</v>
      </c>
      <c r="AN62" t="s">
        <v>99</v>
      </c>
    </row>
    <row r="63" spans="1:41" x14ac:dyDescent="0.3">
      <c r="A63" s="3">
        <v>44486</v>
      </c>
      <c r="B63">
        <v>3</v>
      </c>
      <c r="C63" t="s">
        <v>109</v>
      </c>
      <c r="D63">
        <v>1</v>
      </c>
      <c r="G63" t="s">
        <v>101</v>
      </c>
      <c r="H63" t="s">
        <v>31</v>
      </c>
      <c r="J63">
        <v>0</v>
      </c>
      <c r="L63">
        <v>0</v>
      </c>
      <c r="AN63" t="s">
        <v>99</v>
      </c>
    </row>
    <row r="64" spans="1:41" x14ac:dyDescent="0.3">
      <c r="A64" s="3">
        <v>44486</v>
      </c>
      <c r="B64">
        <v>3</v>
      </c>
      <c r="C64" t="s">
        <v>109</v>
      </c>
      <c r="D64">
        <v>1</v>
      </c>
      <c r="G64" t="s">
        <v>101</v>
      </c>
      <c r="H64" t="s">
        <v>31</v>
      </c>
      <c r="J64">
        <v>1</v>
      </c>
      <c r="L64">
        <v>8</v>
      </c>
      <c r="N64" t="s">
        <v>38</v>
      </c>
      <c r="AN64" t="s">
        <v>99</v>
      </c>
    </row>
    <row r="65" spans="1:40" x14ac:dyDescent="0.3">
      <c r="A65" s="3">
        <v>44486</v>
      </c>
      <c r="B65">
        <v>3</v>
      </c>
      <c r="C65" t="s">
        <v>109</v>
      </c>
      <c r="D65">
        <v>1</v>
      </c>
      <c r="G65" t="s">
        <v>101</v>
      </c>
      <c r="H65" t="s">
        <v>31</v>
      </c>
      <c r="J65">
        <v>1</v>
      </c>
      <c r="L65">
        <v>8</v>
      </c>
      <c r="N65" t="s">
        <v>38</v>
      </c>
      <c r="AN65" t="s">
        <v>99</v>
      </c>
    </row>
    <row r="66" spans="1:40" x14ac:dyDescent="0.3">
      <c r="A66" s="3">
        <v>44486</v>
      </c>
      <c r="B66">
        <v>3</v>
      </c>
      <c r="C66" t="s">
        <v>109</v>
      </c>
      <c r="D66">
        <v>1</v>
      </c>
      <c r="G66" t="s">
        <v>106</v>
      </c>
      <c r="H66" t="s">
        <v>26</v>
      </c>
      <c r="J66">
        <v>0</v>
      </c>
      <c r="L66">
        <v>0</v>
      </c>
      <c r="AN66" t="s">
        <v>99</v>
      </c>
    </row>
    <row r="67" spans="1:40" x14ac:dyDescent="0.3">
      <c r="A67" s="3">
        <v>44486</v>
      </c>
      <c r="B67">
        <v>3</v>
      </c>
      <c r="C67" t="s">
        <v>109</v>
      </c>
      <c r="D67">
        <v>1</v>
      </c>
      <c r="G67" t="s">
        <v>106</v>
      </c>
      <c r="H67" t="s">
        <v>26</v>
      </c>
      <c r="J67">
        <v>1</v>
      </c>
      <c r="L67">
        <v>5</v>
      </c>
      <c r="M67">
        <v>4</v>
      </c>
      <c r="N67" t="s">
        <v>61</v>
      </c>
      <c r="O67" t="s">
        <v>38</v>
      </c>
      <c r="AN67" t="s">
        <v>99</v>
      </c>
    </row>
    <row r="68" spans="1:40" x14ac:dyDescent="0.3">
      <c r="A68" s="3">
        <v>44486</v>
      </c>
      <c r="B68">
        <v>3</v>
      </c>
      <c r="C68" t="s">
        <v>97</v>
      </c>
      <c r="D68">
        <v>0</v>
      </c>
      <c r="E68">
        <v>45</v>
      </c>
      <c r="G68" t="s">
        <v>108</v>
      </c>
      <c r="L68">
        <v>0</v>
      </c>
      <c r="AN68" t="s">
        <v>99</v>
      </c>
    </row>
    <row r="69" spans="1:40" x14ac:dyDescent="0.3">
      <c r="A69" s="3">
        <v>44486</v>
      </c>
      <c r="B69">
        <v>3</v>
      </c>
      <c r="C69" t="s">
        <v>102</v>
      </c>
      <c r="D69">
        <v>0</v>
      </c>
      <c r="G69" t="s">
        <v>100</v>
      </c>
      <c r="H69" t="s">
        <v>109</v>
      </c>
      <c r="J69">
        <v>1</v>
      </c>
      <c r="L69">
        <v>19</v>
      </c>
      <c r="N69" t="s">
        <v>38</v>
      </c>
      <c r="R69" t="s">
        <v>111</v>
      </c>
      <c r="S69" t="s">
        <v>109</v>
      </c>
      <c r="T69" t="s">
        <v>110</v>
      </c>
      <c r="U69">
        <v>1</v>
      </c>
      <c r="W69">
        <v>9</v>
      </c>
      <c r="Y69" t="s">
        <v>38</v>
      </c>
      <c r="AN69" t="s">
        <v>99</v>
      </c>
    </row>
    <row r="70" spans="1:40" x14ac:dyDescent="0.3">
      <c r="A70" s="3">
        <v>44486</v>
      </c>
      <c r="B70">
        <v>3</v>
      </c>
      <c r="C70" t="s">
        <v>34</v>
      </c>
      <c r="D70">
        <v>0</v>
      </c>
      <c r="E70">
        <v>15</v>
      </c>
      <c r="G70" t="s">
        <v>298</v>
      </c>
      <c r="H70" t="s">
        <v>109</v>
      </c>
      <c r="J70">
        <v>1</v>
      </c>
      <c r="L70">
        <v>9</v>
      </c>
      <c r="M70">
        <v>9</v>
      </c>
      <c r="N70" t="s">
        <v>316</v>
      </c>
      <c r="O70" t="s">
        <v>316</v>
      </c>
      <c r="R70" t="s">
        <v>298</v>
      </c>
      <c r="S70" t="s">
        <v>109</v>
      </c>
      <c r="U70">
        <v>1</v>
      </c>
      <c r="W70">
        <v>9</v>
      </c>
      <c r="Y70" t="s">
        <v>316</v>
      </c>
      <c r="AC70" t="s">
        <v>298</v>
      </c>
      <c r="AD70" t="s">
        <v>109</v>
      </c>
      <c r="AF70">
        <v>1</v>
      </c>
      <c r="AH70">
        <v>7</v>
      </c>
      <c r="AJ70" t="s">
        <v>316</v>
      </c>
      <c r="AN70" t="s">
        <v>99</v>
      </c>
    </row>
    <row r="71" spans="1:40" x14ac:dyDescent="0.3">
      <c r="A71" s="3">
        <v>44486</v>
      </c>
      <c r="B71">
        <v>3</v>
      </c>
      <c r="C71" t="s">
        <v>23</v>
      </c>
      <c r="D71">
        <v>0</v>
      </c>
      <c r="E71">
        <v>35</v>
      </c>
      <c r="AC71" t="s">
        <v>136</v>
      </c>
      <c r="AD71" t="s">
        <v>26</v>
      </c>
      <c r="AF71">
        <v>1</v>
      </c>
      <c r="AL71">
        <v>14</v>
      </c>
      <c r="AN71" t="s">
        <v>99</v>
      </c>
    </row>
    <row r="72" spans="1:40" x14ac:dyDescent="0.3">
      <c r="A72" s="3">
        <v>44486</v>
      </c>
      <c r="B72">
        <v>4</v>
      </c>
      <c r="C72" t="s">
        <v>31</v>
      </c>
      <c r="D72">
        <v>0</v>
      </c>
      <c r="G72" t="s">
        <v>92</v>
      </c>
      <c r="H72" t="s">
        <v>109</v>
      </c>
      <c r="J72">
        <v>0</v>
      </c>
      <c r="AC72" t="s">
        <v>66</v>
      </c>
      <c r="AE72">
        <v>11</v>
      </c>
      <c r="AN72" t="s">
        <v>99</v>
      </c>
    </row>
    <row r="73" spans="1:40" x14ac:dyDescent="0.3">
      <c r="A73" s="3">
        <v>44486</v>
      </c>
      <c r="B73">
        <v>4</v>
      </c>
      <c r="C73" t="s">
        <v>26</v>
      </c>
      <c r="D73">
        <v>0</v>
      </c>
      <c r="G73" t="s">
        <v>37</v>
      </c>
      <c r="H73" t="s">
        <v>109</v>
      </c>
      <c r="I73" t="s">
        <v>45</v>
      </c>
      <c r="J73">
        <v>1</v>
      </c>
      <c r="L73">
        <v>13</v>
      </c>
      <c r="N73" t="s">
        <v>38</v>
      </c>
      <c r="R73" t="s">
        <v>37</v>
      </c>
      <c r="S73" t="s">
        <v>109</v>
      </c>
      <c r="U73">
        <v>0</v>
      </c>
      <c r="AC73" t="s">
        <v>45</v>
      </c>
      <c r="AN73" t="s">
        <v>99</v>
      </c>
    </row>
    <row r="74" spans="1:40" x14ac:dyDescent="0.3">
      <c r="A74" s="3">
        <v>44486</v>
      </c>
      <c r="B74">
        <v>4</v>
      </c>
      <c r="C74" t="s">
        <v>109</v>
      </c>
      <c r="D74">
        <v>1</v>
      </c>
      <c r="G74" t="s">
        <v>114</v>
      </c>
      <c r="H74" t="s">
        <v>97</v>
      </c>
      <c r="J74">
        <v>0</v>
      </c>
      <c r="L74">
        <v>0</v>
      </c>
      <c r="AN74" t="s">
        <v>99</v>
      </c>
    </row>
    <row r="75" spans="1:40" x14ac:dyDescent="0.3">
      <c r="A75" s="3">
        <v>44486</v>
      </c>
      <c r="B75">
        <v>4</v>
      </c>
      <c r="C75" t="s">
        <v>109</v>
      </c>
      <c r="D75">
        <v>1</v>
      </c>
      <c r="G75" t="s">
        <v>114</v>
      </c>
      <c r="H75" t="s">
        <v>31</v>
      </c>
      <c r="J75">
        <v>1</v>
      </c>
      <c r="L75">
        <v>8</v>
      </c>
      <c r="N75" t="s">
        <v>316</v>
      </c>
      <c r="AN75" t="s">
        <v>99</v>
      </c>
    </row>
    <row r="76" spans="1:40" x14ac:dyDescent="0.3">
      <c r="A76" s="3">
        <v>44486</v>
      </c>
      <c r="B76">
        <v>4</v>
      </c>
      <c r="C76" t="s">
        <v>109</v>
      </c>
      <c r="D76">
        <v>1</v>
      </c>
      <c r="E76">
        <v>30</v>
      </c>
      <c r="G76" t="s">
        <v>114</v>
      </c>
      <c r="H76" t="s">
        <v>23</v>
      </c>
      <c r="J76">
        <v>0</v>
      </c>
      <c r="L76">
        <v>0</v>
      </c>
      <c r="AN76" t="s">
        <v>99</v>
      </c>
    </row>
    <row r="77" spans="1:40" x14ac:dyDescent="0.3">
      <c r="A77" s="3">
        <v>44486</v>
      </c>
      <c r="B77">
        <v>4</v>
      </c>
      <c r="C77" t="s">
        <v>109</v>
      </c>
      <c r="D77">
        <v>1</v>
      </c>
      <c r="G77" t="s">
        <v>115</v>
      </c>
      <c r="H77" t="s">
        <v>23</v>
      </c>
      <c r="L77">
        <v>14</v>
      </c>
      <c r="N77" t="s">
        <v>38</v>
      </c>
      <c r="AN77" t="s">
        <v>99</v>
      </c>
    </row>
    <row r="78" spans="1:40" x14ac:dyDescent="0.3">
      <c r="A78" s="3">
        <v>44486</v>
      </c>
      <c r="B78">
        <v>4</v>
      </c>
      <c r="C78" t="s">
        <v>109</v>
      </c>
      <c r="D78">
        <v>1</v>
      </c>
      <c r="H78" t="s">
        <v>23</v>
      </c>
      <c r="L78">
        <v>0</v>
      </c>
      <c r="AN78" t="s">
        <v>99</v>
      </c>
    </row>
    <row r="79" spans="1:40" x14ac:dyDescent="0.3">
      <c r="A79" s="3">
        <v>44486</v>
      </c>
      <c r="B79">
        <v>4</v>
      </c>
      <c r="C79" t="s">
        <v>109</v>
      </c>
      <c r="D79">
        <v>1</v>
      </c>
      <c r="G79" t="s">
        <v>106</v>
      </c>
      <c r="H79" t="s">
        <v>26</v>
      </c>
      <c r="J79">
        <v>1</v>
      </c>
      <c r="L79">
        <v>13</v>
      </c>
      <c r="N79" t="s">
        <v>61</v>
      </c>
      <c r="R79" t="s">
        <v>116</v>
      </c>
      <c r="S79" t="s">
        <v>26</v>
      </c>
      <c r="U79">
        <v>1</v>
      </c>
      <c r="W79">
        <v>18</v>
      </c>
      <c r="Y79" t="s">
        <v>316</v>
      </c>
      <c r="AN79" t="s">
        <v>99</v>
      </c>
    </row>
    <row r="80" spans="1:40" x14ac:dyDescent="0.3">
      <c r="A80" s="3">
        <v>44486</v>
      </c>
      <c r="B80">
        <v>4</v>
      </c>
      <c r="C80" t="s">
        <v>97</v>
      </c>
      <c r="D80">
        <v>0</v>
      </c>
      <c r="G80" t="s">
        <v>98</v>
      </c>
      <c r="H80" t="s">
        <v>109</v>
      </c>
      <c r="J80">
        <v>0</v>
      </c>
      <c r="L80">
        <v>0</v>
      </c>
      <c r="R80" t="s">
        <v>98</v>
      </c>
      <c r="S80" t="s">
        <v>109</v>
      </c>
      <c r="U80">
        <v>0</v>
      </c>
      <c r="AC80" t="s">
        <v>279</v>
      </c>
      <c r="AD80" t="s">
        <v>118</v>
      </c>
      <c r="AF80">
        <v>0</v>
      </c>
      <c r="AN80" t="s">
        <v>99</v>
      </c>
    </row>
    <row r="81" spans="1:44" x14ac:dyDescent="0.3">
      <c r="A81" s="3">
        <v>44486</v>
      </c>
      <c r="B81">
        <v>4</v>
      </c>
      <c r="C81" t="s">
        <v>102</v>
      </c>
      <c r="D81">
        <v>0</v>
      </c>
      <c r="G81" t="s">
        <v>119</v>
      </c>
      <c r="H81" t="s">
        <v>93</v>
      </c>
      <c r="J81">
        <v>0</v>
      </c>
      <c r="R81" t="s">
        <v>119</v>
      </c>
      <c r="S81" t="s">
        <v>109</v>
      </c>
      <c r="U81">
        <v>0</v>
      </c>
      <c r="AC81" t="s">
        <v>120</v>
      </c>
      <c r="AN81" t="s">
        <v>99</v>
      </c>
    </row>
    <row r="82" spans="1:44" x14ac:dyDescent="0.3">
      <c r="A82" s="3">
        <v>44486</v>
      </c>
      <c r="B82">
        <v>4</v>
      </c>
      <c r="C82" t="s">
        <v>34</v>
      </c>
      <c r="D82">
        <v>0</v>
      </c>
      <c r="E82">
        <v>20</v>
      </c>
      <c r="G82" t="s">
        <v>72</v>
      </c>
      <c r="H82" t="s">
        <v>109</v>
      </c>
      <c r="J82">
        <v>1</v>
      </c>
      <c r="K82">
        <v>0</v>
      </c>
      <c r="L82">
        <v>0</v>
      </c>
      <c r="M82">
        <v>10</v>
      </c>
      <c r="O82" t="s">
        <v>38</v>
      </c>
      <c r="R82" t="s">
        <v>298</v>
      </c>
      <c r="S82" t="s">
        <v>109</v>
      </c>
      <c r="U82">
        <v>1</v>
      </c>
      <c r="W82">
        <v>0</v>
      </c>
      <c r="X82">
        <v>7</v>
      </c>
      <c r="Z82" t="s">
        <v>316</v>
      </c>
      <c r="AN82" t="s">
        <v>99</v>
      </c>
      <c r="AR82" t="s">
        <v>121</v>
      </c>
    </row>
    <row r="83" spans="1:44" x14ac:dyDescent="0.3">
      <c r="A83" s="3">
        <v>44486</v>
      </c>
      <c r="B83">
        <v>5</v>
      </c>
      <c r="C83" t="s">
        <v>31</v>
      </c>
      <c r="D83">
        <v>0</v>
      </c>
      <c r="E83">
        <v>5</v>
      </c>
      <c r="G83" t="s">
        <v>92</v>
      </c>
      <c r="H83" t="s">
        <v>109</v>
      </c>
      <c r="J83">
        <v>1</v>
      </c>
      <c r="L83">
        <v>7</v>
      </c>
      <c r="N83" t="s">
        <v>316</v>
      </c>
      <c r="Q83">
        <v>1</v>
      </c>
      <c r="R83" t="s">
        <v>397</v>
      </c>
      <c r="S83" t="s">
        <v>109</v>
      </c>
      <c r="U83">
        <v>1</v>
      </c>
      <c r="W83">
        <v>13</v>
      </c>
      <c r="Y83" t="s">
        <v>316</v>
      </c>
      <c r="AB83">
        <v>1</v>
      </c>
      <c r="AN83" t="s">
        <v>99</v>
      </c>
    </row>
    <row r="84" spans="1:44" x14ac:dyDescent="0.3">
      <c r="A84" s="3">
        <v>44486</v>
      </c>
      <c r="B84">
        <v>5</v>
      </c>
      <c r="C84" t="s">
        <v>23</v>
      </c>
      <c r="D84">
        <v>0</v>
      </c>
      <c r="G84" t="s">
        <v>46</v>
      </c>
      <c r="H84" t="s">
        <v>26</v>
      </c>
      <c r="J84">
        <v>1</v>
      </c>
      <c r="P84">
        <v>27</v>
      </c>
      <c r="R84" t="s">
        <v>124</v>
      </c>
      <c r="S84" t="s">
        <v>109</v>
      </c>
      <c r="U84">
        <v>1</v>
      </c>
      <c r="W84">
        <v>9</v>
      </c>
      <c r="Y84" t="s">
        <v>123</v>
      </c>
      <c r="AC84" t="s">
        <v>122</v>
      </c>
      <c r="AN84" t="s">
        <v>99</v>
      </c>
    </row>
    <row r="85" spans="1:44" x14ac:dyDescent="0.3">
      <c r="A85" s="3">
        <v>44486</v>
      </c>
      <c r="B85">
        <v>5</v>
      </c>
      <c r="C85" t="s">
        <v>26</v>
      </c>
      <c r="D85">
        <v>0</v>
      </c>
      <c r="G85" t="s">
        <v>37</v>
      </c>
      <c r="H85" t="s">
        <v>109</v>
      </c>
      <c r="J85">
        <v>1</v>
      </c>
      <c r="K85">
        <v>1</v>
      </c>
      <c r="L85">
        <v>19</v>
      </c>
      <c r="N85" t="s">
        <v>38</v>
      </c>
      <c r="R85" t="s">
        <v>37</v>
      </c>
      <c r="S85" t="s">
        <v>109</v>
      </c>
      <c r="U85">
        <v>1</v>
      </c>
      <c r="W85">
        <v>13</v>
      </c>
      <c r="Y85" t="s">
        <v>38</v>
      </c>
      <c r="AB85">
        <v>1</v>
      </c>
      <c r="AN85" t="s">
        <v>99</v>
      </c>
      <c r="AR85" t="s">
        <v>95</v>
      </c>
    </row>
    <row r="86" spans="1:44" x14ac:dyDescent="0.3">
      <c r="A86" s="3">
        <v>44486</v>
      </c>
      <c r="B86">
        <v>5</v>
      </c>
      <c r="C86" t="s">
        <v>109</v>
      </c>
      <c r="D86">
        <v>1</v>
      </c>
      <c r="L86">
        <v>0</v>
      </c>
      <c r="AN86" t="s">
        <v>99</v>
      </c>
    </row>
    <row r="87" spans="1:44" x14ac:dyDescent="0.3">
      <c r="A87" s="3">
        <v>44486</v>
      </c>
      <c r="B87">
        <v>5</v>
      </c>
      <c r="C87" t="s">
        <v>109</v>
      </c>
      <c r="D87">
        <v>1</v>
      </c>
      <c r="G87" t="s">
        <v>106</v>
      </c>
      <c r="H87" t="s">
        <v>26</v>
      </c>
      <c r="J87">
        <v>1</v>
      </c>
      <c r="L87">
        <v>7</v>
      </c>
      <c r="N87" t="s">
        <v>61</v>
      </c>
      <c r="R87" t="s">
        <v>394</v>
      </c>
      <c r="S87" t="s">
        <v>26</v>
      </c>
      <c r="U87">
        <v>1</v>
      </c>
      <c r="W87">
        <v>7</v>
      </c>
      <c r="Y87" t="s">
        <v>316</v>
      </c>
      <c r="AN87" t="s">
        <v>99</v>
      </c>
      <c r="AR87" t="s">
        <v>127</v>
      </c>
    </row>
    <row r="88" spans="1:44" x14ac:dyDescent="0.3">
      <c r="A88" s="3">
        <v>44486</v>
      </c>
      <c r="B88">
        <v>5</v>
      </c>
      <c r="C88" t="s">
        <v>109</v>
      </c>
      <c r="D88">
        <v>1</v>
      </c>
      <c r="G88" t="s">
        <v>101</v>
      </c>
      <c r="H88" t="s">
        <v>23</v>
      </c>
      <c r="J88">
        <v>1</v>
      </c>
      <c r="L88">
        <v>11</v>
      </c>
      <c r="N88" t="s">
        <v>38</v>
      </c>
      <c r="AN88" t="s">
        <v>99</v>
      </c>
    </row>
    <row r="89" spans="1:44" x14ac:dyDescent="0.3">
      <c r="A89" s="3">
        <v>44486</v>
      </c>
      <c r="B89">
        <v>5</v>
      </c>
      <c r="C89" t="s">
        <v>109</v>
      </c>
      <c r="D89">
        <v>1</v>
      </c>
      <c r="G89" t="s">
        <v>101</v>
      </c>
      <c r="H89" t="s">
        <v>23</v>
      </c>
      <c r="J89">
        <v>1</v>
      </c>
      <c r="L89">
        <v>10</v>
      </c>
      <c r="N89" t="s">
        <v>38</v>
      </c>
      <c r="AN89" t="s">
        <v>99</v>
      </c>
    </row>
    <row r="90" spans="1:44" x14ac:dyDescent="0.3">
      <c r="A90" s="3">
        <v>44486</v>
      </c>
      <c r="B90">
        <v>5</v>
      </c>
      <c r="C90" t="s">
        <v>109</v>
      </c>
      <c r="D90">
        <v>1</v>
      </c>
      <c r="L90">
        <v>0</v>
      </c>
      <c r="AN90" t="s">
        <v>99</v>
      </c>
    </row>
    <row r="91" spans="1:44" x14ac:dyDescent="0.3">
      <c r="A91" s="3">
        <v>44486</v>
      </c>
      <c r="B91">
        <v>5</v>
      </c>
      <c r="C91" t="s">
        <v>93</v>
      </c>
      <c r="D91">
        <v>1</v>
      </c>
      <c r="E91">
        <v>55</v>
      </c>
      <c r="H91" t="s">
        <v>102</v>
      </c>
      <c r="J91">
        <v>1</v>
      </c>
      <c r="L91">
        <v>22</v>
      </c>
      <c r="N91" t="s">
        <v>38</v>
      </c>
      <c r="AN91" t="s">
        <v>99</v>
      </c>
    </row>
    <row r="92" spans="1:44" x14ac:dyDescent="0.3">
      <c r="A92" s="3">
        <v>44486</v>
      </c>
      <c r="B92">
        <v>5</v>
      </c>
      <c r="C92" t="s">
        <v>97</v>
      </c>
      <c r="D92">
        <v>0</v>
      </c>
      <c r="G92" t="s">
        <v>98</v>
      </c>
      <c r="H92" t="s">
        <v>109</v>
      </c>
      <c r="I92" t="s">
        <v>279</v>
      </c>
      <c r="J92">
        <v>1</v>
      </c>
      <c r="L92">
        <v>5</v>
      </c>
      <c r="M92">
        <v>11</v>
      </c>
      <c r="N92" t="s">
        <v>61</v>
      </c>
      <c r="O92" t="s">
        <v>129</v>
      </c>
      <c r="AN92" t="s">
        <v>99</v>
      </c>
    </row>
    <row r="93" spans="1:44" x14ac:dyDescent="0.3">
      <c r="A93" s="3">
        <v>44486</v>
      </c>
      <c r="B93">
        <v>5</v>
      </c>
      <c r="C93" t="s">
        <v>102</v>
      </c>
      <c r="D93">
        <v>0</v>
      </c>
      <c r="E93">
        <v>40</v>
      </c>
      <c r="G93" t="s">
        <v>131</v>
      </c>
      <c r="H93" t="s">
        <v>93</v>
      </c>
      <c r="J93">
        <v>1</v>
      </c>
      <c r="L93">
        <v>9</v>
      </c>
      <c r="N93" t="s">
        <v>61</v>
      </c>
      <c r="R93" t="s">
        <v>132</v>
      </c>
      <c r="S93" t="s">
        <v>133</v>
      </c>
      <c r="U93">
        <v>1</v>
      </c>
      <c r="W93">
        <v>8</v>
      </c>
      <c r="Y93" t="s">
        <v>38</v>
      </c>
      <c r="AN93" t="s">
        <v>99</v>
      </c>
    </row>
    <row r="94" spans="1:44" x14ac:dyDescent="0.3">
      <c r="A94" s="3">
        <v>44486</v>
      </c>
      <c r="B94">
        <v>5</v>
      </c>
      <c r="C94" t="s">
        <v>93</v>
      </c>
      <c r="D94">
        <v>1</v>
      </c>
      <c r="G94" t="s">
        <v>105</v>
      </c>
      <c r="H94" t="s">
        <v>102</v>
      </c>
      <c r="J94">
        <v>1</v>
      </c>
      <c r="L94">
        <v>14</v>
      </c>
      <c r="N94" t="s">
        <v>61</v>
      </c>
      <c r="AN94" t="s">
        <v>99</v>
      </c>
    </row>
    <row r="95" spans="1:44" x14ac:dyDescent="0.3">
      <c r="A95" s="3">
        <v>44486</v>
      </c>
      <c r="B95">
        <v>5</v>
      </c>
      <c r="C95" t="s">
        <v>34</v>
      </c>
      <c r="D95">
        <v>0</v>
      </c>
      <c r="E95">
        <v>20</v>
      </c>
      <c r="G95" t="s">
        <v>298</v>
      </c>
      <c r="H95" t="s">
        <v>109</v>
      </c>
      <c r="J95">
        <v>1</v>
      </c>
      <c r="L95">
        <v>10</v>
      </c>
      <c r="M95">
        <v>9</v>
      </c>
      <c r="N95" t="s">
        <v>316</v>
      </c>
      <c r="O95" t="s">
        <v>316</v>
      </c>
      <c r="Q95">
        <v>1</v>
      </c>
      <c r="R95" t="s">
        <v>298</v>
      </c>
      <c r="S95" t="s">
        <v>93</v>
      </c>
      <c r="U95">
        <v>1</v>
      </c>
      <c r="V95">
        <v>1</v>
      </c>
      <c r="W95">
        <v>17</v>
      </c>
      <c r="Y95" t="s">
        <v>316</v>
      </c>
      <c r="AN95" t="s">
        <v>99</v>
      </c>
      <c r="AR95" t="s">
        <v>135</v>
      </c>
    </row>
    <row r="96" spans="1:44" x14ac:dyDescent="0.3">
      <c r="A96" s="3">
        <v>44486</v>
      </c>
      <c r="B96">
        <v>6</v>
      </c>
      <c r="C96" t="s">
        <v>23</v>
      </c>
      <c r="D96">
        <v>0</v>
      </c>
      <c r="G96" t="s">
        <v>46</v>
      </c>
      <c r="H96" t="s">
        <v>102</v>
      </c>
      <c r="J96">
        <v>1</v>
      </c>
      <c r="L96">
        <v>0</v>
      </c>
      <c r="P96">
        <v>15</v>
      </c>
      <c r="AC96" t="s">
        <v>136</v>
      </c>
      <c r="AD96" t="s">
        <v>137</v>
      </c>
      <c r="AF96">
        <v>1</v>
      </c>
      <c r="AL96">
        <v>13</v>
      </c>
      <c r="AN96" t="s">
        <v>99</v>
      </c>
    </row>
    <row r="97" spans="1:40" x14ac:dyDescent="0.3">
      <c r="A97" s="3">
        <v>44486</v>
      </c>
      <c r="B97">
        <v>6</v>
      </c>
      <c r="C97" t="s">
        <v>31</v>
      </c>
      <c r="D97">
        <v>0</v>
      </c>
      <c r="E97">
        <v>30</v>
      </c>
      <c r="G97" t="s">
        <v>173</v>
      </c>
      <c r="H97" t="s">
        <v>93</v>
      </c>
      <c r="J97">
        <v>1</v>
      </c>
      <c r="L97">
        <v>9</v>
      </c>
      <c r="R97" t="s">
        <v>92</v>
      </c>
      <c r="S97" t="s">
        <v>93</v>
      </c>
      <c r="U97">
        <v>1</v>
      </c>
      <c r="W97">
        <v>6</v>
      </c>
      <c r="Y97" t="s">
        <v>316</v>
      </c>
      <c r="AC97" t="s">
        <v>92</v>
      </c>
      <c r="AD97" t="s">
        <v>93</v>
      </c>
      <c r="AF97">
        <v>1</v>
      </c>
      <c r="AH97">
        <v>10</v>
      </c>
      <c r="AJ97" t="s">
        <v>316</v>
      </c>
      <c r="AN97" t="s">
        <v>99</v>
      </c>
    </row>
    <row r="98" spans="1:40" x14ac:dyDescent="0.3">
      <c r="A98" s="3">
        <v>44486</v>
      </c>
      <c r="B98">
        <v>6</v>
      </c>
      <c r="C98" t="s">
        <v>26</v>
      </c>
      <c r="D98">
        <v>0</v>
      </c>
      <c r="G98" t="s">
        <v>37</v>
      </c>
      <c r="H98" t="s">
        <v>93</v>
      </c>
      <c r="J98">
        <v>0</v>
      </c>
      <c r="L98">
        <v>0</v>
      </c>
      <c r="R98" t="s">
        <v>37</v>
      </c>
      <c r="S98" t="s">
        <v>93</v>
      </c>
      <c r="T98" t="s">
        <v>45</v>
      </c>
      <c r="U98">
        <v>1</v>
      </c>
      <c r="W98">
        <v>7</v>
      </c>
      <c r="Y98" t="s">
        <v>38</v>
      </c>
      <c r="AN98" t="s">
        <v>99</v>
      </c>
    </row>
    <row r="99" spans="1:40" x14ac:dyDescent="0.3">
      <c r="A99" s="3">
        <v>44486</v>
      </c>
      <c r="B99">
        <v>6</v>
      </c>
      <c r="C99" t="s">
        <v>93</v>
      </c>
      <c r="D99">
        <v>1</v>
      </c>
      <c r="G99" t="s">
        <v>140</v>
      </c>
      <c r="H99" t="s">
        <v>31</v>
      </c>
      <c r="J99">
        <v>1</v>
      </c>
      <c r="L99">
        <v>17</v>
      </c>
      <c r="N99" t="s">
        <v>316</v>
      </c>
      <c r="AN99" t="s">
        <v>99</v>
      </c>
    </row>
    <row r="100" spans="1:40" x14ac:dyDescent="0.3">
      <c r="A100" s="3">
        <v>44486</v>
      </c>
      <c r="B100">
        <v>6</v>
      </c>
      <c r="C100" t="s">
        <v>109</v>
      </c>
      <c r="D100">
        <v>1</v>
      </c>
      <c r="G100" t="s">
        <v>131</v>
      </c>
      <c r="L100">
        <v>0</v>
      </c>
      <c r="AN100" t="s">
        <v>99</v>
      </c>
    </row>
    <row r="101" spans="1:40" x14ac:dyDescent="0.3">
      <c r="A101" s="3">
        <v>44486</v>
      </c>
      <c r="B101">
        <v>6</v>
      </c>
      <c r="C101" t="s">
        <v>141</v>
      </c>
      <c r="D101">
        <v>1</v>
      </c>
      <c r="G101" t="s">
        <v>142</v>
      </c>
      <c r="H101" t="s">
        <v>26</v>
      </c>
      <c r="J101">
        <v>1</v>
      </c>
      <c r="L101">
        <v>32</v>
      </c>
      <c r="N101" t="s">
        <v>38</v>
      </c>
      <c r="R101" t="s">
        <v>143</v>
      </c>
      <c r="S101" t="s">
        <v>26</v>
      </c>
      <c r="U101">
        <v>1</v>
      </c>
      <c r="W101">
        <v>8</v>
      </c>
      <c r="Y101" t="s">
        <v>61</v>
      </c>
      <c r="AB101">
        <v>1</v>
      </c>
      <c r="AN101" t="s">
        <v>99</v>
      </c>
    </row>
    <row r="102" spans="1:40" x14ac:dyDescent="0.3">
      <c r="A102" s="3">
        <v>44486</v>
      </c>
      <c r="B102">
        <v>6</v>
      </c>
      <c r="C102" t="s">
        <v>97</v>
      </c>
      <c r="D102">
        <v>0</v>
      </c>
      <c r="E102">
        <v>30</v>
      </c>
      <c r="G102" t="s">
        <v>46</v>
      </c>
      <c r="H102" t="s">
        <v>26</v>
      </c>
      <c r="J102">
        <v>1</v>
      </c>
      <c r="L102">
        <v>0</v>
      </c>
      <c r="P102">
        <v>14</v>
      </c>
      <c r="AN102" t="s">
        <v>99</v>
      </c>
    </row>
    <row r="103" spans="1:40" x14ac:dyDescent="0.3">
      <c r="A103" s="3">
        <v>44486</v>
      </c>
      <c r="B103">
        <v>6</v>
      </c>
      <c r="C103" t="s">
        <v>102</v>
      </c>
      <c r="D103">
        <v>0</v>
      </c>
      <c r="E103">
        <v>15</v>
      </c>
      <c r="G103" t="s">
        <v>397</v>
      </c>
      <c r="H103" t="s">
        <v>109</v>
      </c>
      <c r="J103">
        <v>1</v>
      </c>
      <c r="L103">
        <v>10</v>
      </c>
      <c r="R103" t="s">
        <v>111</v>
      </c>
      <c r="S103" t="s">
        <v>145</v>
      </c>
      <c r="U103">
        <v>0</v>
      </c>
      <c r="AN103" t="s">
        <v>99</v>
      </c>
    </row>
    <row r="104" spans="1:40" x14ac:dyDescent="0.3">
      <c r="A104" s="3">
        <v>44486</v>
      </c>
      <c r="B104">
        <v>6</v>
      </c>
      <c r="C104" t="s">
        <v>34</v>
      </c>
      <c r="D104">
        <v>0</v>
      </c>
      <c r="E104">
        <v>20</v>
      </c>
      <c r="G104" t="s">
        <v>72</v>
      </c>
      <c r="H104" t="s">
        <v>109</v>
      </c>
      <c r="J104">
        <v>1</v>
      </c>
      <c r="L104">
        <v>0</v>
      </c>
      <c r="M104">
        <v>11</v>
      </c>
      <c r="N104" t="s">
        <v>38</v>
      </c>
      <c r="R104" t="s">
        <v>298</v>
      </c>
      <c r="S104" t="s">
        <v>146</v>
      </c>
      <c r="U104">
        <v>1</v>
      </c>
      <c r="V104">
        <v>1</v>
      </c>
      <c r="W104">
        <v>0</v>
      </c>
      <c r="X104">
        <v>14</v>
      </c>
      <c r="Y104" t="s">
        <v>316</v>
      </c>
      <c r="Z104" t="s">
        <v>316</v>
      </c>
      <c r="AN104" t="s">
        <v>99</v>
      </c>
    </row>
    <row r="105" spans="1:40" x14ac:dyDescent="0.3">
      <c r="A105" s="3">
        <v>44486</v>
      </c>
      <c r="B105">
        <v>7</v>
      </c>
      <c r="C105" t="s">
        <v>147</v>
      </c>
      <c r="D105">
        <v>0</v>
      </c>
      <c r="E105">
        <v>20</v>
      </c>
      <c r="G105" t="s">
        <v>397</v>
      </c>
      <c r="H105" t="s">
        <v>146</v>
      </c>
      <c r="J105">
        <v>1</v>
      </c>
      <c r="L105">
        <v>0</v>
      </c>
      <c r="M105">
        <v>6</v>
      </c>
      <c r="N105" t="s">
        <v>316</v>
      </c>
      <c r="R105" t="s">
        <v>397</v>
      </c>
      <c r="S105" t="s">
        <v>146</v>
      </c>
      <c r="U105">
        <v>0</v>
      </c>
      <c r="AC105" t="s">
        <v>396</v>
      </c>
      <c r="AN105" t="s">
        <v>99</v>
      </c>
    </row>
    <row r="106" spans="1:40" x14ac:dyDescent="0.3">
      <c r="A106" s="3">
        <v>44486</v>
      </c>
      <c r="B106">
        <v>7</v>
      </c>
      <c r="C106" t="s">
        <v>23</v>
      </c>
      <c r="D106">
        <v>0</v>
      </c>
      <c r="E106">
        <v>35</v>
      </c>
      <c r="G106" t="s">
        <v>64</v>
      </c>
      <c r="H106" t="s">
        <v>307</v>
      </c>
      <c r="J106">
        <v>1</v>
      </c>
      <c r="L106">
        <v>0</v>
      </c>
      <c r="AC106" t="s">
        <v>136</v>
      </c>
      <c r="AF106">
        <v>1</v>
      </c>
      <c r="AL106">
        <v>13</v>
      </c>
      <c r="AN106" t="s">
        <v>99</v>
      </c>
    </row>
    <row r="107" spans="1:40" x14ac:dyDescent="0.3">
      <c r="A107" s="3">
        <v>44486</v>
      </c>
      <c r="B107">
        <v>7</v>
      </c>
      <c r="C107" t="s">
        <v>26</v>
      </c>
      <c r="D107">
        <v>0</v>
      </c>
      <c r="G107" t="s">
        <v>149</v>
      </c>
      <c r="H107" t="s">
        <v>146</v>
      </c>
      <c r="J107">
        <v>0</v>
      </c>
      <c r="R107" t="s">
        <v>149</v>
      </c>
      <c r="S107" t="s">
        <v>146</v>
      </c>
      <c r="T107" t="s">
        <v>45</v>
      </c>
      <c r="U107">
        <v>1</v>
      </c>
      <c r="W107">
        <v>7</v>
      </c>
      <c r="Y107" t="s">
        <v>38</v>
      </c>
      <c r="AN107" t="s">
        <v>99</v>
      </c>
    </row>
    <row r="108" spans="1:40" x14ac:dyDescent="0.3">
      <c r="A108" s="3">
        <v>44486</v>
      </c>
      <c r="B108">
        <v>7</v>
      </c>
      <c r="C108" t="s">
        <v>109</v>
      </c>
      <c r="D108">
        <v>1</v>
      </c>
      <c r="G108" t="s">
        <v>150</v>
      </c>
      <c r="H108" t="s">
        <v>31</v>
      </c>
      <c r="J108">
        <v>1</v>
      </c>
      <c r="L108">
        <v>22</v>
      </c>
      <c r="N108" t="s">
        <v>151</v>
      </c>
      <c r="AN108" t="s">
        <v>99</v>
      </c>
    </row>
    <row r="109" spans="1:40" x14ac:dyDescent="0.3">
      <c r="A109" s="3">
        <v>44486</v>
      </c>
      <c r="B109">
        <v>7</v>
      </c>
      <c r="C109" t="s">
        <v>141</v>
      </c>
      <c r="D109">
        <v>1</v>
      </c>
      <c r="G109" t="s">
        <v>142</v>
      </c>
      <c r="H109" t="s">
        <v>31</v>
      </c>
      <c r="J109">
        <v>1</v>
      </c>
      <c r="L109">
        <v>25</v>
      </c>
      <c r="N109" t="s">
        <v>38</v>
      </c>
      <c r="R109" t="s">
        <v>69</v>
      </c>
      <c r="S109" t="s">
        <v>31</v>
      </c>
      <c r="U109">
        <v>1</v>
      </c>
      <c r="W109">
        <v>8</v>
      </c>
      <c r="Y109" t="s">
        <v>61</v>
      </c>
      <c r="AN109" t="s">
        <v>99</v>
      </c>
    </row>
    <row r="110" spans="1:40" x14ac:dyDescent="0.3">
      <c r="A110" s="3">
        <v>44486</v>
      </c>
      <c r="B110">
        <v>7</v>
      </c>
      <c r="C110" t="s">
        <v>31</v>
      </c>
      <c r="D110">
        <v>0</v>
      </c>
      <c r="G110" t="s">
        <v>400</v>
      </c>
      <c r="I110">
        <v>9</v>
      </c>
      <c r="AN110" t="s">
        <v>99</v>
      </c>
    </row>
    <row r="111" spans="1:40" x14ac:dyDescent="0.3">
      <c r="A111" s="3">
        <v>44486</v>
      </c>
      <c r="B111">
        <v>7</v>
      </c>
      <c r="C111" t="s">
        <v>97</v>
      </c>
      <c r="D111">
        <v>0</v>
      </c>
      <c r="E111">
        <v>25</v>
      </c>
      <c r="G111" t="s">
        <v>46</v>
      </c>
      <c r="H111" t="s">
        <v>31</v>
      </c>
      <c r="J111">
        <v>1</v>
      </c>
      <c r="L111">
        <v>0</v>
      </c>
      <c r="P111">
        <v>10</v>
      </c>
      <c r="AN111" t="s">
        <v>99</v>
      </c>
    </row>
    <row r="112" spans="1:40" x14ac:dyDescent="0.3">
      <c r="A112" s="3">
        <v>44486</v>
      </c>
      <c r="B112">
        <v>7</v>
      </c>
      <c r="C112" t="s">
        <v>152</v>
      </c>
      <c r="D112">
        <v>3</v>
      </c>
      <c r="G112" t="s">
        <v>153</v>
      </c>
      <c r="AN112" t="s">
        <v>99</v>
      </c>
    </row>
    <row r="113" spans="1:40" x14ac:dyDescent="0.3">
      <c r="L113">
        <v>0</v>
      </c>
    </row>
    <row r="114" spans="1:40" x14ac:dyDescent="0.3">
      <c r="A114" s="3">
        <v>44502</v>
      </c>
      <c r="B114">
        <v>0</v>
      </c>
      <c r="C114" t="s">
        <v>26</v>
      </c>
      <c r="D114">
        <v>0</v>
      </c>
      <c r="G114" t="s">
        <v>37</v>
      </c>
      <c r="H114" t="s">
        <v>109</v>
      </c>
      <c r="I114" t="s">
        <v>154</v>
      </c>
      <c r="J114">
        <v>1</v>
      </c>
      <c r="L114">
        <v>8</v>
      </c>
      <c r="M114">
        <v>8</v>
      </c>
      <c r="N114" t="s">
        <v>38</v>
      </c>
      <c r="O114" t="s">
        <v>38</v>
      </c>
      <c r="R114" t="s">
        <v>37</v>
      </c>
      <c r="S114" t="s">
        <v>109</v>
      </c>
      <c r="T114" t="s">
        <v>45</v>
      </c>
      <c r="U114">
        <v>1</v>
      </c>
      <c r="W114">
        <v>9</v>
      </c>
      <c r="Y114" t="s">
        <v>38</v>
      </c>
      <c r="AN114" t="s">
        <v>225</v>
      </c>
    </row>
    <row r="115" spans="1:40" x14ac:dyDescent="0.3">
      <c r="A115" s="3">
        <v>44502</v>
      </c>
      <c r="B115">
        <v>1</v>
      </c>
      <c r="C115" t="s">
        <v>26</v>
      </c>
      <c r="D115">
        <v>0</v>
      </c>
      <c r="G115" t="s">
        <v>37</v>
      </c>
      <c r="H115" t="s">
        <v>109</v>
      </c>
      <c r="I115" t="s">
        <v>45</v>
      </c>
      <c r="J115">
        <v>1</v>
      </c>
      <c r="L115">
        <v>9</v>
      </c>
      <c r="R115" t="s">
        <v>37</v>
      </c>
      <c r="S115" t="s">
        <v>109</v>
      </c>
      <c r="T115" t="s">
        <v>45</v>
      </c>
      <c r="U115">
        <v>1</v>
      </c>
      <c r="W115">
        <v>13</v>
      </c>
      <c r="Y115" t="s">
        <v>38</v>
      </c>
      <c r="AB115">
        <v>1</v>
      </c>
      <c r="AN115" t="s">
        <v>225</v>
      </c>
    </row>
    <row r="116" spans="1:40" x14ac:dyDescent="0.3">
      <c r="A116" s="3">
        <v>44502</v>
      </c>
      <c r="B116">
        <v>1</v>
      </c>
      <c r="C116" t="s">
        <v>109</v>
      </c>
      <c r="D116">
        <v>1</v>
      </c>
      <c r="G116" t="s">
        <v>156</v>
      </c>
      <c r="H116" t="s">
        <v>97</v>
      </c>
      <c r="J116">
        <v>0</v>
      </c>
      <c r="L116">
        <v>0</v>
      </c>
      <c r="AN116" t="s">
        <v>225</v>
      </c>
    </row>
    <row r="117" spans="1:40" x14ac:dyDescent="0.3">
      <c r="A117" s="3">
        <v>44502</v>
      </c>
      <c r="B117">
        <v>1</v>
      </c>
      <c r="C117" t="s">
        <v>97</v>
      </c>
      <c r="D117">
        <v>0</v>
      </c>
      <c r="G117" t="s">
        <v>98</v>
      </c>
      <c r="H117" t="s">
        <v>109</v>
      </c>
      <c r="J117">
        <v>1</v>
      </c>
      <c r="L117">
        <v>6</v>
      </c>
      <c r="N117" t="s">
        <v>61</v>
      </c>
      <c r="R117" t="s">
        <v>98</v>
      </c>
      <c r="S117" t="s">
        <v>109</v>
      </c>
      <c r="U117">
        <v>0</v>
      </c>
      <c r="AN117" t="s">
        <v>225</v>
      </c>
    </row>
    <row r="118" spans="1:40" x14ac:dyDescent="0.3">
      <c r="A118" s="3">
        <v>44502</v>
      </c>
      <c r="B118">
        <v>2</v>
      </c>
      <c r="C118" t="s">
        <v>26</v>
      </c>
      <c r="D118">
        <v>0</v>
      </c>
      <c r="G118" t="s">
        <v>37</v>
      </c>
      <c r="H118" t="s">
        <v>109</v>
      </c>
      <c r="I118" t="s">
        <v>45</v>
      </c>
      <c r="J118">
        <v>1</v>
      </c>
      <c r="L118">
        <v>9</v>
      </c>
      <c r="N118" t="s">
        <v>38</v>
      </c>
      <c r="R118" t="s">
        <v>37</v>
      </c>
      <c r="S118" t="s">
        <v>109</v>
      </c>
      <c r="T118" t="s">
        <v>45</v>
      </c>
      <c r="U118">
        <v>1</v>
      </c>
      <c r="W118">
        <v>13</v>
      </c>
      <c r="Y118" t="s">
        <v>38</v>
      </c>
      <c r="AN118" t="s">
        <v>225</v>
      </c>
    </row>
    <row r="119" spans="1:40" x14ac:dyDescent="0.3">
      <c r="A119" s="3">
        <v>44502</v>
      </c>
      <c r="B119">
        <v>2</v>
      </c>
      <c r="C119" t="s">
        <v>109</v>
      </c>
      <c r="D119">
        <v>1</v>
      </c>
      <c r="G119" t="s">
        <v>157</v>
      </c>
      <c r="H119" t="s">
        <v>97</v>
      </c>
      <c r="J119">
        <v>1</v>
      </c>
      <c r="K119">
        <v>1</v>
      </c>
      <c r="L119">
        <v>28</v>
      </c>
      <c r="N119" t="s">
        <v>61</v>
      </c>
      <c r="AN119" t="s">
        <v>225</v>
      </c>
    </row>
    <row r="120" spans="1:40" x14ac:dyDescent="0.3">
      <c r="A120" s="3">
        <v>44502</v>
      </c>
      <c r="B120">
        <v>2</v>
      </c>
      <c r="C120" t="s">
        <v>97</v>
      </c>
      <c r="D120">
        <v>0</v>
      </c>
      <c r="G120" t="s">
        <v>98</v>
      </c>
      <c r="H120" t="s">
        <v>109</v>
      </c>
      <c r="J120">
        <v>1</v>
      </c>
      <c r="K120">
        <v>1</v>
      </c>
      <c r="L120">
        <v>30</v>
      </c>
      <c r="N120" t="s">
        <v>61</v>
      </c>
      <c r="Q120">
        <v>1</v>
      </c>
      <c r="R120" t="s">
        <v>98</v>
      </c>
      <c r="S120" t="s">
        <v>109</v>
      </c>
      <c r="U120">
        <v>1</v>
      </c>
      <c r="W120">
        <v>12</v>
      </c>
      <c r="Y120" t="s">
        <v>61</v>
      </c>
      <c r="AN120" t="s">
        <v>225</v>
      </c>
    </row>
    <row r="121" spans="1:40" x14ac:dyDescent="0.3">
      <c r="A121" s="3">
        <v>44502</v>
      </c>
      <c r="B121">
        <v>2</v>
      </c>
      <c r="C121" t="s">
        <v>97</v>
      </c>
      <c r="D121">
        <v>0</v>
      </c>
      <c r="G121" t="s">
        <v>46</v>
      </c>
      <c r="H121" t="s">
        <v>97</v>
      </c>
      <c r="J121">
        <v>1</v>
      </c>
      <c r="L121">
        <v>0</v>
      </c>
      <c r="P121">
        <v>12</v>
      </c>
      <c r="AN121" t="s">
        <v>225</v>
      </c>
    </row>
    <row r="122" spans="1:40" x14ac:dyDescent="0.3">
      <c r="A122" s="3">
        <v>44502</v>
      </c>
      <c r="B122">
        <v>-1</v>
      </c>
      <c r="C122" t="s">
        <v>31</v>
      </c>
      <c r="D122">
        <v>0</v>
      </c>
      <c r="AC122" t="s">
        <v>66</v>
      </c>
      <c r="AE122">
        <v>18</v>
      </c>
      <c r="AN122" t="s">
        <v>225</v>
      </c>
    </row>
    <row r="123" spans="1:40" x14ac:dyDescent="0.3">
      <c r="A123" s="3">
        <v>44502</v>
      </c>
      <c r="B123">
        <v>0</v>
      </c>
      <c r="C123" t="s">
        <v>26</v>
      </c>
      <c r="D123">
        <v>0</v>
      </c>
      <c r="G123" t="s">
        <v>158</v>
      </c>
      <c r="H123" t="s">
        <v>109</v>
      </c>
      <c r="I123" t="s">
        <v>154</v>
      </c>
      <c r="J123">
        <v>1</v>
      </c>
      <c r="L123">
        <v>8</v>
      </c>
      <c r="M123">
        <v>7</v>
      </c>
      <c r="N123" t="s">
        <v>316</v>
      </c>
      <c r="O123" t="s">
        <v>316</v>
      </c>
      <c r="AN123" t="s">
        <v>225</v>
      </c>
    </row>
    <row r="124" spans="1:40" x14ac:dyDescent="0.3">
      <c r="A124" s="3">
        <v>44502</v>
      </c>
      <c r="B124">
        <v>0</v>
      </c>
      <c r="C124" t="s">
        <v>97</v>
      </c>
      <c r="D124">
        <v>0</v>
      </c>
      <c r="G124" t="s">
        <v>98</v>
      </c>
      <c r="H124" t="s">
        <v>109</v>
      </c>
      <c r="J124">
        <v>1</v>
      </c>
      <c r="K124">
        <v>1</v>
      </c>
      <c r="L124">
        <v>19</v>
      </c>
      <c r="N124" t="s">
        <v>61</v>
      </c>
      <c r="Q124">
        <v>1</v>
      </c>
      <c r="AN124" t="s">
        <v>225</v>
      </c>
    </row>
    <row r="125" spans="1:40" x14ac:dyDescent="0.3">
      <c r="A125" s="3">
        <v>44502</v>
      </c>
      <c r="B125">
        <v>0</v>
      </c>
      <c r="C125" t="s">
        <v>26</v>
      </c>
      <c r="D125">
        <v>0</v>
      </c>
      <c r="G125" t="s">
        <v>158</v>
      </c>
      <c r="H125" t="s">
        <v>160</v>
      </c>
      <c r="I125" t="s">
        <v>154</v>
      </c>
      <c r="J125">
        <v>1</v>
      </c>
      <c r="L125">
        <v>7</v>
      </c>
      <c r="M125">
        <v>6</v>
      </c>
      <c r="N125" t="s">
        <v>316</v>
      </c>
      <c r="O125" t="s">
        <v>316</v>
      </c>
      <c r="R125" t="s">
        <v>158</v>
      </c>
      <c r="S125" t="s">
        <v>160</v>
      </c>
      <c r="T125" t="s">
        <v>45</v>
      </c>
      <c r="U125">
        <v>1</v>
      </c>
      <c r="W125">
        <v>7</v>
      </c>
      <c r="Y125" t="s">
        <v>316</v>
      </c>
      <c r="AN125" t="s">
        <v>225</v>
      </c>
    </row>
    <row r="126" spans="1:40" x14ac:dyDescent="0.3">
      <c r="A126" s="3">
        <v>44502</v>
      </c>
      <c r="B126">
        <v>0</v>
      </c>
      <c r="C126" t="s">
        <v>97</v>
      </c>
      <c r="D126">
        <v>0</v>
      </c>
      <c r="G126" t="s">
        <v>98</v>
      </c>
      <c r="H126" t="s">
        <v>160</v>
      </c>
      <c r="I126" t="s">
        <v>161</v>
      </c>
      <c r="J126">
        <v>1</v>
      </c>
      <c r="L126">
        <v>12</v>
      </c>
      <c r="N126" t="s">
        <v>61</v>
      </c>
      <c r="R126" t="s">
        <v>98</v>
      </c>
      <c r="S126" t="s">
        <v>160</v>
      </c>
      <c r="U126">
        <v>1</v>
      </c>
      <c r="W126">
        <v>6</v>
      </c>
      <c r="Y126" t="s">
        <v>61</v>
      </c>
      <c r="AB126">
        <v>1</v>
      </c>
      <c r="AN126" t="s">
        <v>225</v>
      </c>
    </row>
    <row r="127" spans="1:40" x14ac:dyDescent="0.3">
      <c r="A127" s="3">
        <v>44502</v>
      </c>
      <c r="B127">
        <v>0</v>
      </c>
      <c r="C127" t="s">
        <v>162</v>
      </c>
      <c r="D127">
        <v>1</v>
      </c>
      <c r="G127" t="s">
        <v>69</v>
      </c>
      <c r="H127" t="s">
        <v>97</v>
      </c>
      <c r="J127">
        <v>0</v>
      </c>
      <c r="K127">
        <v>0</v>
      </c>
      <c r="L127">
        <v>0</v>
      </c>
      <c r="R127" t="s">
        <v>69</v>
      </c>
      <c r="S127" t="s">
        <v>97</v>
      </c>
      <c r="U127">
        <v>0</v>
      </c>
      <c r="V127">
        <v>0</v>
      </c>
      <c r="AN127" t="s">
        <v>225</v>
      </c>
    </row>
    <row r="128" spans="1:40" x14ac:dyDescent="0.3">
      <c r="A128" s="3">
        <v>44502</v>
      </c>
      <c r="B128">
        <v>1</v>
      </c>
      <c r="C128" t="s">
        <v>26</v>
      </c>
      <c r="D128">
        <v>0</v>
      </c>
      <c r="G128" t="s">
        <v>158</v>
      </c>
      <c r="H128" t="s">
        <v>162</v>
      </c>
      <c r="J128">
        <v>1</v>
      </c>
      <c r="L128">
        <v>5</v>
      </c>
      <c r="N128" t="s">
        <v>316</v>
      </c>
      <c r="R128" t="s">
        <v>158</v>
      </c>
      <c r="S128" t="s">
        <v>162</v>
      </c>
      <c r="U128">
        <v>1</v>
      </c>
      <c r="W128">
        <v>8</v>
      </c>
      <c r="Y128" t="s">
        <v>316</v>
      </c>
      <c r="AN128" t="s">
        <v>225</v>
      </c>
    </row>
    <row r="129" spans="1:40" x14ac:dyDescent="0.3">
      <c r="A129" s="3">
        <v>44502</v>
      </c>
      <c r="B129">
        <v>1</v>
      </c>
      <c r="C129" t="s">
        <v>23</v>
      </c>
      <c r="D129">
        <v>0</v>
      </c>
      <c r="G129" t="s">
        <v>177</v>
      </c>
      <c r="H129" t="s">
        <v>162</v>
      </c>
      <c r="J129">
        <v>1</v>
      </c>
      <c r="L129">
        <v>35</v>
      </c>
      <c r="N129" t="s">
        <v>42</v>
      </c>
      <c r="AC129" t="s">
        <v>48</v>
      </c>
      <c r="AD129" t="s">
        <v>162</v>
      </c>
      <c r="AN129" t="s">
        <v>225</v>
      </c>
    </row>
    <row r="130" spans="1:40" x14ac:dyDescent="0.3">
      <c r="A130" s="3">
        <v>44502</v>
      </c>
      <c r="B130">
        <v>1</v>
      </c>
      <c r="C130" t="s">
        <v>162</v>
      </c>
      <c r="D130">
        <v>1</v>
      </c>
      <c r="G130" t="s">
        <v>69</v>
      </c>
      <c r="H130" t="s">
        <v>23</v>
      </c>
      <c r="I130" t="s">
        <v>401</v>
      </c>
      <c r="J130">
        <v>0</v>
      </c>
      <c r="L130">
        <v>0</v>
      </c>
      <c r="AN130" t="s">
        <v>225</v>
      </c>
    </row>
    <row r="131" spans="1:40" x14ac:dyDescent="0.3">
      <c r="A131" s="3">
        <v>44502</v>
      </c>
      <c r="B131">
        <v>1</v>
      </c>
      <c r="C131" t="s">
        <v>34</v>
      </c>
      <c r="D131">
        <v>0</v>
      </c>
      <c r="G131" t="s">
        <v>72</v>
      </c>
      <c r="H131" t="s">
        <v>162</v>
      </c>
      <c r="J131">
        <v>1</v>
      </c>
      <c r="L131">
        <v>6</v>
      </c>
      <c r="N131" t="s">
        <v>38</v>
      </c>
      <c r="R131" t="s">
        <v>72</v>
      </c>
      <c r="S131" t="s">
        <v>162</v>
      </c>
      <c r="U131">
        <v>0</v>
      </c>
      <c r="AC131" t="s">
        <v>298</v>
      </c>
      <c r="AD131" t="s">
        <v>162</v>
      </c>
      <c r="AF131">
        <v>1</v>
      </c>
      <c r="AG131">
        <v>1</v>
      </c>
      <c r="AH131">
        <v>16</v>
      </c>
      <c r="AJ131" t="s">
        <v>316</v>
      </c>
      <c r="AN131" t="s">
        <v>225</v>
      </c>
    </row>
    <row r="132" spans="1:40" x14ac:dyDescent="0.3">
      <c r="A132" s="3">
        <v>44502</v>
      </c>
      <c r="B132">
        <v>1</v>
      </c>
      <c r="C132" t="s">
        <v>102</v>
      </c>
      <c r="D132">
        <v>0</v>
      </c>
      <c r="G132" t="s">
        <v>100</v>
      </c>
      <c r="H132" t="s">
        <v>162</v>
      </c>
      <c r="J132">
        <v>1</v>
      </c>
      <c r="L132">
        <v>25</v>
      </c>
      <c r="N132" t="s">
        <v>38</v>
      </c>
      <c r="R132" t="s">
        <v>100</v>
      </c>
      <c r="S132" t="s">
        <v>162</v>
      </c>
      <c r="U132">
        <v>1</v>
      </c>
      <c r="W132">
        <v>12</v>
      </c>
      <c r="Y132" t="s">
        <v>38</v>
      </c>
      <c r="AN132" t="s">
        <v>225</v>
      </c>
    </row>
    <row r="133" spans="1:40" x14ac:dyDescent="0.3">
      <c r="A133" s="3">
        <v>44502</v>
      </c>
      <c r="B133">
        <v>1</v>
      </c>
      <c r="C133" t="s">
        <v>97</v>
      </c>
      <c r="D133">
        <v>0</v>
      </c>
      <c r="G133" t="s">
        <v>98</v>
      </c>
      <c r="H133" t="s">
        <v>162</v>
      </c>
      <c r="J133">
        <v>1</v>
      </c>
      <c r="L133">
        <v>5</v>
      </c>
      <c r="N133" t="s">
        <v>61</v>
      </c>
      <c r="R133" t="s">
        <v>98</v>
      </c>
      <c r="S133" t="s">
        <v>162</v>
      </c>
      <c r="U133">
        <v>1</v>
      </c>
      <c r="W133">
        <v>9</v>
      </c>
      <c r="Y133" t="s">
        <v>61</v>
      </c>
      <c r="AB133">
        <v>1</v>
      </c>
      <c r="AN133" t="s">
        <v>225</v>
      </c>
    </row>
    <row r="134" spans="1:40" x14ac:dyDescent="0.3">
      <c r="A134" s="3">
        <v>44502</v>
      </c>
      <c r="B134">
        <v>-1</v>
      </c>
      <c r="C134" t="s">
        <v>31</v>
      </c>
      <c r="D134">
        <v>0</v>
      </c>
      <c r="G134" t="s">
        <v>165</v>
      </c>
      <c r="H134" t="s">
        <v>102</v>
      </c>
      <c r="J134">
        <v>0</v>
      </c>
      <c r="K134">
        <v>0</v>
      </c>
      <c r="AN134" t="s">
        <v>225</v>
      </c>
    </row>
    <row r="135" spans="1:40" x14ac:dyDescent="0.3">
      <c r="A135" s="3">
        <v>44502</v>
      </c>
      <c r="B135">
        <v>-1</v>
      </c>
      <c r="C135" t="s">
        <v>26</v>
      </c>
      <c r="D135">
        <v>0</v>
      </c>
      <c r="G135" t="s">
        <v>158</v>
      </c>
      <c r="H135" t="s">
        <v>23</v>
      </c>
      <c r="J135">
        <v>1</v>
      </c>
      <c r="L135">
        <v>7</v>
      </c>
      <c r="N135" t="s">
        <v>316</v>
      </c>
      <c r="AN135" t="s">
        <v>225</v>
      </c>
    </row>
    <row r="136" spans="1:40" x14ac:dyDescent="0.3">
      <c r="A136" s="3">
        <v>44502</v>
      </c>
      <c r="B136">
        <v>-1</v>
      </c>
      <c r="C136" t="s">
        <v>102</v>
      </c>
      <c r="D136">
        <v>0</v>
      </c>
      <c r="G136" t="s">
        <v>100</v>
      </c>
      <c r="H136" t="s">
        <v>23</v>
      </c>
      <c r="J136">
        <v>1</v>
      </c>
      <c r="L136">
        <v>19</v>
      </c>
      <c r="N136" t="s">
        <v>38</v>
      </c>
      <c r="AN136" t="s">
        <v>225</v>
      </c>
    </row>
    <row r="137" spans="1:40" x14ac:dyDescent="0.3">
      <c r="A137" s="3">
        <v>44502</v>
      </c>
      <c r="B137">
        <v>0</v>
      </c>
      <c r="C137" t="s">
        <v>31</v>
      </c>
      <c r="D137">
        <v>0</v>
      </c>
      <c r="G137" t="s">
        <v>165</v>
      </c>
      <c r="H137" t="s">
        <v>166</v>
      </c>
      <c r="I137" t="s">
        <v>167</v>
      </c>
      <c r="J137">
        <v>1</v>
      </c>
      <c r="L137">
        <v>14</v>
      </c>
      <c r="N137" t="s">
        <v>316</v>
      </c>
      <c r="R137" t="s">
        <v>165</v>
      </c>
      <c r="S137" t="s">
        <v>166</v>
      </c>
      <c r="U137">
        <v>0</v>
      </c>
      <c r="V137">
        <v>0</v>
      </c>
      <c r="AN137" t="s">
        <v>225</v>
      </c>
    </row>
    <row r="138" spans="1:40" x14ac:dyDescent="0.3">
      <c r="A138" s="3">
        <v>44502</v>
      </c>
      <c r="B138">
        <v>0</v>
      </c>
      <c r="C138" t="s">
        <v>102</v>
      </c>
      <c r="D138">
        <v>0</v>
      </c>
      <c r="G138" t="s">
        <v>100</v>
      </c>
      <c r="H138" t="s">
        <v>166</v>
      </c>
      <c r="J138">
        <v>1</v>
      </c>
      <c r="L138">
        <v>22</v>
      </c>
      <c r="N138" t="s">
        <v>38</v>
      </c>
      <c r="Q138">
        <v>1</v>
      </c>
      <c r="R138" t="s">
        <v>100</v>
      </c>
      <c r="S138" t="s">
        <v>166</v>
      </c>
      <c r="U138">
        <v>1</v>
      </c>
      <c r="W138">
        <v>21</v>
      </c>
      <c r="Y138" t="s">
        <v>38</v>
      </c>
      <c r="AB138">
        <v>1</v>
      </c>
      <c r="AN138" t="s">
        <v>225</v>
      </c>
    </row>
    <row r="139" spans="1:40" x14ac:dyDescent="0.3">
      <c r="A139" s="3">
        <v>44502</v>
      </c>
      <c r="B139">
        <v>0</v>
      </c>
      <c r="C139" t="s">
        <v>26</v>
      </c>
      <c r="D139">
        <v>0</v>
      </c>
      <c r="G139" t="s">
        <v>158</v>
      </c>
      <c r="H139" t="s">
        <v>168</v>
      </c>
      <c r="I139" t="s">
        <v>161</v>
      </c>
      <c r="J139">
        <v>1</v>
      </c>
      <c r="L139">
        <v>19</v>
      </c>
      <c r="N139" t="s">
        <v>316</v>
      </c>
      <c r="Q139">
        <v>1</v>
      </c>
      <c r="AN139" t="s">
        <v>225</v>
      </c>
    </row>
    <row r="140" spans="1:40" x14ac:dyDescent="0.3">
      <c r="A140" s="3">
        <v>44502</v>
      </c>
      <c r="B140">
        <v>0</v>
      </c>
      <c r="C140" t="s">
        <v>102</v>
      </c>
      <c r="D140">
        <v>0</v>
      </c>
      <c r="G140" t="s">
        <v>111</v>
      </c>
      <c r="H140" t="s">
        <v>168</v>
      </c>
      <c r="I140" t="s">
        <v>402</v>
      </c>
      <c r="J140">
        <v>1</v>
      </c>
      <c r="L140">
        <v>14</v>
      </c>
      <c r="N140" t="s">
        <v>38</v>
      </c>
      <c r="O140" t="s">
        <v>38</v>
      </c>
      <c r="Q140">
        <v>1</v>
      </c>
      <c r="R140" t="s">
        <v>111</v>
      </c>
      <c r="S140" t="s">
        <v>171</v>
      </c>
      <c r="T140" t="s">
        <v>402</v>
      </c>
      <c r="U140">
        <v>1</v>
      </c>
      <c r="W140">
        <v>14</v>
      </c>
      <c r="Y140" t="s">
        <v>38</v>
      </c>
      <c r="AB140">
        <v>1</v>
      </c>
      <c r="AN140" t="s">
        <v>225</v>
      </c>
    </row>
    <row r="141" spans="1:40" x14ac:dyDescent="0.3">
      <c r="A141" s="3">
        <v>44502</v>
      </c>
      <c r="B141">
        <v>0</v>
      </c>
      <c r="C141" t="s">
        <v>26</v>
      </c>
      <c r="D141">
        <v>0</v>
      </c>
      <c r="G141" t="s">
        <v>37</v>
      </c>
      <c r="H141" t="s">
        <v>166</v>
      </c>
      <c r="I141" t="s">
        <v>161</v>
      </c>
      <c r="J141">
        <v>1</v>
      </c>
      <c r="L141">
        <v>7</v>
      </c>
      <c r="M141">
        <v>8</v>
      </c>
      <c r="N141" t="s">
        <v>38</v>
      </c>
      <c r="O141" t="s">
        <v>38</v>
      </c>
      <c r="R141" t="s">
        <v>37</v>
      </c>
      <c r="S141" t="s">
        <v>166</v>
      </c>
      <c r="U141">
        <v>1</v>
      </c>
      <c r="W141">
        <v>9</v>
      </c>
      <c r="Y141" t="s">
        <v>38</v>
      </c>
      <c r="AB141">
        <v>1</v>
      </c>
      <c r="AN141" t="s">
        <v>225</v>
      </c>
    </row>
    <row r="142" spans="1:40" x14ac:dyDescent="0.3">
      <c r="A142" s="3">
        <v>44502</v>
      </c>
      <c r="B142">
        <v>0</v>
      </c>
      <c r="C142" t="s">
        <v>160</v>
      </c>
      <c r="D142">
        <v>1</v>
      </c>
      <c r="G142" t="s">
        <v>101</v>
      </c>
      <c r="H142" t="s">
        <v>97</v>
      </c>
      <c r="J142">
        <v>1</v>
      </c>
      <c r="L142">
        <v>15</v>
      </c>
      <c r="N142" t="s">
        <v>38</v>
      </c>
      <c r="AN142" t="s">
        <v>225</v>
      </c>
    </row>
    <row r="143" spans="1:40" x14ac:dyDescent="0.3">
      <c r="A143" s="3">
        <v>44502</v>
      </c>
      <c r="B143">
        <v>0</v>
      </c>
      <c r="C143" t="s">
        <v>160</v>
      </c>
      <c r="D143">
        <v>1</v>
      </c>
      <c r="G143" t="s">
        <v>101</v>
      </c>
      <c r="H143" t="s">
        <v>97</v>
      </c>
      <c r="J143">
        <v>1</v>
      </c>
      <c r="L143">
        <v>21</v>
      </c>
      <c r="N143" t="s">
        <v>38</v>
      </c>
      <c r="AN143" t="s">
        <v>225</v>
      </c>
    </row>
    <row r="144" spans="1:40" x14ac:dyDescent="0.3">
      <c r="A144" s="3">
        <v>44502</v>
      </c>
      <c r="B144">
        <v>1</v>
      </c>
      <c r="C144" t="s">
        <v>23</v>
      </c>
      <c r="D144">
        <v>0</v>
      </c>
      <c r="G144" t="s">
        <v>108</v>
      </c>
      <c r="L144">
        <v>0</v>
      </c>
      <c r="AN144" t="s">
        <v>225</v>
      </c>
    </row>
    <row r="145" spans="1:40" x14ac:dyDescent="0.3">
      <c r="A145" s="3">
        <v>44502</v>
      </c>
      <c r="B145">
        <v>1</v>
      </c>
      <c r="C145" t="s">
        <v>102</v>
      </c>
      <c r="D145">
        <v>0</v>
      </c>
      <c r="G145" t="s">
        <v>100</v>
      </c>
      <c r="H145" t="s">
        <v>160</v>
      </c>
      <c r="J145">
        <v>1</v>
      </c>
      <c r="L145">
        <v>22</v>
      </c>
      <c r="N145" t="s">
        <v>38</v>
      </c>
      <c r="R145" t="s">
        <v>111</v>
      </c>
      <c r="S145" t="s">
        <v>160</v>
      </c>
      <c r="U145">
        <v>1</v>
      </c>
      <c r="V145">
        <v>1</v>
      </c>
      <c r="W145">
        <v>31</v>
      </c>
      <c r="Y145" t="s">
        <v>38</v>
      </c>
      <c r="AB145">
        <v>1</v>
      </c>
      <c r="AN145" t="s">
        <v>225</v>
      </c>
    </row>
    <row r="146" spans="1:40" x14ac:dyDescent="0.3">
      <c r="A146" s="3">
        <v>44502</v>
      </c>
      <c r="B146">
        <v>1</v>
      </c>
      <c r="C146" t="s">
        <v>34</v>
      </c>
      <c r="D146">
        <v>0</v>
      </c>
      <c r="E146">
        <v>30</v>
      </c>
      <c r="L146">
        <v>0</v>
      </c>
      <c r="AN146" t="s">
        <v>225</v>
      </c>
    </row>
    <row r="147" spans="1:40" x14ac:dyDescent="0.3">
      <c r="A147" s="3">
        <v>44502</v>
      </c>
      <c r="B147">
        <v>1</v>
      </c>
      <c r="C147" t="s">
        <v>97</v>
      </c>
      <c r="D147">
        <v>0</v>
      </c>
      <c r="G147" t="s">
        <v>46</v>
      </c>
      <c r="H147" t="s">
        <v>97</v>
      </c>
      <c r="J147">
        <v>1</v>
      </c>
      <c r="L147">
        <v>0</v>
      </c>
      <c r="P147">
        <v>13</v>
      </c>
      <c r="AN147" t="s">
        <v>225</v>
      </c>
    </row>
    <row r="148" spans="1:40" x14ac:dyDescent="0.3">
      <c r="A148" s="3">
        <v>44502</v>
      </c>
      <c r="B148">
        <v>1</v>
      </c>
      <c r="C148" t="s">
        <v>160</v>
      </c>
      <c r="D148">
        <v>1</v>
      </c>
      <c r="G148" t="s">
        <v>101</v>
      </c>
      <c r="H148" t="s">
        <v>97</v>
      </c>
      <c r="I148" t="s">
        <v>174</v>
      </c>
      <c r="J148">
        <v>0</v>
      </c>
      <c r="L148">
        <v>0</v>
      </c>
      <c r="AN148" t="s">
        <v>225</v>
      </c>
    </row>
    <row r="149" spans="1:40" x14ac:dyDescent="0.3">
      <c r="A149" s="3">
        <v>44502</v>
      </c>
      <c r="B149">
        <v>2</v>
      </c>
      <c r="C149" t="s">
        <v>160</v>
      </c>
      <c r="D149">
        <v>1</v>
      </c>
      <c r="G149" t="s">
        <v>101</v>
      </c>
      <c r="H149" t="s">
        <v>102</v>
      </c>
      <c r="J149">
        <v>0</v>
      </c>
      <c r="L149">
        <v>0</v>
      </c>
      <c r="AN149" t="s">
        <v>225</v>
      </c>
    </row>
    <row r="150" spans="1:40" x14ac:dyDescent="0.3">
      <c r="A150" s="3">
        <v>44502</v>
      </c>
      <c r="B150">
        <v>2</v>
      </c>
      <c r="C150" t="s">
        <v>23</v>
      </c>
      <c r="D150">
        <v>0</v>
      </c>
      <c r="E150">
        <v>70</v>
      </c>
      <c r="L150">
        <v>0</v>
      </c>
      <c r="AN150" t="s">
        <v>225</v>
      </c>
    </row>
    <row r="151" spans="1:40" x14ac:dyDescent="0.3">
      <c r="A151" s="3">
        <v>44502</v>
      </c>
      <c r="B151">
        <v>2</v>
      </c>
      <c r="C151" t="s">
        <v>102</v>
      </c>
      <c r="D151">
        <v>0</v>
      </c>
      <c r="G151" t="s">
        <v>111</v>
      </c>
      <c r="H151" t="s">
        <v>160</v>
      </c>
      <c r="J151">
        <v>1</v>
      </c>
      <c r="L151">
        <v>22</v>
      </c>
      <c r="N151" t="s">
        <v>38</v>
      </c>
      <c r="R151" t="s">
        <v>111</v>
      </c>
      <c r="S151" t="s">
        <v>160</v>
      </c>
      <c r="U151">
        <v>1</v>
      </c>
      <c r="W151">
        <v>14</v>
      </c>
      <c r="Y151" t="s">
        <v>38</v>
      </c>
      <c r="AB151">
        <v>1</v>
      </c>
      <c r="AN151" t="s">
        <v>225</v>
      </c>
    </row>
    <row r="152" spans="1:40" x14ac:dyDescent="0.3">
      <c r="A152" s="3">
        <v>44502</v>
      </c>
      <c r="B152">
        <v>0</v>
      </c>
      <c r="C152" t="s">
        <v>31</v>
      </c>
      <c r="D152">
        <v>0</v>
      </c>
      <c r="E152" t="s">
        <v>172</v>
      </c>
      <c r="G152" t="s">
        <v>170</v>
      </c>
      <c r="H152" t="s">
        <v>171</v>
      </c>
      <c r="J152">
        <v>1</v>
      </c>
      <c r="L152">
        <v>12</v>
      </c>
      <c r="N152" t="s">
        <v>316</v>
      </c>
      <c r="R152" t="s">
        <v>165</v>
      </c>
      <c r="S152" t="s">
        <v>171</v>
      </c>
      <c r="U152">
        <v>1</v>
      </c>
      <c r="W152">
        <v>9</v>
      </c>
      <c r="Y152" t="s">
        <v>316</v>
      </c>
      <c r="AB152">
        <v>1</v>
      </c>
      <c r="AC152" t="s">
        <v>165</v>
      </c>
      <c r="AD152" t="s">
        <v>171</v>
      </c>
      <c r="AF152">
        <v>1</v>
      </c>
      <c r="AH152">
        <v>19</v>
      </c>
      <c r="AJ152" t="s">
        <v>316</v>
      </c>
      <c r="AM152">
        <v>1</v>
      </c>
      <c r="AN152" t="s">
        <v>225</v>
      </c>
    </row>
    <row r="153" spans="1:40" x14ac:dyDescent="0.3">
      <c r="A153" s="3">
        <v>44502</v>
      </c>
      <c r="B153">
        <v>1</v>
      </c>
      <c r="C153" t="s">
        <v>31</v>
      </c>
      <c r="D153">
        <v>0</v>
      </c>
      <c r="G153" t="s">
        <v>165</v>
      </c>
      <c r="H153" t="s">
        <v>171</v>
      </c>
      <c r="J153">
        <v>1</v>
      </c>
      <c r="L153">
        <v>13</v>
      </c>
      <c r="N153" t="s">
        <v>316</v>
      </c>
      <c r="R153" t="s">
        <v>173</v>
      </c>
      <c r="S153" t="s">
        <v>171</v>
      </c>
      <c r="U153">
        <v>1</v>
      </c>
      <c r="W153">
        <v>1</v>
      </c>
      <c r="Y153" t="s">
        <v>316</v>
      </c>
      <c r="AC153" t="s">
        <v>92</v>
      </c>
      <c r="AD153" t="s">
        <v>171</v>
      </c>
      <c r="AF153">
        <v>1</v>
      </c>
      <c r="AG153">
        <v>1</v>
      </c>
      <c r="AH153">
        <v>21</v>
      </c>
      <c r="AJ153" t="s">
        <v>316</v>
      </c>
      <c r="AM153">
        <v>1</v>
      </c>
      <c r="AN153" t="s">
        <v>225</v>
      </c>
    </row>
    <row r="154" spans="1:40" x14ac:dyDescent="0.3">
      <c r="A154" s="3">
        <v>44502</v>
      </c>
      <c r="B154">
        <v>0</v>
      </c>
      <c r="C154" t="s">
        <v>97</v>
      </c>
      <c r="D154">
        <v>0</v>
      </c>
      <c r="G154" t="s">
        <v>98</v>
      </c>
      <c r="H154" t="s">
        <v>171</v>
      </c>
      <c r="J154">
        <v>1</v>
      </c>
      <c r="L154">
        <v>11</v>
      </c>
      <c r="M154" t="s">
        <v>172</v>
      </c>
      <c r="N154" t="s">
        <v>61</v>
      </c>
      <c r="R154" t="s">
        <v>98</v>
      </c>
      <c r="S154" t="s">
        <v>171</v>
      </c>
      <c r="U154">
        <v>1</v>
      </c>
      <c r="W154">
        <v>17</v>
      </c>
      <c r="Y154" t="s">
        <v>61</v>
      </c>
      <c r="AB154">
        <v>1</v>
      </c>
      <c r="AN154" t="s">
        <v>225</v>
      </c>
    </row>
    <row r="155" spans="1:40" x14ac:dyDescent="0.3">
      <c r="A155" s="3">
        <v>44502</v>
      </c>
      <c r="B155">
        <v>0</v>
      </c>
      <c r="C155" t="s">
        <v>102</v>
      </c>
      <c r="D155">
        <v>0</v>
      </c>
      <c r="G155" t="s">
        <v>111</v>
      </c>
      <c r="H155" t="s">
        <v>168</v>
      </c>
      <c r="J155">
        <v>1</v>
      </c>
      <c r="L155">
        <v>15</v>
      </c>
      <c r="N155" t="s">
        <v>38</v>
      </c>
      <c r="Q155">
        <v>1</v>
      </c>
      <c r="AN155" t="s">
        <v>225</v>
      </c>
    </row>
    <row r="156" spans="1:40" x14ac:dyDescent="0.3">
      <c r="A156" s="3">
        <v>44502</v>
      </c>
      <c r="B156">
        <v>0</v>
      </c>
      <c r="C156" t="s">
        <v>26</v>
      </c>
      <c r="D156">
        <v>0</v>
      </c>
      <c r="G156" t="s">
        <v>37</v>
      </c>
      <c r="H156" t="s">
        <v>168</v>
      </c>
      <c r="I156" t="s">
        <v>45</v>
      </c>
      <c r="J156">
        <v>1</v>
      </c>
      <c r="L156">
        <v>6</v>
      </c>
      <c r="M156">
        <v>7</v>
      </c>
      <c r="N156" t="s">
        <v>38</v>
      </c>
      <c r="Q156">
        <v>1</v>
      </c>
      <c r="R156" t="s">
        <v>37</v>
      </c>
      <c r="S156" t="s">
        <v>168</v>
      </c>
      <c r="T156" t="s">
        <v>45</v>
      </c>
      <c r="U156">
        <v>1</v>
      </c>
      <c r="W156">
        <v>16</v>
      </c>
      <c r="Y156" t="s">
        <v>38</v>
      </c>
      <c r="AB156">
        <v>1</v>
      </c>
      <c r="AC156" t="s">
        <v>37</v>
      </c>
      <c r="AD156" t="s">
        <v>168</v>
      </c>
      <c r="AF156">
        <v>1</v>
      </c>
      <c r="AH156">
        <v>12</v>
      </c>
      <c r="AJ156" t="s">
        <v>38</v>
      </c>
      <c r="AM156">
        <v>1</v>
      </c>
      <c r="AN156" t="s">
        <v>225</v>
      </c>
    </row>
    <row r="157" spans="1:40" x14ac:dyDescent="0.3">
      <c r="A157" s="3">
        <v>44502</v>
      </c>
      <c r="B157">
        <v>1</v>
      </c>
      <c r="C157" t="s">
        <v>26</v>
      </c>
      <c r="D157">
        <v>0</v>
      </c>
      <c r="G157" t="s">
        <v>158</v>
      </c>
      <c r="H157" t="s">
        <v>168</v>
      </c>
      <c r="J157">
        <v>1</v>
      </c>
      <c r="L157">
        <v>13</v>
      </c>
      <c r="N157" t="s">
        <v>316</v>
      </c>
      <c r="Q157">
        <v>1</v>
      </c>
      <c r="R157" t="s">
        <v>158</v>
      </c>
      <c r="S157" t="s">
        <v>168</v>
      </c>
      <c r="U157">
        <v>1</v>
      </c>
      <c r="W157">
        <v>12</v>
      </c>
      <c r="Y157" t="s">
        <v>316</v>
      </c>
      <c r="AB157">
        <v>1</v>
      </c>
      <c r="AC157" t="s">
        <v>158</v>
      </c>
      <c r="AD157" t="s">
        <v>168</v>
      </c>
      <c r="AF157">
        <v>1</v>
      </c>
      <c r="AH157">
        <v>12</v>
      </c>
      <c r="AJ157" t="s">
        <v>316</v>
      </c>
      <c r="AM157">
        <v>1</v>
      </c>
      <c r="AN157" t="s">
        <v>225</v>
      </c>
    </row>
    <row r="158" spans="1:40" x14ac:dyDescent="0.3">
      <c r="A158" s="3">
        <v>44502</v>
      </c>
      <c r="B158">
        <v>0</v>
      </c>
      <c r="C158" t="s">
        <v>31</v>
      </c>
      <c r="D158">
        <v>0</v>
      </c>
      <c r="G158" t="s">
        <v>165</v>
      </c>
      <c r="H158" t="s">
        <v>171</v>
      </c>
      <c r="J158">
        <v>1</v>
      </c>
      <c r="L158">
        <v>23</v>
      </c>
      <c r="N158" t="s">
        <v>316</v>
      </c>
      <c r="Q158">
        <v>1</v>
      </c>
      <c r="R158" t="s">
        <v>165</v>
      </c>
      <c r="S158" t="s">
        <v>171</v>
      </c>
      <c r="U158">
        <v>1</v>
      </c>
      <c r="W158">
        <v>11</v>
      </c>
      <c r="Y158" t="s">
        <v>316</v>
      </c>
      <c r="AC158" t="s">
        <v>92</v>
      </c>
      <c r="AD158" t="s">
        <v>171</v>
      </c>
      <c r="AF158">
        <v>1</v>
      </c>
      <c r="AG158">
        <v>0</v>
      </c>
      <c r="AN158" t="s">
        <v>225</v>
      </c>
    </row>
    <row r="159" spans="1:40" x14ac:dyDescent="0.3">
      <c r="A159" s="3">
        <v>44502</v>
      </c>
      <c r="B159">
        <v>0</v>
      </c>
      <c r="C159" t="s">
        <v>34</v>
      </c>
      <c r="D159">
        <v>0</v>
      </c>
      <c r="G159" t="s">
        <v>72</v>
      </c>
      <c r="H159" t="s">
        <v>171</v>
      </c>
      <c r="J159">
        <v>1</v>
      </c>
      <c r="L159">
        <v>7</v>
      </c>
      <c r="N159" t="s">
        <v>38</v>
      </c>
      <c r="R159" t="s">
        <v>72</v>
      </c>
      <c r="S159" t="s">
        <v>171</v>
      </c>
      <c r="U159">
        <v>1</v>
      </c>
      <c r="W159">
        <v>9</v>
      </c>
      <c r="Y159" t="s">
        <v>38</v>
      </c>
      <c r="AB159">
        <v>1</v>
      </c>
      <c r="AC159" t="s">
        <v>298</v>
      </c>
      <c r="AD159" t="s">
        <v>171</v>
      </c>
      <c r="AF159">
        <v>1</v>
      </c>
      <c r="AH159">
        <v>11</v>
      </c>
      <c r="AJ159" t="s">
        <v>316</v>
      </c>
      <c r="AM159">
        <v>1</v>
      </c>
      <c r="AN159" t="s">
        <v>225</v>
      </c>
    </row>
    <row r="160" spans="1:40" x14ac:dyDescent="0.3">
      <c r="A160" s="3">
        <v>44502</v>
      </c>
      <c r="B160">
        <v>0</v>
      </c>
      <c r="C160" t="s">
        <v>102</v>
      </c>
      <c r="D160">
        <v>0</v>
      </c>
      <c r="G160" t="s">
        <v>111</v>
      </c>
      <c r="H160" t="s">
        <v>171</v>
      </c>
      <c r="J160">
        <v>1</v>
      </c>
      <c r="L160">
        <v>12</v>
      </c>
      <c r="N160" t="s">
        <v>38</v>
      </c>
      <c r="R160" t="s">
        <v>111</v>
      </c>
      <c r="S160" t="s">
        <v>171</v>
      </c>
      <c r="U160">
        <v>1</v>
      </c>
      <c r="W160">
        <v>16</v>
      </c>
      <c r="Y160" t="s">
        <v>38</v>
      </c>
      <c r="AB160">
        <v>1</v>
      </c>
      <c r="AN160" t="s">
        <v>225</v>
      </c>
    </row>
    <row r="161" spans="1:40" x14ac:dyDescent="0.3">
      <c r="A161" s="3">
        <v>44502</v>
      </c>
      <c r="B161">
        <v>1</v>
      </c>
      <c r="C161" t="s">
        <v>31</v>
      </c>
      <c r="D161">
        <v>0</v>
      </c>
      <c r="G161" t="s">
        <v>165</v>
      </c>
      <c r="H161" t="s">
        <v>171</v>
      </c>
      <c r="J161">
        <v>1</v>
      </c>
      <c r="L161">
        <v>12</v>
      </c>
      <c r="N161" t="s">
        <v>316</v>
      </c>
      <c r="R161" t="s">
        <v>92</v>
      </c>
      <c r="S161" t="s">
        <v>171</v>
      </c>
      <c r="U161">
        <v>1</v>
      </c>
      <c r="W161">
        <v>8</v>
      </c>
      <c r="Y161" t="s">
        <v>316</v>
      </c>
      <c r="AB161">
        <v>1</v>
      </c>
      <c r="AC161" t="s">
        <v>92</v>
      </c>
      <c r="AD161" t="s">
        <v>171</v>
      </c>
      <c r="AF161">
        <v>1</v>
      </c>
      <c r="AH161">
        <v>8</v>
      </c>
      <c r="AJ161" t="s">
        <v>316</v>
      </c>
      <c r="AN161" t="s">
        <v>225</v>
      </c>
    </row>
    <row r="162" spans="1:40" x14ac:dyDescent="0.3">
      <c r="A162" s="3">
        <v>44502</v>
      </c>
      <c r="B162">
        <v>1</v>
      </c>
      <c r="C162" t="s">
        <v>34</v>
      </c>
      <c r="D162">
        <v>0</v>
      </c>
      <c r="G162" t="s">
        <v>298</v>
      </c>
      <c r="H162" t="s">
        <v>171</v>
      </c>
      <c r="J162">
        <v>1</v>
      </c>
      <c r="L162">
        <v>11</v>
      </c>
      <c r="N162" t="s">
        <v>316</v>
      </c>
      <c r="R162" t="s">
        <v>298</v>
      </c>
      <c r="S162" t="s">
        <v>171</v>
      </c>
      <c r="U162">
        <v>0</v>
      </c>
      <c r="AC162" t="s">
        <v>298</v>
      </c>
      <c r="AD162" t="s">
        <v>171</v>
      </c>
      <c r="AF162">
        <v>0</v>
      </c>
      <c r="AN162" t="s">
        <v>225</v>
      </c>
    </row>
    <row r="163" spans="1:40" x14ac:dyDescent="0.3">
      <c r="A163" s="3">
        <v>44502</v>
      </c>
      <c r="B163">
        <v>2</v>
      </c>
      <c r="C163" t="s">
        <v>31</v>
      </c>
      <c r="D163">
        <v>0</v>
      </c>
      <c r="G163" t="s">
        <v>165</v>
      </c>
      <c r="H163" t="s">
        <v>171</v>
      </c>
      <c r="J163">
        <v>1</v>
      </c>
      <c r="L163">
        <v>19</v>
      </c>
      <c r="N163" t="s">
        <v>316</v>
      </c>
      <c r="Q163">
        <v>1</v>
      </c>
      <c r="AN163" t="s">
        <v>225</v>
      </c>
    </row>
    <row r="164" spans="1:40" x14ac:dyDescent="0.3">
      <c r="A164" s="3">
        <v>44502</v>
      </c>
      <c r="B164">
        <v>0</v>
      </c>
      <c r="C164" t="s">
        <v>26</v>
      </c>
      <c r="D164">
        <v>0</v>
      </c>
      <c r="G164" t="s">
        <v>37</v>
      </c>
      <c r="H164" t="s">
        <v>171</v>
      </c>
      <c r="I164" t="s">
        <v>161</v>
      </c>
      <c r="J164">
        <v>1</v>
      </c>
      <c r="L164">
        <v>16</v>
      </c>
      <c r="M164">
        <v>4</v>
      </c>
      <c r="N164" t="s">
        <v>38</v>
      </c>
      <c r="O164" t="s">
        <v>38</v>
      </c>
      <c r="R164" t="s">
        <v>37</v>
      </c>
      <c r="S164" t="s">
        <v>171</v>
      </c>
      <c r="U164">
        <v>1</v>
      </c>
      <c r="W164">
        <v>15</v>
      </c>
      <c r="Y164" t="s">
        <v>38</v>
      </c>
      <c r="AB164">
        <v>1</v>
      </c>
      <c r="AC164" t="s">
        <v>37</v>
      </c>
      <c r="AD164" t="s">
        <v>171</v>
      </c>
      <c r="AF164">
        <v>1</v>
      </c>
      <c r="AH164">
        <v>12</v>
      </c>
      <c r="AJ164" t="s">
        <v>38</v>
      </c>
      <c r="AM164">
        <v>1</v>
      </c>
      <c r="AN164" t="s">
        <v>225</v>
      </c>
    </row>
    <row r="165" spans="1:40" x14ac:dyDescent="0.3">
      <c r="A165" s="3">
        <v>44502</v>
      </c>
      <c r="B165">
        <v>1</v>
      </c>
      <c r="C165" t="s">
        <v>26</v>
      </c>
      <c r="D165">
        <v>0</v>
      </c>
      <c r="G165" t="s">
        <v>158</v>
      </c>
      <c r="H165" t="s">
        <v>171</v>
      </c>
      <c r="J165">
        <v>1</v>
      </c>
      <c r="L165">
        <v>7</v>
      </c>
      <c r="N165" t="s">
        <v>316</v>
      </c>
      <c r="R165" t="s">
        <v>158</v>
      </c>
      <c r="AN165" t="s">
        <v>225</v>
      </c>
    </row>
    <row r="166" spans="1:40" x14ac:dyDescent="0.3">
      <c r="A166" s="3">
        <v>44502</v>
      </c>
      <c r="B166">
        <v>1</v>
      </c>
      <c r="C166" t="s">
        <v>102</v>
      </c>
      <c r="D166">
        <v>0</v>
      </c>
      <c r="G166" t="s">
        <v>131</v>
      </c>
      <c r="H166" t="s">
        <v>166</v>
      </c>
      <c r="J166">
        <v>1</v>
      </c>
      <c r="L166">
        <v>9</v>
      </c>
      <c r="N166" t="s">
        <v>61</v>
      </c>
      <c r="R166" t="s">
        <v>111</v>
      </c>
      <c r="S166" t="s">
        <v>166</v>
      </c>
      <c r="T166" t="s">
        <v>402</v>
      </c>
      <c r="U166">
        <v>1</v>
      </c>
      <c r="W166">
        <v>15</v>
      </c>
      <c r="Y166" t="s">
        <v>38</v>
      </c>
      <c r="AB166">
        <v>1</v>
      </c>
      <c r="AN166" t="s">
        <v>225</v>
      </c>
    </row>
    <row r="167" spans="1:40" x14ac:dyDescent="0.3">
      <c r="A167" s="3">
        <v>44502</v>
      </c>
      <c r="B167">
        <v>1</v>
      </c>
      <c r="C167" t="s">
        <v>102</v>
      </c>
      <c r="D167">
        <v>0</v>
      </c>
      <c r="G167" t="s">
        <v>111</v>
      </c>
      <c r="H167" t="s">
        <v>102</v>
      </c>
      <c r="I167" t="s">
        <v>402</v>
      </c>
      <c r="J167">
        <v>1</v>
      </c>
      <c r="L167">
        <v>15</v>
      </c>
      <c r="N167" t="s">
        <v>151</v>
      </c>
      <c r="R167" t="s">
        <v>111</v>
      </c>
      <c r="S167" t="s">
        <v>168</v>
      </c>
      <c r="T167" t="s">
        <v>402</v>
      </c>
      <c r="U167">
        <v>1</v>
      </c>
      <c r="W167">
        <v>15</v>
      </c>
      <c r="Y167" t="s">
        <v>38</v>
      </c>
      <c r="AB167">
        <v>1</v>
      </c>
      <c r="AN167" t="s">
        <v>225</v>
      </c>
    </row>
    <row r="168" spans="1:40" x14ac:dyDescent="0.3">
      <c r="A168" s="3">
        <v>44502</v>
      </c>
      <c r="B168">
        <v>1</v>
      </c>
      <c r="C168" t="s">
        <v>171</v>
      </c>
      <c r="D168">
        <v>1</v>
      </c>
      <c r="G168" t="s">
        <v>69</v>
      </c>
      <c r="H168" t="s">
        <v>102</v>
      </c>
      <c r="J168">
        <v>1</v>
      </c>
      <c r="L168">
        <v>20</v>
      </c>
      <c r="N168" t="s">
        <v>61</v>
      </c>
      <c r="AN168" t="s">
        <v>225</v>
      </c>
    </row>
    <row r="169" spans="1:40" x14ac:dyDescent="0.3">
      <c r="A169" s="3">
        <v>44502</v>
      </c>
      <c r="B169">
        <v>1</v>
      </c>
      <c r="C169" t="s">
        <v>171</v>
      </c>
      <c r="D169">
        <v>1</v>
      </c>
      <c r="G169" t="s">
        <v>69</v>
      </c>
      <c r="H169" t="s">
        <v>102</v>
      </c>
      <c r="J169">
        <v>1</v>
      </c>
      <c r="L169">
        <v>18</v>
      </c>
      <c r="N169" t="s">
        <v>61</v>
      </c>
      <c r="AN169" t="s">
        <v>225</v>
      </c>
    </row>
    <row r="170" spans="1:40" x14ac:dyDescent="0.3">
      <c r="A170" s="3">
        <v>44502</v>
      </c>
      <c r="B170">
        <v>1</v>
      </c>
      <c r="C170" t="s">
        <v>166</v>
      </c>
      <c r="D170">
        <v>1</v>
      </c>
      <c r="G170" t="s">
        <v>403</v>
      </c>
      <c r="H170" t="s">
        <v>102</v>
      </c>
      <c r="J170">
        <v>1</v>
      </c>
      <c r="L170">
        <v>26</v>
      </c>
      <c r="N170" t="s">
        <v>151</v>
      </c>
      <c r="Q170">
        <v>1</v>
      </c>
      <c r="AN170" t="s">
        <v>225</v>
      </c>
    </row>
    <row r="171" spans="1:40" x14ac:dyDescent="0.3">
      <c r="A171" s="3">
        <v>44502</v>
      </c>
      <c r="B171">
        <v>-1</v>
      </c>
      <c r="C171" t="s">
        <v>23</v>
      </c>
      <c r="D171">
        <v>0</v>
      </c>
      <c r="G171" t="s">
        <v>46</v>
      </c>
      <c r="H171" t="s">
        <v>97</v>
      </c>
      <c r="J171">
        <v>1</v>
      </c>
      <c r="L171">
        <v>0</v>
      </c>
      <c r="P171">
        <v>13</v>
      </c>
      <c r="AN171" t="s">
        <v>225</v>
      </c>
    </row>
    <row r="172" spans="1:40" x14ac:dyDescent="0.3">
      <c r="A172" s="3">
        <v>44502</v>
      </c>
      <c r="B172">
        <v>0</v>
      </c>
      <c r="C172" t="s">
        <v>26</v>
      </c>
      <c r="D172">
        <v>0</v>
      </c>
      <c r="G172" t="s">
        <v>158</v>
      </c>
      <c r="H172" t="s">
        <v>171</v>
      </c>
      <c r="I172" t="s">
        <v>45</v>
      </c>
      <c r="J172">
        <v>1</v>
      </c>
      <c r="L172">
        <v>9</v>
      </c>
      <c r="N172" t="s">
        <v>316</v>
      </c>
      <c r="R172" t="s">
        <v>158</v>
      </c>
      <c r="S172" t="s">
        <v>171</v>
      </c>
      <c r="T172" t="s">
        <v>45</v>
      </c>
      <c r="U172">
        <v>1</v>
      </c>
      <c r="W172">
        <v>14</v>
      </c>
      <c r="AB172">
        <v>1</v>
      </c>
      <c r="AN172" t="s">
        <v>225</v>
      </c>
    </row>
    <row r="173" spans="1:40" x14ac:dyDescent="0.3">
      <c r="A173" s="3">
        <v>44502</v>
      </c>
      <c r="B173">
        <v>0</v>
      </c>
      <c r="C173" t="s">
        <v>23</v>
      </c>
      <c r="D173">
        <v>0</v>
      </c>
      <c r="G173" t="s">
        <v>177</v>
      </c>
      <c r="H173" t="s">
        <v>166</v>
      </c>
      <c r="J173">
        <v>1</v>
      </c>
      <c r="L173">
        <v>22</v>
      </c>
      <c r="N173" t="s">
        <v>42</v>
      </c>
      <c r="Q173">
        <v>1</v>
      </c>
      <c r="AN173" t="s">
        <v>225</v>
      </c>
    </row>
    <row r="174" spans="1:40" x14ac:dyDescent="0.3">
      <c r="A174" s="3">
        <v>44502</v>
      </c>
      <c r="B174">
        <v>0</v>
      </c>
      <c r="C174" t="s">
        <v>26</v>
      </c>
      <c r="D174">
        <v>0</v>
      </c>
      <c r="G174" t="s">
        <v>158</v>
      </c>
      <c r="H174" t="s">
        <v>171</v>
      </c>
      <c r="J174">
        <v>1</v>
      </c>
      <c r="L174">
        <v>9</v>
      </c>
      <c r="N174" t="s">
        <v>316</v>
      </c>
      <c r="Q174">
        <v>1</v>
      </c>
      <c r="R174" t="s">
        <v>158</v>
      </c>
      <c r="U174">
        <v>1</v>
      </c>
      <c r="V174">
        <v>1</v>
      </c>
      <c r="W174">
        <v>13</v>
      </c>
      <c r="Y174" t="s">
        <v>316</v>
      </c>
      <c r="AB174">
        <v>1</v>
      </c>
      <c r="AN174" t="s">
        <v>225</v>
      </c>
    </row>
    <row r="175" spans="1:40" x14ac:dyDescent="0.3">
      <c r="A175" s="3">
        <v>44502</v>
      </c>
      <c r="B175">
        <v>0</v>
      </c>
      <c r="C175" t="s">
        <v>23</v>
      </c>
      <c r="D175">
        <v>0</v>
      </c>
      <c r="G175" t="s">
        <v>177</v>
      </c>
      <c r="H175" t="s">
        <v>166</v>
      </c>
      <c r="J175">
        <v>1</v>
      </c>
      <c r="L175">
        <v>22</v>
      </c>
      <c r="N175" t="s">
        <v>42</v>
      </c>
      <c r="Q175">
        <v>1</v>
      </c>
      <c r="AN175" t="s">
        <v>225</v>
      </c>
    </row>
    <row r="176" spans="1:40" x14ac:dyDescent="0.3">
      <c r="A176" s="3">
        <v>44502</v>
      </c>
      <c r="B176">
        <v>-1</v>
      </c>
      <c r="C176" t="s">
        <v>23</v>
      </c>
      <c r="D176">
        <v>0</v>
      </c>
      <c r="G176" t="s">
        <v>409</v>
      </c>
      <c r="H176" t="s">
        <v>102</v>
      </c>
      <c r="J176">
        <v>1</v>
      </c>
      <c r="AN176" t="s">
        <v>225</v>
      </c>
    </row>
    <row r="177" spans="1:40" x14ac:dyDescent="0.3">
      <c r="A177" s="3">
        <v>44502</v>
      </c>
      <c r="B177">
        <v>0</v>
      </c>
      <c r="C177" t="s">
        <v>97</v>
      </c>
      <c r="D177">
        <v>0</v>
      </c>
      <c r="G177" t="s">
        <v>98</v>
      </c>
      <c r="H177" t="s">
        <v>168</v>
      </c>
      <c r="J177">
        <v>1</v>
      </c>
      <c r="L177">
        <v>11</v>
      </c>
      <c r="N177" t="s">
        <v>61</v>
      </c>
      <c r="Q177">
        <v>1</v>
      </c>
      <c r="R177" t="s">
        <v>98</v>
      </c>
      <c r="S177" t="s">
        <v>171</v>
      </c>
      <c r="U177">
        <v>1</v>
      </c>
      <c r="W177">
        <v>12</v>
      </c>
      <c r="Y177" t="s">
        <v>61</v>
      </c>
      <c r="AN177" t="s">
        <v>225</v>
      </c>
    </row>
    <row r="178" spans="1:40" x14ac:dyDescent="0.3">
      <c r="A178" s="3">
        <v>44502</v>
      </c>
      <c r="B178">
        <v>0</v>
      </c>
      <c r="C178" t="s">
        <v>26</v>
      </c>
      <c r="D178">
        <v>0</v>
      </c>
      <c r="G178" t="s">
        <v>158</v>
      </c>
      <c r="H178" t="s">
        <v>171</v>
      </c>
      <c r="I178" t="s">
        <v>161</v>
      </c>
      <c r="J178">
        <v>1</v>
      </c>
      <c r="L178">
        <v>5</v>
      </c>
      <c r="M178">
        <v>4</v>
      </c>
      <c r="N178" t="s">
        <v>316</v>
      </c>
      <c r="O178" t="s">
        <v>316</v>
      </c>
      <c r="R178" t="s">
        <v>158</v>
      </c>
      <c r="S178" t="s">
        <v>171</v>
      </c>
      <c r="U178">
        <v>1</v>
      </c>
      <c r="W178">
        <v>9</v>
      </c>
      <c r="Y178" t="s">
        <v>316</v>
      </c>
      <c r="AB178">
        <v>1</v>
      </c>
      <c r="AN178" t="s">
        <v>225</v>
      </c>
    </row>
    <row r="179" spans="1:40" x14ac:dyDescent="0.3">
      <c r="A179" s="3">
        <v>44502</v>
      </c>
      <c r="B179">
        <v>0</v>
      </c>
      <c r="C179" t="s">
        <v>97</v>
      </c>
      <c r="D179">
        <v>0</v>
      </c>
      <c r="G179" t="s">
        <v>98</v>
      </c>
      <c r="H179" t="s">
        <v>168</v>
      </c>
      <c r="J179">
        <v>1</v>
      </c>
      <c r="L179">
        <v>8</v>
      </c>
      <c r="N179" t="s">
        <v>61</v>
      </c>
      <c r="Q179">
        <v>1</v>
      </c>
      <c r="R179" t="s">
        <v>98</v>
      </c>
      <c r="S179" t="s">
        <v>171</v>
      </c>
      <c r="U179">
        <v>1</v>
      </c>
      <c r="W179">
        <v>5</v>
      </c>
      <c r="Y179" t="s">
        <v>61</v>
      </c>
      <c r="AN179" t="s">
        <v>225</v>
      </c>
    </row>
    <row r="180" spans="1:40" x14ac:dyDescent="0.3">
      <c r="A180" s="3">
        <v>44502</v>
      </c>
      <c r="B180">
        <v>0</v>
      </c>
      <c r="C180" t="s">
        <v>26</v>
      </c>
      <c r="D180">
        <v>0</v>
      </c>
      <c r="G180" t="s">
        <v>158</v>
      </c>
      <c r="H180" t="s">
        <v>171</v>
      </c>
      <c r="I180" t="s">
        <v>161</v>
      </c>
      <c r="J180">
        <v>1</v>
      </c>
      <c r="L180">
        <v>9</v>
      </c>
      <c r="M180">
        <v>5</v>
      </c>
      <c r="N180" t="s">
        <v>316</v>
      </c>
      <c r="O180" t="s">
        <v>316</v>
      </c>
      <c r="Q180">
        <v>1</v>
      </c>
      <c r="AN180" t="s">
        <v>225</v>
      </c>
    </row>
    <row r="181" spans="1:40" x14ac:dyDescent="0.3">
      <c r="A181" s="3">
        <v>44502</v>
      </c>
      <c r="B181">
        <v>1</v>
      </c>
      <c r="C181" t="s">
        <v>34</v>
      </c>
      <c r="D181">
        <v>0</v>
      </c>
      <c r="G181" t="s">
        <v>298</v>
      </c>
      <c r="H181" t="s">
        <v>410</v>
      </c>
      <c r="J181">
        <v>1</v>
      </c>
      <c r="L181">
        <v>6</v>
      </c>
      <c r="M181">
        <v>11</v>
      </c>
      <c r="N181" t="s">
        <v>316</v>
      </c>
      <c r="O181" t="s">
        <v>316</v>
      </c>
      <c r="R181" t="s">
        <v>298</v>
      </c>
      <c r="S181" t="s">
        <v>410</v>
      </c>
      <c r="U181">
        <v>1</v>
      </c>
      <c r="W181">
        <v>11</v>
      </c>
      <c r="X181">
        <v>8</v>
      </c>
      <c r="Y181" t="s">
        <v>316</v>
      </c>
      <c r="Z181" t="s">
        <v>316</v>
      </c>
      <c r="AN181" t="s">
        <v>225</v>
      </c>
    </row>
    <row r="182" spans="1:40" x14ac:dyDescent="0.3">
      <c r="A182" s="3">
        <v>44502</v>
      </c>
      <c r="B182">
        <v>1</v>
      </c>
      <c r="C182" t="s">
        <v>31</v>
      </c>
      <c r="D182">
        <v>0</v>
      </c>
      <c r="G182" t="s">
        <v>173</v>
      </c>
      <c r="H182" t="s">
        <v>410</v>
      </c>
      <c r="J182">
        <v>1</v>
      </c>
      <c r="L182">
        <v>10</v>
      </c>
      <c r="N182" t="s">
        <v>316</v>
      </c>
      <c r="R182" t="s">
        <v>165</v>
      </c>
      <c r="S182" t="s">
        <v>410</v>
      </c>
      <c r="U182">
        <v>1</v>
      </c>
      <c r="W182">
        <v>13</v>
      </c>
      <c r="X182">
        <v>9</v>
      </c>
      <c r="Y182" t="s">
        <v>316</v>
      </c>
      <c r="Z182" t="s">
        <v>316</v>
      </c>
      <c r="AN182" t="s">
        <v>225</v>
      </c>
    </row>
    <row r="183" spans="1:40" x14ac:dyDescent="0.3">
      <c r="A183" s="3">
        <v>44502</v>
      </c>
      <c r="B183">
        <v>1</v>
      </c>
      <c r="C183" t="s">
        <v>23</v>
      </c>
      <c r="D183">
        <v>0</v>
      </c>
      <c r="G183" t="s">
        <v>177</v>
      </c>
      <c r="H183" t="s">
        <v>31</v>
      </c>
      <c r="J183">
        <v>1</v>
      </c>
      <c r="L183">
        <v>22</v>
      </c>
      <c r="N183" t="s">
        <v>42</v>
      </c>
      <c r="AN183" t="s">
        <v>225</v>
      </c>
    </row>
    <row r="184" spans="1:40" x14ac:dyDescent="0.3">
      <c r="A184" s="3">
        <v>44502</v>
      </c>
      <c r="B184">
        <v>1</v>
      </c>
      <c r="C184" t="s">
        <v>410</v>
      </c>
      <c r="D184">
        <v>1</v>
      </c>
      <c r="G184" t="s">
        <v>142</v>
      </c>
      <c r="H184" t="s">
        <v>31</v>
      </c>
      <c r="J184">
        <v>1</v>
      </c>
      <c r="L184">
        <v>19</v>
      </c>
      <c r="N184" t="s">
        <v>61</v>
      </c>
      <c r="R184" t="s">
        <v>69</v>
      </c>
      <c r="S184" t="s">
        <v>31</v>
      </c>
      <c r="U184">
        <v>0</v>
      </c>
      <c r="V184">
        <v>0</v>
      </c>
      <c r="AN184" t="s">
        <v>225</v>
      </c>
    </row>
    <row r="185" spans="1:40" x14ac:dyDescent="0.3">
      <c r="A185" s="3">
        <v>44502</v>
      </c>
      <c r="B185">
        <v>2</v>
      </c>
      <c r="C185" t="s">
        <v>23</v>
      </c>
      <c r="D185">
        <v>0</v>
      </c>
      <c r="G185" t="s">
        <v>177</v>
      </c>
      <c r="H185" t="s">
        <v>31</v>
      </c>
      <c r="J185">
        <v>1</v>
      </c>
      <c r="L185">
        <v>27</v>
      </c>
      <c r="N185" t="s">
        <v>42</v>
      </c>
      <c r="AC185" t="s">
        <v>411</v>
      </c>
      <c r="AD185" t="s">
        <v>31</v>
      </c>
      <c r="AF185">
        <v>1</v>
      </c>
      <c r="AH185">
        <v>11</v>
      </c>
      <c r="AJ185" t="s">
        <v>316</v>
      </c>
      <c r="AM185">
        <v>1</v>
      </c>
      <c r="AN185" t="s">
        <v>225</v>
      </c>
    </row>
    <row r="186" spans="1:40" x14ac:dyDescent="0.3">
      <c r="A186" s="3">
        <v>44502</v>
      </c>
      <c r="B186">
        <v>2</v>
      </c>
      <c r="C186" t="s">
        <v>102</v>
      </c>
      <c r="D186">
        <v>0</v>
      </c>
      <c r="G186" t="s">
        <v>100</v>
      </c>
      <c r="H186" t="s">
        <v>34</v>
      </c>
      <c r="J186">
        <v>0</v>
      </c>
      <c r="K186">
        <v>0</v>
      </c>
      <c r="R186" t="s">
        <v>111</v>
      </c>
      <c r="S186" t="s">
        <v>34</v>
      </c>
      <c r="T186" t="s">
        <v>413</v>
      </c>
      <c r="U186">
        <v>1</v>
      </c>
      <c r="V186">
        <v>1</v>
      </c>
      <c r="W186">
        <v>36</v>
      </c>
      <c r="Y186" t="s">
        <v>38</v>
      </c>
      <c r="AN186" t="s">
        <v>225</v>
      </c>
    </row>
    <row r="187" spans="1:40" x14ac:dyDescent="0.3">
      <c r="A187" s="3">
        <v>44502</v>
      </c>
      <c r="B187">
        <v>2</v>
      </c>
      <c r="C187" t="s">
        <v>102</v>
      </c>
      <c r="D187">
        <v>0</v>
      </c>
      <c r="G187" t="s">
        <v>111</v>
      </c>
      <c r="H187" t="s">
        <v>34</v>
      </c>
      <c r="I187" t="s">
        <v>387</v>
      </c>
      <c r="J187">
        <v>1</v>
      </c>
      <c r="L187">
        <v>15</v>
      </c>
      <c r="N187" t="s">
        <v>38</v>
      </c>
      <c r="AN187" t="s">
        <v>225</v>
      </c>
    </row>
    <row r="188" spans="1:40" x14ac:dyDescent="0.3">
      <c r="A188" s="3">
        <v>44502</v>
      </c>
      <c r="B188">
        <v>2</v>
      </c>
      <c r="C188" t="s">
        <v>31</v>
      </c>
      <c r="D188">
        <v>0</v>
      </c>
      <c r="G188" t="s">
        <v>173</v>
      </c>
      <c r="H188" t="s">
        <v>410</v>
      </c>
      <c r="J188">
        <v>1</v>
      </c>
      <c r="K188">
        <v>1</v>
      </c>
      <c r="L188">
        <v>15</v>
      </c>
      <c r="M188">
        <v>8</v>
      </c>
      <c r="N188" t="s">
        <v>316</v>
      </c>
      <c r="O188" t="s">
        <v>316</v>
      </c>
      <c r="R188" t="s">
        <v>165</v>
      </c>
      <c r="S188" t="s">
        <v>410</v>
      </c>
      <c r="U188">
        <v>0</v>
      </c>
      <c r="AN188" t="s">
        <v>225</v>
      </c>
    </row>
    <row r="189" spans="1:40" x14ac:dyDescent="0.3">
      <c r="A189" s="3">
        <v>44502</v>
      </c>
      <c r="B189">
        <v>2</v>
      </c>
      <c r="C189" t="s">
        <v>410</v>
      </c>
      <c r="D189">
        <v>1</v>
      </c>
      <c r="G189" t="s">
        <v>69</v>
      </c>
      <c r="H189" t="s">
        <v>31</v>
      </c>
      <c r="J189">
        <v>1</v>
      </c>
      <c r="L189">
        <v>12</v>
      </c>
      <c r="N189" t="s">
        <v>61</v>
      </c>
      <c r="R189" t="s">
        <v>142</v>
      </c>
      <c r="S189" t="s">
        <v>102</v>
      </c>
      <c r="U189">
        <v>0</v>
      </c>
      <c r="AN189" t="s">
        <v>225</v>
      </c>
    </row>
    <row r="190" spans="1:40" x14ac:dyDescent="0.3">
      <c r="A190" s="3">
        <v>44502</v>
      </c>
      <c r="B190">
        <v>3</v>
      </c>
      <c r="C190" t="s">
        <v>23</v>
      </c>
      <c r="D190">
        <v>0</v>
      </c>
      <c r="G190" t="s">
        <v>177</v>
      </c>
      <c r="H190" t="s">
        <v>34</v>
      </c>
      <c r="J190">
        <v>1</v>
      </c>
      <c r="L190">
        <v>28</v>
      </c>
      <c r="N190" t="s">
        <v>42</v>
      </c>
      <c r="Q190">
        <v>1</v>
      </c>
      <c r="AN190" t="s">
        <v>225</v>
      </c>
    </row>
    <row r="191" spans="1:40" x14ac:dyDescent="0.3">
      <c r="A191" s="3">
        <v>44502</v>
      </c>
      <c r="B191">
        <v>3</v>
      </c>
      <c r="C191" t="s">
        <v>102</v>
      </c>
      <c r="D191">
        <v>0</v>
      </c>
      <c r="G191" t="s">
        <v>111</v>
      </c>
      <c r="H191" t="s">
        <v>410</v>
      </c>
      <c r="J191">
        <v>0</v>
      </c>
      <c r="R191" t="s">
        <v>111</v>
      </c>
      <c r="S191" t="s">
        <v>410</v>
      </c>
      <c r="U191">
        <v>1</v>
      </c>
      <c r="W191">
        <v>14</v>
      </c>
      <c r="Y191" t="s">
        <v>38</v>
      </c>
      <c r="AN191" t="s">
        <v>225</v>
      </c>
    </row>
    <row r="192" spans="1:40" x14ac:dyDescent="0.3">
      <c r="A192" s="3">
        <v>44502</v>
      </c>
      <c r="B192">
        <v>3</v>
      </c>
      <c r="C192" t="s">
        <v>31</v>
      </c>
      <c r="D192">
        <v>0</v>
      </c>
      <c r="G192" t="s">
        <v>173</v>
      </c>
      <c r="H192" t="s">
        <v>410</v>
      </c>
      <c r="J192">
        <v>1</v>
      </c>
      <c r="L192">
        <v>9</v>
      </c>
      <c r="M192">
        <v>9</v>
      </c>
      <c r="N192" t="s">
        <v>316</v>
      </c>
      <c r="O192" t="s">
        <v>316</v>
      </c>
      <c r="R192" t="s">
        <v>165</v>
      </c>
      <c r="S192" t="s">
        <v>410</v>
      </c>
      <c r="U192">
        <v>1</v>
      </c>
      <c r="W192">
        <v>7</v>
      </c>
      <c r="Y192" t="s">
        <v>316</v>
      </c>
      <c r="AB192">
        <v>1</v>
      </c>
      <c r="AN192" t="s">
        <v>225</v>
      </c>
    </row>
    <row r="193" spans="1:44" x14ac:dyDescent="0.3">
      <c r="A193" s="3">
        <v>44502</v>
      </c>
      <c r="B193">
        <v>-1</v>
      </c>
      <c r="C193" t="s">
        <v>34</v>
      </c>
      <c r="D193">
        <v>0</v>
      </c>
      <c r="G193" t="s">
        <v>298</v>
      </c>
      <c r="H193" t="s">
        <v>23</v>
      </c>
      <c r="J193">
        <v>1</v>
      </c>
      <c r="K193">
        <v>1</v>
      </c>
      <c r="L193">
        <v>14</v>
      </c>
      <c r="N193" t="s">
        <v>316</v>
      </c>
      <c r="R193" t="s">
        <v>298</v>
      </c>
      <c r="S193" t="s">
        <v>23</v>
      </c>
      <c r="U193">
        <v>1</v>
      </c>
      <c r="W193">
        <v>11</v>
      </c>
      <c r="Y193" t="s">
        <v>316</v>
      </c>
      <c r="AN193" t="s">
        <v>225</v>
      </c>
    </row>
    <row r="194" spans="1:44" x14ac:dyDescent="0.3">
      <c r="A194" s="3">
        <v>44502</v>
      </c>
      <c r="B194">
        <v>-1</v>
      </c>
      <c r="C194" t="s">
        <v>23</v>
      </c>
      <c r="G194" t="s">
        <v>46</v>
      </c>
      <c r="H194" t="s">
        <v>23</v>
      </c>
      <c r="I194" t="s">
        <v>412</v>
      </c>
      <c r="J194">
        <v>1</v>
      </c>
      <c r="P194">
        <v>35</v>
      </c>
      <c r="AN194" t="s">
        <v>225</v>
      </c>
      <c r="AR194" s="30">
        <v>0.18472222222222223</v>
      </c>
    </row>
    <row r="195" spans="1:44" x14ac:dyDescent="0.3">
      <c r="A195" s="3"/>
    </row>
    <row r="196" spans="1:44" x14ac:dyDescent="0.3">
      <c r="A196" s="3">
        <v>44507</v>
      </c>
      <c r="B196">
        <v>1</v>
      </c>
      <c r="C196" t="s">
        <v>26</v>
      </c>
      <c r="D196">
        <v>0</v>
      </c>
      <c r="G196" t="s">
        <v>37</v>
      </c>
      <c r="H196" t="s">
        <v>272</v>
      </c>
      <c r="I196" t="s">
        <v>45</v>
      </c>
      <c r="J196">
        <v>1</v>
      </c>
      <c r="L196">
        <v>7</v>
      </c>
      <c r="N196" t="s">
        <v>38</v>
      </c>
      <c r="R196" t="s">
        <v>37</v>
      </c>
      <c r="S196" t="s">
        <v>272</v>
      </c>
      <c r="T196" t="s">
        <v>45</v>
      </c>
      <c r="U196">
        <v>1</v>
      </c>
      <c r="W196">
        <v>11</v>
      </c>
      <c r="Y196" t="s">
        <v>38</v>
      </c>
      <c r="AC196" t="s">
        <v>37</v>
      </c>
      <c r="AD196" t="s">
        <v>272</v>
      </c>
      <c r="AN196" t="s">
        <v>277</v>
      </c>
    </row>
    <row r="197" spans="1:44" x14ac:dyDescent="0.3">
      <c r="A197" s="3">
        <v>44507</v>
      </c>
      <c r="B197">
        <v>1</v>
      </c>
      <c r="C197" t="s">
        <v>272</v>
      </c>
      <c r="D197">
        <v>3</v>
      </c>
      <c r="G197" t="s">
        <v>273</v>
      </c>
      <c r="H197" t="s">
        <v>26</v>
      </c>
      <c r="J197">
        <v>1</v>
      </c>
      <c r="L197">
        <v>13</v>
      </c>
      <c r="N197" t="s">
        <v>316</v>
      </c>
      <c r="R197" t="s">
        <v>273</v>
      </c>
      <c r="S197" t="s">
        <v>26</v>
      </c>
      <c r="U197">
        <v>1</v>
      </c>
      <c r="W197">
        <v>10</v>
      </c>
      <c r="Y197" t="s">
        <v>316</v>
      </c>
      <c r="AC197" t="s">
        <v>273</v>
      </c>
      <c r="AD197" t="s">
        <v>26</v>
      </c>
      <c r="AF197">
        <v>1</v>
      </c>
      <c r="AJ197" t="s">
        <v>316</v>
      </c>
      <c r="AN197" t="s">
        <v>277</v>
      </c>
    </row>
    <row r="198" spans="1:44" x14ac:dyDescent="0.3">
      <c r="A198" s="3">
        <v>44507</v>
      </c>
      <c r="B198">
        <v>1</v>
      </c>
      <c r="C198" t="s">
        <v>97</v>
      </c>
      <c r="D198">
        <v>0</v>
      </c>
      <c r="G198" t="s">
        <v>384</v>
      </c>
      <c r="H198" t="s">
        <v>98</v>
      </c>
      <c r="AC198" t="s">
        <v>275</v>
      </c>
      <c r="AN198" t="s">
        <v>277</v>
      </c>
    </row>
    <row r="199" spans="1:44" x14ac:dyDescent="0.3">
      <c r="A199" s="3">
        <v>44507</v>
      </c>
      <c r="B199">
        <v>2</v>
      </c>
      <c r="C199" t="s">
        <v>26</v>
      </c>
      <c r="D199">
        <v>0</v>
      </c>
      <c r="G199" t="s">
        <v>37</v>
      </c>
      <c r="H199" t="s">
        <v>272</v>
      </c>
      <c r="I199" t="s">
        <v>45</v>
      </c>
      <c r="J199">
        <v>1</v>
      </c>
      <c r="L199">
        <v>8</v>
      </c>
      <c r="N199" t="s">
        <v>38</v>
      </c>
      <c r="R199" t="s">
        <v>37</v>
      </c>
      <c r="S199" t="s">
        <v>272</v>
      </c>
      <c r="T199" t="s">
        <v>276</v>
      </c>
      <c r="U199">
        <v>0</v>
      </c>
      <c r="AC199" t="s">
        <v>37</v>
      </c>
      <c r="AD199" t="s">
        <v>272</v>
      </c>
      <c r="AE199" t="s">
        <v>45</v>
      </c>
      <c r="AF199">
        <v>1</v>
      </c>
      <c r="AH199">
        <v>13</v>
      </c>
      <c r="AJ199" t="s">
        <v>38</v>
      </c>
      <c r="AN199" t="s">
        <v>277</v>
      </c>
    </row>
    <row r="200" spans="1:44" x14ac:dyDescent="0.3">
      <c r="A200" s="3">
        <v>44507</v>
      </c>
      <c r="B200">
        <v>2</v>
      </c>
      <c r="C200" t="s">
        <v>272</v>
      </c>
      <c r="D200">
        <v>3</v>
      </c>
      <c r="G200" t="s">
        <v>388</v>
      </c>
      <c r="H200" t="s">
        <v>26</v>
      </c>
      <c r="J200">
        <v>1</v>
      </c>
      <c r="L200">
        <v>37</v>
      </c>
      <c r="N200" t="s">
        <v>42</v>
      </c>
      <c r="R200" t="s">
        <v>388</v>
      </c>
      <c r="S200" t="s">
        <v>97</v>
      </c>
      <c r="U200">
        <v>1</v>
      </c>
      <c r="W200">
        <v>18</v>
      </c>
      <c r="Y200" t="s">
        <v>42</v>
      </c>
      <c r="AN200" t="s">
        <v>277</v>
      </c>
    </row>
    <row r="201" spans="1:44" x14ac:dyDescent="0.3">
      <c r="A201" s="3">
        <v>44507</v>
      </c>
      <c r="B201">
        <v>2</v>
      </c>
      <c r="C201" t="s">
        <v>272</v>
      </c>
      <c r="D201">
        <v>3</v>
      </c>
      <c r="G201" t="s">
        <v>273</v>
      </c>
      <c r="H201" t="s">
        <v>26</v>
      </c>
      <c r="J201">
        <v>1</v>
      </c>
      <c r="L201">
        <v>19</v>
      </c>
      <c r="R201" t="s">
        <v>273</v>
      </c>
      <c r="S201" t="s">
        <v>26</v>
      </c>
      <c r="U201">
        <v>1</v>
      </c>
      <c r="W201">
        <v>10</v>
      </c>
      <c r="AB201">
        <v>1</v>
      </c>
      <c r="AC201" t="s">
        <v>273</v>
      </c>
      <c r="AD201" t="s">
        <v>26</v>
      </c>
      <c r="AF201">
        <v>0</v>
      </c>
      <c r="AG201">
        <v>0</v>
      </c>
      <c r="AN201" t="s">
        <v>277</v>
      </c>
    </row>
    <row r="202" spans="1:44" x14ac:dyDescent="0.3">
      <c r="A202" s="3">
        <v>44507</v>
      </c>
      <c r="B202">
        <v>2</v>
      </c>
      <c r="C202" t="s">
        <v>97</v>
      </c>
      <c r="D202">
        <v>0</v>
      </c>
      <c r="G202" t="s">
        <v>98</v>
      </c>
      <c r="H202" t="s">
        <v>272</v>
      </c>
      <c r="I202" t="s">
        <v>384</v>
      </c>
      <c r="J202">
        <v>1</v>
      </c>
      <c r="L202">
        <v>12</v>
      </c>
      <c r="N202" t="s">
        <v>61</v>
      </c>
      <c r="R202" t="s">
        <v>98</v>
      </c>
      <c r="S202" t="s">
        <v>272</v>
      </c>
      <c r="T202" t="s">
        <v>384</v>
      </c>
      <c r="U202">
        <v>1</v>
      </c>
      <c r="W202">
        <v>12</v>
      </c>
      <c r="Y202" t="s">
        <v>61</v>
      </c>
      <c r="AC202" t="s">
        <v>279</v>
      </c>
      <c r="AD202" t="s">
        <v>272</v>
      </c>
      <c r="AF202">
        <v>1</v>
      </c>
      <c r="AH202">
        <v>20</v>
      </c>
      <c r="AJ202" t="s">
        <v>129</v>
      </c>
      <c r="AN202" t="s">
        <v>277</v>
      </c>
    </row>
    <row r="203" spans="1:44" x14ac:dyDescent="0.3">
      <c r="A203" s="3">
        <v>44507</v>
      </c>
      <c r="B203">
        <v>2</v>
      </c>
      <c r="C203" t="s">
        <v>31</v>
      </c>
      <c r="D203">
        <v>0</v>
      </c>
      <c r="G203" t="s">
        <v>165</v>
      </c>
      <c r="H203" t="s">
        <v>272</v>
      </c>
      <c r="J203">
        <v>1</v>
      </c>
      <c r="K203">
        <v>1</v>
      </c>
      <c r="L203">
        <v>19</v>
      </c>
      <c r="N203" t="s">
        <v>316</v>
      </c>
      <c r="R203" t="s">
        <v>92</v>
      </c>
      <c r="S203" t="s">
        <v>272</v>
      </c>
      <c r="U203">
        <v>1</v>
      </c>
      <c r="W203">
        <v>8</v>
      </c>
      <c r="Y203" t="s">
        <v>316</v>
      </c>
      <c r="AC203" t="s">
        <v>396</v>
      </c>
      <c r="AN203" t="s">
        <v>277</v>
      </c>
    </row>
    <row r="204" spans="1:44" x14ac:dyDescent="0.3">
      <c r="A204" s="3">
        <v>44507</v>
      </c>
      <c r="B204">
        <v>2</v>
      </c>
      <c r="C204" t="s">
        <v>34</v>
      </c>
      <c r="D204">
        <v>0</v>
      </c>
      <c r="AC204" t="s">
        <v>281</v>
      </c>
      <c r="AD204" t="s">
        <v>272</v>
      </c>
      <c r="AN204" t="s">
        <v>277</v>
      </c>
    </row>
    <row r="205" spans="1:44" x14ac:dyDescent="0.3">
      <c r="A205" s="3">
        <v>44507</v>
      </c>
      <c r="B205">
        <v>2</v>
      </c>
      <c r="C205" t="s">
        <v>272</v>
      </c>
      <c r="D205">
        <v>3</v>
      </c>
      <c r="G205" t="s">
        <v>385</v>
      </c>
      <c r="H205" t="s">
        <v>34</v>
      </c>
      <c r="I205" t="s">
        <v>386</v>
      </c>
      <c r="J205">
        <v>1</v>
      </c>
      <c r="L205">
        <v>15</v>
      </c>
      <c r="N205" t="s">
        <v>42</v>
      </c>
      <c r="AN205" t="s">
        <v>277</v>
      </c>
    </row>
    <row r="206" spans="1:44" x14ac:dyDescent="0.3">
      <c r="A206" s="3">
        <v>44507</v>
      </c>
      <c r="B206">
        <v>3</v>
      </c>
      <c r="C206" t="s">
        <v>26</v>
      </c>
      <c r="D206">
        <v>0</v>
      </c>
      <c r="G206" t="s">
        <v>37</v>
      </c>
      <c r="H206" t="s">
        <v>272</v>
      </c>
      <c r="I206" t="s">
        <v>45</v>
      </c>
      <c r="J206">
        <v>0</v>
      </c>
      <c r="R206" t="s">
        <v>37</v>
      </c>
      <c r="S206" t="s">
        <v>272</v>
      </c>
      <c r="T206" t="s">
        <v>45</v>
      </c>
      <c r="U206">
        <v>1</v>
      </c>
      <c r="W206">
        <v>9</v>
      </c>
      <c r="Y206" t="s">
        <v>38</v>
      </c>
      <c r="AC206" t="s">
        <v>37</v>
      </c>
      <c r="AD206" t="s">
        <v>272</v>
      </c>
      <c r="AE206" t="s">
        <v>276</v>
      </c>
      <c r="AF206">
        <v>0</v>
      </c>
      <c r="AN206" t="s">
        <v>277</v>
      </c>
    </row>
    <row r="207" spans="1:44" x14ac:dyDescent="0.3">
      <c r="A207" s="3">
        <v>44507</v>
      </c>
      <c r="B207">
        <v>3</v>
      </c>
      <c r="C207" t="s">
        <v>23</v>
      </c>
      <c r="D207">
        <v>0</v>
      </c>
      <c r="G207" t="s">
        <v>64</v>
      </c>
      <c r="H207" t="s">
        <v>26</v>
      </c>
      <c r="J207">
        <v>1</v>
      </c>
      <c r="P207">
        <v>20</v>
      </c>
      <c r="R207" t="s">
        <v>64</v>
      </c>
      <c r="S207" t="s">
        <v>31</v>
      </c>
      <c r="U207">
        <v>1</v>
      </c>
      <c r="AA207">
        <v>20</v>
      </c>
      <c r="AC207" t="s">
        <v>64</v>
      </c>
      <c r="AD207" t="s">
        <v>34</v>
      </c>
      <c r="AF207">
        <v>1</v>
      </c>
      <c r="AL207">
        <v>20</v>
      </c>
      <c r="AN207" t="s">
        <v>277</v>
      </c>
    </row>
    <row r="208" spans="1:44" x14ac:dyDescent="0.3">
      <c r="A208" s="3">
        <v>44507</v>
      </c>
      <c r="B208">
        <v>3</v>
      </c>
      <c r="C208" t="s">
        <v>272</v>
      </c>
      <c r="D208">
        <v>3</v>
      </c>
      <c r="G208" t="s">
        <v>283</v>
      </c>
      <c r="H208" t="s">
        <v>31</v>
      </c>
      <c r="J208">
        <v>1</v>
      </c>
      <c r="R208" t="s">
        <v>283</v>
      </c>
      <c r="S208" t="s">
        <v>97</v>
      </c>
      <c r="U208">
        <v>1</v>
      </c>
      <c r="AN208" t="s">
        <v>277</v>
      </c>
    </row>
    <row r="209" spans="1:40" x14ac:dyDescent="0.3">
      <c r="A209" s="3">
        <v>44507</v>
      </c>
      <c r="B209">
        <v>3</v>
      </c>
      <c r="C209" t="s">
        <v>272</v>
      </c>
      <c r="D209">
        <v>3</v>
      </c>
      <c r="G209" t="s">
        <v>284</v>
      </c>
      <c r="H209" t="s">
        <v>34</v>
      </c>
      <c r="I209" t="s">
        <v>414</v>
      </c>
      <c r="J209">
        <v>1</v>
      </c>
      <c r="L209">
        <v>37</v>
      </c>
      <c r="N209" t="s">
        <v>42</v>
      </c>
      <c r="AN209" t="s">
        <v>277</v>
      </c>
    </row>
    <row r="210" spans="1:40" x14ac:dyDescent="0.3">
      <c r="A210" s="3">
        <v>44507</v>
      </c>
      <c r="B210">
        <v>3</v>
      </c>
      <c r="C210" t="s">
        <v>97</v>
      </c>
      <c r="D210">
        <v>0</v>
      </c>
      <c r="G210" t="s">
        <v>98</v>
      </c>
      <c r="H210" t="s">
        <v>272</v>
      </c>
      <c r="I210" t="s">
        <v>384</v>
      </c>
      <c r="J210">
        <v>1</v>
      </c>
      <c r="L210">
        <v>8</v>
      </c>
      <c r="N210" t="s">
        <v>61</v>
      </c>
      <c r="R210" t="s">
        <v>98</v>
      </c>
      <c r="S210" t="s">
        <v>272</v>
      </c>
      <c r="T210" t="s">
        <v>384</v>
      </c>
      <c r="U210">
        <v>0</v>
      </c>
      <c r="AC210" t="s">
        <v>279</v>
      </c>
      <c r="AD210" t="s">
        <v>272</v>
      </c>
      <c r="AF210">
        <v>1</v>
      </c>
      <c r="AH210">
        <v>14</v>
      </c>
      <c r="AJ210" t="s">
        <v>129</v>
      </c>
      <c r="AN210" t="s">
        <v>277</v>
      </c>
    </row>
    <row r="211" spans="1:40" x14ac:dyDescent="0.3">
      <c r="A211" s="3">
        <v>44507</v>
      </c>
      <c r="B211">
        <v>3</v>
      </c>
      <c r="C211" t="s">
        <v>31</v>
      </c>
      <c r="D211">
        <v>0</v>
      </c>
      <c r="G211" t="s">
        <v>173</v>
      </c>
      <c r="H211" t="s">
        <v>272</v>
      </c>
      <c r="J211">
        <v>1</v>
      </c>
      <c r="K211">
        <v>1</v>
      </c>
      <c r="L211">
        <v>18</v>
      </c>
      <c r="M211">
        <v>12</v>
      </c>
      <c r="N211" t="s">
        <v>316</v>
      </c>
      <c r="O211" t="s">
        <v>316</v>
      </c>
      <c r="R211" t="s">
        <v>165</v>
      </c>
      <c r="S211" t="s">
        <v>272</v>
      </c>
      <c r="U211">
        <v>0</v>
      </c>
      <c r="AC211" t="s">
        <v>286</v>
      </c>
      <c r="AN211" t="s">
        <v>277</v>
      </c>
    </row>
    <row r="212" spans="1:40" x14ac:dyDescent="0.3">
      <c r="A212" s="3">
        <v>44507</v>
      </c>
      <c r="B212">
        <v>3</v>
      </c>
      <c r="C212" t="s">
        <v>26</v>
      </c>
      <c r="D212">
        <v>0</v>
      </c>
      <c r="G212" t="s">
        <v>37</v>
      </c>
      <c r="H212" t="s">
        <v>272</v>
      </c>
      <c r="I212" t="s">
        <v>387</v>
      </c>
      <c r="J212">
        <v>1</v>
      </c>
      <c r="L212">
        <v>7</v>
      </c>
      <c r="N212" t="s">
        <v>38</v>
      </c>
      <c r="AN212" t="s">
        <v>277</v>
      </c>
    </row>
    <row r="213" spans="1:40" x14ac:dyDescent="0.3">
      <c r="A213" s="3">
        <v>44507</v>
      </c>
      <c r="B213">
        <v>3</v>
      </c>
      <c r="C213" t="s">
        <v>34</v>
      </c>
      <c r="D213">
        <v>0</v>
      </c>
      <c r="G213" t="s">
        <v>289</v>
      </c>
      <c r="H213" t="s">
        <v>272</v>
      </c>
      <c r="J213">
        <v>0</v>
      </c>
      <c r="R213" t="s">
        <v>298</v>
      </c>
      <c r="S213" t="s">
        <v>272</v>
      </c>
      <c r="U213">
        <v>0</v>
      </c>
      <c r="AC213" t="s">
        <v>298</v>
      </c>
      <c r="AD213" t="s">
        <v>272</v>
      </c>
      <c r="AF213">
        <v>1</v>
      </c>
      <c r="AH213">
        <v>10</v>
      </c>
      <c r="AJ213" t="s">
        <v>316</v>
      </c>
      <c r="AN213" t="s">
        <v>277</v>
      </c>
    </row>
    <row r="214" spans="1:40" x14ac:dyDescent="0.3">
      <c r="A214" s="3">
        <v>44507</v>
      </c>
      <c r="B214">
        <v>4</v>
      </c>
      <c r="C214" t="s">
        <v>26</v>
      </c>
      <c r="D214">
        <v>0</v>
      </c>
      <c r="G214" t="s">
        <v>37</v>
      </c>
      <c r="H214" t="s">
        <v>272</v>
      </c>
      <c r="I214" t="s">
        <v>45</v>
      </c>
      <c r="J214">
        <v>1</v>
      </c>
      <c r="L214">
        <v>15</v>
      </c>
      <c r="N214" t="s">
        <v>38</v>
      </c>
      <c r="R214" t="s">
        <v>37</v>
      </c>
      <c r="S214" t="s">
        <v>272</v>
      </c>
      <c r="T214" t="s">
        <v>45</v>
      </c>
      <c r="U214">
        <v>0</v>
      </c>
      <c r="AC214" t="s">
        <v>37</v>
      </c>
      <c r="AD214" t="s">
        <v>272</v>
      </c>
      <c r="AE214" t="s">
        <v>45</v>
      </c>
      <c r="AF214">
        <v>1</v>
      </c>
      <c r="AH214">
        <v>9</v>
      </c>
      <c r="AJ214" t="s">
        <v>38</v>
      </c>
      <c r="AN214" t="s">
        <v>277</v>
      </c>
    </row>
    <row r="215" spans="1:40" x14ac:dyDescent="0.3">
      <c r="A215" s="3">
        <v>44507</v>
      </c>
      <c r="B215">
        <v>4</v>
      </c>
      <c r="C215" t="s">
        <v>23</v>
      </c>
      <c r="D215">
        <v>0</v>
      </c>
      <c r="G215" t="s">
        <v>177</v>
      </c>
      <c r="H215" t="s">
        <v>97</v>
      </c>
      <c r="J215">
        <v>1</v>
      </c>
      <c r="L215">
        <v>29</v>
      </c>
      <c r="N215" t="s">
        <v>42</v>
      </c>
      <c r="Q215">
        <v>1</v>
      </c>
      <c r="R215" t="s">
        <v>136</v>
      </c>
      <c r="S215" t="s">
        <v>34</v>
      </c>
      <c r="U215">
        <v>1</v>
      </c>
      <c r="AA215">
        <v>13</v>
      </c>
      <c r="AN215" t="s">
        <v>277</v>
      </c>
    </row>
    <row r="216" spans="1:40" x14ac:dyDescent="0.3">
      <c r="A216" s="3">
        <v>44507</v>
      </c>
      <c r="B216">
        <v>4</v>
      </c>
      <c r="C216" t="s">
        <v>272</v>
      </c>
      <c r="D216">
        <v>3</v>
      </c>
      <c r="G216" t="s">
        <v>388</v>
      </c>
      <c r="H216" t="s">
        <v>26</v>
      </c>
      <c r="J216">
        <v>1</v>
      </c>
      <c r="L216">
        <v>42</v>
      </c>
      <c r="N216" t="s">
        <v>292</v>
      </c>
      <c r="R216" t="s">
        <v>388</v>
      </c>
      <c r="S216" t="s">
        <v>23</v>
      </c>
      <c r="U216">
        <v>1</v>
      </c>
      <c r="W216">
        <v>42</v>
      </c>
      <c r="Y216" t="s">
        <v>42</v>
      </c>
      <c r="AC216" t="s">
        <v>388</v>
      </c>
      <c r="AD216" t="s">
        <v>97</v>
      </c>
      <c r="AF216">
        <v>1</v>
      </c>
      <c r="AG216">
        <v>1</v>
      </c>
      <c r="AH216">
        <v>63</v>
      </c>
      <c r="AJ216" t="s">
        <v>42</v>
      </c>
      <c r="AM216">
        <v>1</v>
      </c>
      <c r="AN216" t="s">
        <v>277</v>
      </c>
    </row>
    <row r="217" spans="1:40" x14ac:dyDescent="0.3">
      <c r="A217" s="3">
        <v>44507</v>
      </c>
      <c r="B217">
        <v>4</v>
      </c>
      <c r="C217" t="s">
        <v>272</v>
      </c>
      <c r="D217">
        <v>3</v>
      </c>
      <c r="G217" t="s">
        <v>388</v>
      </c>
      <c r="H217" t="s">
        <v>31</v>
      </c>
      <c r="J217">
        <v>1</v>
      </c>
      <c r="L217">
        <v>42</v>
      </c>
      <c r="N217" t="s">
        <v>42</v>
      </c>
      <c r="AN217" t="s">
        <v>277</v>
      </c>
    </row>
    <row r="218" spans="1:40" x14ac:dyDescent="0.3">
      <c r="A218" s="3">
        <v>44507</v>
      </c>
      <c r="B218">
        <v>4</v>
      </c>
      <c r="C218" t="s">
        <v>272</v>
      </c>
      <c r="D218">
        <v>3</v>
      </c>
      <c r="G218" t="s">
        <v>293</v>
      </c>
      <c r="H218" t="s">
        <v>34</v>
      </c>
      <c r="J218">
        <v>0</v>
      </c>
      <c r="R218" t="s">
        <v>294</v>
      </c>
      <c r="S218" t="s">
        <v>34</v>
      </c>
      <c r="U218">
        <v>0</v>
      </c>
      <c r="AN218" t="s">
        <v>277</v>
      </c>
    </row>
    <row r="219" spans="1:40" x14ac:dyDescent="0.3">
      <c r="A219" s="3">
        <v>44507</v>
      </c>
      <c r="B219">
        <v>4</v>
      </c>
      <c r="C219" t="s">
        <v>31</v>
      </c>
      <c r="D219">
        <v>0</v>
      </c>
      <c r="G219" t="s">
        <v>295</v>
      </c>
      <c r="H219" t="s">
        <v>272</v>
      </c>
      <c r="J219">
        <v>1</v>
      </c>
      <c r="L219">
        <v>13</v>
      </c>
      <c r="N219" t="s">
        <v>296</v>
      </c>
      <c r="AN219" t="s">
        <v>277</v>
      </c>
    </row>
    <row r="220" spans="1:40" x14ac:dyDescent="0.3">
      <c r="A220" s="3">
        <v>44507</v>
      </c>
      <c r="B220">
        <v>4</v>
      </c>
      <c r="C220" t="s">
        <v>26</v>
      </c>
      <c r="D220">
        <v>0</v>
      </c>
      <c r="G220" t="s">
        <v>37</v>
      </c>
      <c r="H220" t="s">
        <v>272</v>
      </c>
      <c r="I220" t="s">
        <v>45</v>
      </c>
      <c r="J220">
        <v>1</v>
      </c>
      <c r="L220">
        <v>14</v>
      </c>
      <c r="N220" t="s">
        <v>38</v>
      </c>
      <c r="AN220" t="s">
        <v>277</v>
      </c>
    </row>
    <row r="221" spans="1:40" x14ac:dyDescent="0.3">
      <c r="A221" s="3">
        <v>44507</v>
      </c>
      <c r="B221">
        <v>4</v>
      </c>
      <c r="C221" t="s">
        <v>272</v>
      </c>
      <c r="D221">
        <v>3</v>
      </c>
      <c r="G221" t="s">
        <v>283</v>
      </c>
      <c r="H221" t="s">
        <v>26</v>
      </c>
      <c r="J221">
        <v>1</v>
      </c>
      <c r="R221" t="s">
        <v>283</v>
      </c>
      <c r="S221" t="s">
        <v>23</v>
      </c>
      <c r="U221">
        <v>0</v>
      </c>
      <c r="AC221" t="s">
        <v>283</v>
      </c>
      <c r="AD221" t="s">
        <v>31</v>
      </c>
      <c r="AF221">
        <v>0</v>
      </c>
      <c r="AN221" t="s">
        <v>277</v>
      </c>
    </row>
    <row r="222" spans="1:40" x14ac:dyDescent="0.3">
      <c r="A222" s="3">
        <v>44507</v>
      </c>
      <c r="B222">
        <v>4</v>
      </c>
      <c r="C222" t="s">
        <v>34</v>
      </c>
      <c r="D222">
        <v>0</v>
      </c>
      <c r="G222" t="s">
        <v>298</v>
      </c>
      <c r="H222" t="s">
        <v>272</v>
      </c>
      <c r="J222">
        <v>1</v>
      </c>
      <c r="L222">
        <v>6</v>
      </c>
      <c r="M222">
        <v>7</v>
      </c>
      <c r="N222" t="s">
        <v>316</v>
      </c>
      <c r="O222" t="s">
        <v>316</v>
      </c>
      <c r="R222" t="s">
        <v>298</v>
      </c>
      <c r="S222" t="s">
        <v>31</v>
      </c>
      <c r="U222">
        <v>1</v>
      </c>
      <c r="V222">
        <v>0</v>
      </c>
      <c r="W222">
        <v>9</v>
      </c>
      <c r="Y222" t="s">
        <v>316</v>
      </c>
      <c r="AC222" t="s">
        <v>298</v>
      </c>
      <c r="AD222" t="s">
        <v>272</v>
      </c>
      <c r="AF222">
        <v>1</v>
      </c>
      <c r="AH222">
        <v>7</v>
      </c>
      <c r="AJ222" t="s">
        <v>316</v>
      </c>
      <c r="AN222" t="s">
        <v>277</v>
      </c>
    </row>
    <row r="223" spans="1:40" x14ac:dyDescent="0.3">
      <c r="A223" s="3">
        <v>44507</v>
      </c>
      <c r="B223">
        <v>4</v>
      </c>
      <c r="C223" t="s">
        <v>272</v>
      </c>
      <c r="D223">
        <v>3</v>
      </c>
      <c r="G223" t="s">
        <v>390</v>
      </c>
      <c r="H223" t="s">
        <v>34</v>
      </c>
      <c r="J223">
        <v>1</v>
      </c>
      <c r="L223">
        <v>11</v>
      </c>
      <c r="N223" t="s">
        <v>42</v>
      </c>
      <c r="AN223" t="s">
        <v>277</v>
      </c>
    </row>
    <row r="224" spans="1:40" x14ac:dyDescent="0.3">
      <c r="A224" s="3">
        <v>44507</v>
      </c>
      <c r="B224">
        <v>5</v>
      </c>
      <c r="C224" t="s">
        <v>26</v>
      </c>
      <c r="D224">
        <v>0</v>
      </c>
      <c r="G224" t="s">
        <v>158</v>
      </c>
      <c r="H224" t="s">
        <v>272</v>
      </c>
      <c r="I224" t="s">
        <v>45</v>
      </c>
      <c r="J224">
        <v>1</v>
      </c>
      <c r="L224">
        <v>12</v>
      </c>
      <c r="N224" t="s">
        <v>316</v>
      </c>
      <c r="R224" t="s">
        <v>158</v>
      </c>
      <c r="S224" t="s">
        <v>272</v>
      </c>
      <c r="U224">
        <v>0</v>
      </c>
      <c r="AC224" t="s">
        <v>158</v>
      </c>
      <c r="AD224" t="s">
        <v>272</v>
      </c>
      <c r="AE224" t="s">
        <v>45</v>
      </c>
      <c r="AF224">
        <v>1</v>
      </c>
      <c r="AH224">
        <v>8</v>
      </c>
      <c r="AJ224" t="s">
        <v>316</v>
      </c>
      <c r="AN224" t="s">
        <v>277</v>
      </c>
    </row>
    <row r="225" spans="1:44" x14ac:dyDescent="0.3">
      <c r="A225" s="3">
        <v>44507</v>
      </c>
      <c r="B225">
        <v>5</v>
      </c>
      <c r="C225" t="s">
        <v>23</v>
      </c>
      <c r="D225">
        <v>0</v>
      </c>
      <c r="G225" t="s">
        <v>300</v>
      </c>
      <c r="H225" t="s">
        <v>26</v>
      </c>
      <c r="J225">
        <v>1</v>
      </c>
      <c r="P225">
        <v>26</v>
      </c>
      <c r="AC225" t="s">
        <v>136</v>
      </c>
      <c r="AD225" t="s">
        <v>97</v>
      </c>
      <c r="AF225">
        <v>1</v>
      </c>
      <c r="AL225">
        <v>19</v>
      </c>
      <c r="AN225" t="s">
        <v>277</v>
      </c>
    </row>
    <row r="226" spans="1:44" x14ac:dyDescent="0.3">
      <c r="A226" s="3">
        <v>44507</v>
      </c>
      <c r="B226">
        <v>5</v>
      </c>
      <c r="C226" t="s">
        <v>23</v>
      </c>
      <c r="D226">
        <v>0</v>
      </c>
      <c r="G226" t="s">
        <v>300</v>
      </c>
      <c r="H226" t="s">
        <v>23</v>
      </c>
      <c r="J226">
        <v>1</v>
      </c>
      <c r="P226">
        <v>8</v>
      </c>
      <c r="AC226" t="s">
        <v>136</v>
      </c>
      <c r="AD226" t="s">
        <v>23</v>
      </c>
      <c r="AF226">
        <v>1</v>
      </c>
      <c r="AL226">
        <v>6</v>
      </c>
      <c r="AN226" t="s">
        <v>277</v>
      </c>
    </row>
    <row r="227" spans="1:44" x14ac:dyDescent="0.3">
      <c r="A227" s="3">
        <v>44507</v>
      </c>
      <c r="B227">
        <v>5</v>
      </c>
      <c r="C227" t="s">
        <v>97</v>
      </c>
      <c r="D227">
        <v>0</v>
      </c>
      <c r="G227" t="s">
        <v>98</v>
      </c>
      <c r="H227" t="s">
        <v>272</v>
      </c>
      <c r="I227" t="s">
        <v>384</v>
      </c>
      <c r="J227">
        <v>1</v>
      </c>
      <c r="K227">
        <v>1</v>
      </c>
      <c r="L227">
        <v>17</v>
      </c>
      <c r="N227" t="s">
        <v>61</v>
      </c>
      <c r="R227" t="s">
        <v>98</v>
      </c>
      <c r="S227" t="s">
        <v>272</v>
      </c>
      <c r="T227" t="s">
        <v>384</v>
      </c>
      <c r="U227">
        <v>1</v>
      </c>
      <c r="W227">
        <v>3</v>
      </c>
      <c r="Y227" t="s">
        <v>61</v>
      </c>
      <c r="AC227" t="s">
        <v>279</v>
      </c>
      <c r="AD227" t="s">
        <v>272</v>
      </c>
      <c r="AF227">
        <v>1</v>
      </c>
      <c r="AH227">
        <v>31</v>
      </c>
      <c r="AJ227" t="s">
        <v>129</v>
      </c>
      <c r="AN227" t="s">
        <v>277</v>
      </c>
    </row>
    <row r="228" spans="1:44" x14ac:dyDescent="0.3">
      <c r="A228" s="3">
        <v>44507</v>
      </c>
      <c r="B228">
        <v>5</v>
      </c>
      <c r="C228" t="s">
        <v>31</v>
      </c>
      <c r="D228">
        <v>0</v>
      </c>
      <c r="G228" t="s">
        <v>165</v>
      </c>
      <c r="H228" t="s">
        <v>272</v>
      </c>
      <c r="J228">
        <v>0</v>
      </c>
      <c r="R228" t="s">
        <v>165</v>
      </c>
      <c r="S228" t="s">
        <v>272</v>
      </c>
      <c r="U228">
        <v>0</v>
      </c>
      <c r="AC228" t="s">
        <v>165</v>
      </c>
      <c r="AD228" t="s">
        <v>272</v>
      </c>
      <c r="AF228">
        <v>1</v>
      </c>
      <c r="AH228">
        <v>10</v>
      </c>
      <c r="AJ228" t="s">
        <v>316</v>
      </c>
      <c r="AM228">
        <v>1</v>
      </c>
      <c r="AN228" t="s">
        <v>277</v>
      </c>
    </row>
    <row r="229" spans="1:44" x14ac:dyDescent="0.3">
      <c r="A229" s="3">
        <v>44507</v>
      </c>
      <c r="B229">
        <v>-1</v>
      </c>
      <c r="C229" t="s">
        <v>97</v>
      </c>
      <c r="D229">
        <v>0</v>
      </c>
      <c r="G229" t="s">
        <v>98</v>
      </c>
      <c r="H229" t="s">
        <v>23</v>
      </c>
      <c r="J229">
        <v>1</v>
      </c>
      <c r="K229">
        <v>1</v>
      </c>
      <c r="L229">
        <v>18</v>
      </c>
      <c r="M229">
        <v>55</v>
      </c>
      <c r="N229" t="s">
        <v>61</v>
      </c>
      <c r="O229" t="s">
        <v>305</v>
      </c>
      <c r="AN229" t="s">
        <v>277</v>
      </c>
    </row>
    <row r="230" spans="1:44" x14ac:dyDescent="0.3">
      <c r="A230" s="3">
        <v>44507</v>
      </c>
      <c r="B230">
        <v>-1</v>
      </c>
      <c r="C230" t="s">
        <v>23</v>
      </c>
      <c r="D230">
        <v>0</v>
      </c>
      <c r="G230" t="s">
        <v>389</v>
      </c>
      <c r="H230" t="s">
        <v>26</v>
      </c>
      <c r="J230">
        <v>1</v>
      </c>
      <c r="P230">
        <v>26</v>
      </c>
      <c r="R230" t="s">
        <v>389</v>
      </c>
      <c r="S230" t="s">
        <v>97</v>
      </c>
      <c r="U230">
        <v>1</v>
      </c>
      <c r="AA230">
        <v>26</v>
      </c>
      <c r="AC230" t="s">
        <v>389</v>
      </c>
      <c r="AD230" t="s">
        <v>23</v>
      </c>
      <c r="AL230">
        <v>48</v>
      </c>
      <c r="AN230" t="s">
        <v>277</v>
      </c>
    </row>
    <row r="231" spans="1:44" x14ac:dyDescent="0.3">
      <c r="A231" s="3">
        <v>44507</v>
      </c>
      <c r="B231">
        <v>-1</v>
      </c>
      <c r="C231" t="s">
        <v>23</v>
      </c>
      <c r="D231">
        <v>0</v>
      </c>
      <c r="G231" t="s">
        <v>389</v>
      </c>
      <c r="H231" t="s">
        <v>34</v>
      </c>
      <c r="J231">
        <v>1</v>
      </c>
      <c r="P231">
        <v>26</v>
      </c>
      <c r="R231" t="s">
        <v>389</v>
      </c>
      <c r="S231" t="s">
        <v>31</v>
      </c>
      <c r="U231">
        <v>1</v>
      </c>
      <c r="AA231">
        <v>26</v>
      </c>
      <c r="AN231" t="s">
        <v>277</v>
      </c>
      <c r="AR231" s="14">
        <v>8.9583333333333334E-2</v>
      </c>
    </row>
  </sheetData>
  <phoneticPr fontId="6"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4B9CD-F8A0-4D31-9145-FCD7033F355B}">
  <dimension ref="A1:AI36"/>
  <sheetViews>
    <sheetView zoomScaleNormal="100" workbookViewId="0">
      <selection activeCell="C6" sqref="C6"/>
    </sheetView>
  </sheetViews>
  <sheetFormatPr defaultRowHeight="14.4" x14ac:dyDescent="0.3"/>
  <cols>
    <col min="1" max="1" width="17.88671875" style="2" bestFit="1" customWidth="1"/>
    <col min="2" max="6" width="13.109375" style="2" customWidth="1"/>
    <col min="8" max="9" width="13.109375" style="2" customWidth="1"/>
    <col min="10" max="10" width="9.77734375" bestFit="1" customWidth="1"/>
    <col min="11" max="12" width="13.109375" style="2" customWidth="1"/>
    <col min="14" max="15" width="13.109375" style="2" customWidth="1"/>
    <col min="17" max="18" width="13.109375" customWidth="1"/>
    <col min="20" max="21" width="13.109375" customWidth="1"/>
    <col min="23" max="24" width="12.5546875" bestFit="1" customWidth="1"/>
    <col min="25" max="25" width="4.21875" bestFit="1" customWidth="1"/>
    <col min="27" max="27" width="9.77734375" bestFit="1" customWidth="1"/>
    <col min="29" max="30" width="13.109375" customWidth="1"/>
  </cols>
  <sheetData>
    <row r="1" spans="1:35" x14ac:dyDescent="0.3">
      <c r="A1" s="2" t="s">
        <v>178</v>
      </c>
      <c r="X1" t="s">
        <v>217</v>
      </c>
      <c r="AA1" t="s">
        <v>218</v>
      </c>
      <c r="AD1" t="s">
        <v>216</v>
      </c>
    </row>
    <row r="3" spans="1:35" x14ac:dyDescent="0.3">
      <c r="X3" s="4" t="s">
        <v>3</v>
      </c>
      <c r="Y3" s="7">
        <v>0</v>
      </c>
    </row>
    <row r="4" spans="1:35" x14ac:dyDescent="0.3">
      <c r="A4" s="1"/>
      <c r="B4" s="1" t="s">
        <v>346</v>
      </c>
      <c r="C4" s="1"/>
      <c r="D4" s="1"/>
      <c r="E4" s="1" t="s">
        <v>26</v>
      </c>
      <c r="F4" s="1"/>
      <c r="H4" s="1" t="s">
        <v>97</v>
      </c>
      <c r="I4" s="1"/>
      <c r="K4" s="1" t="s">
        <v>23</v>
      </c>
      <c r="L4" s="1"/>
      <c r="N4" s="1" t="s">
        <v>34</v>
      </c>
      <c r="O4" s="1"/>
      <c r="Q4" s="2" t="s">
        <v>31</v>
      </c>
      <c r="R4" s="2"/>
      <c r="T4" s="2" t="s">
        <v>102</v>
      </c>
      <c r="U4" s="2"/>
      <c r="AC4" t="s">
        <v>192</v>
      </c>
      <c r="AD4" t="s">
        <v>193</v>
      </c>
      <c r="AF4" t="s">
        <v>341</v>
      </c>
      <c r="AH4" t="s">
        <v>332</v>
      </c>
    </row>
    <row r="5" spans="1:35" x14ac:dyDescent="0.3">
      <c r="A5" s="1" t="s">
        <v>187</v>
      </c>
      <c r="B5" s="1" t="s">
        <v>8</v>
      </c>
      <c r="C5" s="1" t="s">
        <v>422</v>
      </c>
      <c r="D5" s="1"/>
      <c r="E5" s="1" t="s">
        <v>8</v>
      </c>
      <c r="F5" s="1" t="s">
        <v>26</v>
      </c>
      <c r="H5" s="1" t="s">
        <v>8</v>
      </c>
      <c r="I5" s="1" t="s">
        <v>97</v>
      </c>
      <c r="K5" s="1" t="s">
        <v>8</v>
      </c>
      <c r="L5" s="1" t="s">
        <v>23</v>
      </c>
      <c r="N5" s="1" t="s">
        <v>8</v>
      </c>
      <c r="O5" s="1" t="s">
        <v>34</v>
      </c>
      <c r="Q5" t="s">
        <v>8</v>
      </c>
      <c r="R5" t="s">
        <v>31</v>
      </c>
      <c r="T5" t="s">
        <v>8</v>
      </c>
      <c r="U5" t="s">
        <v>102</v>
      </c>
      <c r="X5" s="4" t="s">
        <v>189</v>
      </c>
      <c r="AA5" s="6" t="s">
        <v>188</v>
      </c>
      <c r="AC5" t="str">
        <f t="shared" ref="AC5:AC11" si="0">IF($X$6=$AA$6,E5,IF($X$6=$AA$7,H5,IF($X$6=$AA$8,K5,IF($X$6=$AA$9,N5,IF($X$6=$AA$10,Q5,IF($X$6=$AA$11,T5))))))</f>
        <v>Name</v>
      </c>
      <c r="AD5" t="str">
        <f>IF($AF$5=6,C5,IF($X$6=$AA$6,F5,IF($X$6=$AA$7,I5,IF($X$6=$AA$8,L5,IF($X$6=$AA$9,O5,IF($X$6=$AA$10,R5,IF($X$6=$AA$11,U5)))))))</f>
        <v>Dream Team</v>
      </c>
      <c r="AF5">
        <f>SUM(AI6:AI12)</f>
        <v>6</v>
      </c>
      <c r="AH5" t="s">
        <v>309</v>
      </c>
    </row>
    <row r="6" spans="1:35" x14ac:dyDescent="0.3">
      <c r="A6" s="1"/>
      <c r="B6" s="1" t="s">
        <v>417</v>
      </c>
      <c r="C6" s="1" t="s">
        <v>420</v>
      </c>
      <c r="D6" s="1"/>
      <c r="E6" s="1" t="s">
        <v>179</v>
      </c>
      <c r="F6" s="1" t="s">
        <v>182</v>
      </c>
      <c r="H6" s="1" t="s">
        <v>179</v>
      </c>
      <c r="I6" s="1" t="s">
        <v>210</v>
      </c>
      <c r="K6" s="1" t="s">
        <v>179</v>
      </c>
      <c r="L6" s="1" t="s">
        <v>197</v>
      </c>
      <c r="N6" s="1" t="s">
        <v>179</v>
      </c>
      <c r="O6" s="1" t="s">
        <v>212</v>
      </c>
      <c r="Q6" t="s">
        <v>179</v>
      </c>
      <c r="R6" t="s">
        <v>196</v>
      </c>
      <c r="T6" t="s">
        <v>179</v>
      </c>
      <c r="U6" t="s">
        <v>214</v>
      </c>
      <c r="X6" s="7" t="s">
        <v>26</v>
      </c>
      <c r="AA6" t="s">
        <v>26</v>
      </c>
      <c r="AC6" t="str">
        <f t="shared" si="0"/>
        <v>Class</v>
      </c>
      <c r="AD6" t="str">
        <f t="shared" ref="AD6:AD23" si="1">IF($AF$5=6,C6,IF($X$6=$AA$6,F6,IF($X$6=$AA$7,I6,IF($X$6=$AA$8,L6,IF($X$6=$AA$9,O6,IF($X$6=$AA$10,R6,IF($X$6=$AA$11,U6)))))))</f>
        <v>Cool</v>
      </c>
      <c r="AH6" t="s">
        <v>346</v>
      </c>
      <c r="AI6">
        <f>IF(Character_selector!$X$12=Combat2!CN11,6,"")</f>
        <v>6</v>
      </c>
    </row>
    <row r="7" spans="1:35" x14ac:dyDescent="0.3">
      <c r="A7" s="1"/>
      <c r="B7" s="1" t="s">
        <v>418</v>
      </c>
      <c r="C7" s="1" t="s">
        <v>421</v>
      </c>
      <c r="D7" s="1"/>
      <c r="E7" s="1" t="s">
        <v>180</v>
      </c>
      <c r="F7" s="1" t="s">
        <v>183</v>
      </c>
      <c r="H7" s="1" t="s">
        <v>180</v>
      </c>
      <c r="I7" s="1" t="s">
        <v>211</v>
      </c>
      <c r="K7" s="1" t="s">
        <v>180</v>
      </c>
      <c r="L7" s="1" t="s">
        <v>198</v>
      </c>
      <c r="N7" s="1" t="s">
        <v>180</v>
      </c>
      <c r="O7" s="1" t="s">
        <v>213</v>
      </c>
      <c r="Q7" t="s">
        <v>180</v>
      </c>
      <c r="R7" t="s">
        <v>238</v>
      </c>
      <c r="T7" t="s">
        <v>180</v>
      </c>
      <c r="U7" t="s">
        <v>215</v>
      </c>
      <c r="X7" s="7" t="s">
        <v>97</v>
      </c>
      <c r="AA7" t="s">
        <v>97</v>
      </c>
      <c r="AC7" t="str">
        <f t="shared" si="0"/>
        <v>Race</v>
      </c>
      <c r="AD7" t="str">
        <f t="shared" si="1"/>
        <v xml:space="preserve">Mixed </v>
      </c>
      <c r="AF7" s="26"/>
      <c r="AH7" s="7" t="s">
        <v>26</v>
      </c>
      <c r="AI7">
        <f>IF(Character_selector!$X$6=Combat2!CN5,0,"")</f>
        <v>0</v>
      </c>
    </row>
    <row r="8" spans="1:35" x14ac:dyDescent="0.3">
      <c r="A8" s="1"/>
      <c r="B8" s="1" t="s">
        <v>181</v>
      </c>
      <c r="C8" s="1">
        <f>F8+I8+L8+O8+R8+U8</f>
        <v>40</v>
      </c>
      <c r="D8" s="1"/>
      <c r="E8" s="1" t="s">
        <v>181</v>
      </c>
      <c r="F8" s="1">
        <v>6</v>
      </c>
      <c r="H8" s="1" t="s">
        <v>181</v>
      </c>
      <c r="I8" s="1">
        <v>6</v>
      </c>
      <c r="K8" s="1" t="s">
        <v>181</v>
      </c>
      <c r="L8" s="1">
        <v>7</v>
      </c>
      <c r="N8" s="1" t="s">
        <v>181</v>
      </c>
      <c r="O8" s="1">
        <v>7</v>
      </c>
      <c r="Q8" t="s">
        <v>181</v>
      </c>
      <c r="R8">
        <v>7</v>
      </c>
      <c r="T8" t="s">
        <v>181</v>
      </c>
      <c r="U8">
        <v>7</v>
      </c>
      <c r="X8" s="7" t="s">
        <v>23</v>
      </c>
      <c r="AA8" t="s">
        <v>23</v>
      </c>
      <c r="AC8" t="str">
        <f t="shared" si="0"/>
        <v>Lvl</v>
      </c>
      <c r="AD8">
        <f t="shared" si="1"/>
        <v>40</v>
      </c>
      <c r="AF8" s="26"/>
      <c r="AH8" s="7" t="s">
        <v>97</v>
      </c>
      <c r="AI8" t="str">
        <f>IF(Character_selector!$X$6=Combat2!CN6,1,"")</f>
        <v/>
      </c>
    </row>
    <row r="9" spans="1:35" x14ac:dyDescent="0.3">
      <c r="A9" s="1"/>
      <c r="B9" s="1" t="s">
        <v>184</v>
      </c>
      <c r="C9" s="1">
        <f>AVERAGE(96,I9,91,39,80,U9)</f>
        <v>76.5</v>
      </c>
      <c r="D9" s="1"/>
      <c r="E9" s="1" t="s">
        <v>184</v>
      </c>
      <c r="F9" s="1">
        <v>8</v>
      </c>
      <c r="H9" s="1" t="s">
        <v>184</v>
      </c>
      <c r="I9" s="1" t="s">
        <v>40</v>
      </c>
      <c r="K9" s="1" t="s">
        <v>184</v>
      </c>
      <c r="L9" s="1" t="s">
        <v>240</v>
      </c>
      <c r="N9" s="1" t="s">
        <v>184</v>
      </c>
      <c r="O9" s="1" t="s">
        <v>239</v>
      </c>
      <c r="Q9" t="s">
        <v>184</v>
      </c>
      <c r="R9" t="s">
        <v>241</v>
      </c>
      <c r="T9" t="s">
        <v>184</v>
      </c>
      <c r="U9" t="s">
        <v>40</v>
      </c>
      <c r="X9" s="7" t="s">
        <v>34</v>
      </c>
      <c r="AA9" t="s">
        <v>34</v>
      </c>
      <c r="AC9" t="str">
        <f t="shared" si="0"/>
        <v>Hight</v>
      </c>
      <c r="AD9">
        <f t="shared" si="1"/>
        <v>76.5</v>
      </c>
      <c r="AF9" s="26"/>
      <c r="AH9" s="7" t="s">
        <v>23</v>
      </c>
      <c r="AI9" t="str">
        <f>IF(Character_selector!$X$6=Combat2!CN7,2,"")</f>
        <v/>
      </c>
    </row>
    <row r="10" spans="1:35" x14ac:dyDescent="0.3">
      <c r="A10" s="1"/>
      <c r="B10" s="1" t="s">
        <v>185</v>
      </c>
      <c r="C10" s="33">
        <f>AVERAGE(F10,I10,L10,O10,R10,U10)</f>
        <v>295.375</v>
      </c>
      <c r="D10" s="1"/>
      <c r="E10" s="1" t="s">
        <v>185</v>
      </c>
      <c r="F10" s="1">
        <v>330</v>
      </c>
      <c r="H10" s="1" t="s">
        <v>185</v>
      </c>
      <c r="I10" s="1" t="s">
        <v>40</v>
      </c>
      <c r="K10" s="1" t="s">
        <v>194</v>
      </c>
      <c r="L10" s="1">
        <v>420</v>
      </c>
      <c r="N10" s="1" t="s">
        <v>185</v>
      </c>
      <c r="O10" s="1">
        <v>81.5</v>
      </c>
      <c r="Q10" t="s">
        <v>194</v>
      </c>
      <c r="R10">
        <v>350</v>
      </c>
      <c r="T10" t="s">
        <v>194</v>
      </c>
      <c r="U10" t="s">
        <v>40</v>
      </c>
      <c r="X10" s="7" t="s">
        <v>31</v>
      </c>
      <c r="AA10" t="s">
        <v>31</v>
      </c>
      <c r="AC10" t="str">
        <f t="shared" si="0"/>
        <v xml:space="preserve">Weight </v>
      </c>
      <c r="AD10" s="34">
        <f t="shared" si="1"/>
        <v>295.375</v>
      </c>
      <c r="AF10" s="26"/>
      <c r="AH10" s="7" t="s">
        <v>34</v>
      </c>
      <c r="AI10" t="str">
        <f>IF(Character_selector!$X$6=Combat2!CN8,3,"")</f>
        <v/>
      </c>
    </row>
    <row r="11" spans="1:35" x14ac:dyDescent="0.3">
      <c r="A11" s="1"/>
      <c r="B11" s="1" t="s">
        <v>186</v>
      </c>
      <c r="C11" s="1">
        <f>AVERAGE(F11,I11,L11,O11,R11,U11)</f>
        <v>31.8</v>
      </c>
      <c r="D11" s="1"/>
      <c r="E11" s="1" t="s">
        <v>186</v>
      </c>
      <c r="F11" s="1">
        <v>35</v>
      </c>
      <c r="H11" s="1" t="s">
        <v>186</v>
      </c>
      <c r="I11" s="1">
        <v>2</v>
      </c>
      <c r="K11" s="1" t="s">
        <v>195</v>
      </c>
      <c r="L11" s="1">
        <v>68</v>
      </c>
      <c r="N11" s="1" t="s">
        <v>186</v>
      </c>
      <c r="O11" s="1">
        <v>27</v>
      </c>
      <c r="Q11" t="s">
        <v>195</v>
      </c>
      <c r="R11">
        <v>27</v>
      </c>
      <c r="T11" t="s">
        <v>195</v>
      </c>
      <c r="U11" t="s">
        <v>40</v>
      </c>
      <c r="X11" s="7" t="s">
        <v>102</v>
      </c>
      <c r="AA11" t="s">
        <v>102</v>
      </c>
      <c r="AC11" t="str">
        <f t="shared" si="0"/>
        <v>age</v>
      </c>
      <c r="AD11">
        <f t="shared" si="1"/>
        <v>31.8</v>
      </c>
      <c r="AF11" s="26"/>
      <c r="AH11" s="7" t="s">
        <v>31</v>
      </c>
      <c r="AI11" t="str">
        <f>IF(Character_selector!$X$6=Combat2!CN9,4,"")</f>
        <v/>
      </c>
    </row>
    <row r="12" spans="1:35" x14ac:dyDescent="0.3">
      <c r="A12" s="1"/>
      <c r="B12" s="1"/>
      <c r="C12" s="1"/>
      <c r="D12" s="1"/>
      <c r="E12" s="1"/>
      <c r="F12" s="1"/>
      <c r="H12" s="1"/>
      <c r="I12" s="1"/>
      <c r="K12" s="1"/>
      <c r="L12" s="1"/>
      <c r="N12" s="1"/>
      <c r="O12" s="1"/>
      <c r="X12" s="7" t="s">
        <v>191</v>
      </c>
      <c r="AF12" s="26"/>
      <c r="AH12" s="7" t="s">
        <v>102</v>
      </c>
      <c r="AI12" t="str">
        <f>IF(Character_selector!$X$6=Combat2!CN10,5,"")</f>
        <v/>
      </c>
    </row>
    <row r="13" spans="1:35" x14ac:dyDescent="0.3">
      <c r="A13" s="1" t="s">
        <v>209</v>
      </c>
      <c r="B13" s="1" t="s">
        <v>206</v>
      </c>
      <c r="C13" s="33">
        <f t="shared" ref="C13:C15" si="2">AVERAGE(F13,I13,L13,O13,R13,U13)</f>
        <v>27.666666666666668</v>
      </c>
      <c r="D13" s="1"/>
      <c r="E13" s="1" t="s">
        <v>206</v>
      </c>
      <c r="F13" s="1">
        <v>14</v>
      </c>
      <c r="H13" s="1" t="s">
        <v>206</v>
      </c>
      <c r="I13" s="1" t="s">
        <v>40</v>
      </c>
      <c r="K13" s="1" t="s">
        <v>206</v>
      </c>
      <c r="L13" s="1">
        <v>19</v>
      </c>
      <c r="N13" s="1" t="s">
        <v>206</v>
      </c>
      <c r="O13" s="1">
        <v>50</v>
      </c>
      <c r="Q13" t="s">
        <v>206</v>
      </c>
      <c r="R13" t="s">
        <v>40</v>
      </c>
      <c r="T13" t="s">
        <v>206</v>
      </c>
      <c r="U13" t="s">
        <v>40</v>
      </c>
      <c r="AC13" t="str">
        <f>IF($X$6=$AA$6,E13,IF($X$6=$AA$7,H13,IF($X$6=$AA$8,K13,IF($X$6=$AA$9,N13,IF($X$6=$AA$10,Q13,IF($X$6=$AA$11,T13))))))</f>
        <v>Ac</v>
      </c>
      <c r="AD13">
        <f t="shared" si="1"/>
        <v>27.666666666666668</v>
      </c>
    </row>
    <row r="14" spans="1:35" x14ac:dyDescent="0.3">
      <c r="A14" s="1"/>
      <c r="B14" s="1" t="s">
        <v>207</v>
      </c>
      <c r="C14" s="1">
        <f t="shared" si="2"/>
        <v>37.5</v>
      </c>
      <c r="D14" s="1"/>
      <c r="E14" s="1" t="s">
        <v>207</v>
      </c>
      <c r="F14" s="1">
        <v>40</v>
      </c>
      <c r="H14" s="1" t="s">
        <v>207</v>
      </c>
      <c r="I14" s="1" t="s">
        <v>40</v>
      </c>
      <c r="K14" s="1" t="s">
        <v>207</v>
      </c>
      <c r="L14" s="1">
        <v>35</v>
      </c>
      <c r="N14" s="1" t="s">
        <v>207</v>
      </c>
      <c r="O14" s="1" t="s">
        <v>40</v>
      </c>
      <c r="Q14" t="s">
        <v>207</v>
      </c>
      <c r="R14" t="s">
        <v>40</v>
      </c>
      <c r="T14" t="s">
        <v>207</v>
      </c>
      <c r="U14" t="s">
        <v>40</v>
      </c>
      <c r="AC14" t="str">
        <f>IF($X$6=$AA$6,E14,IF($X$6=$AA$7,H14,IF($X$6=$AA$8,K14,IF($X$6=$AA$9,N14,IF($X$6=$AA$10,Q14,IF($X$6=$AA$11,T14))))))</f>
        <v>Speed</v>
      </c>
      <c r="AD14">
        <f t="shared" si="1"/>
        <v>37.5</v>
      </c>
    </row>
    <row r="15" spans="1:35" x14ac:dyDescent="0.3">
      <c r="A15" s="1"/>
      <c r="B15" s="1" t="s">
        <v>208</v>
      </c>
      <c r="C15" s="1">
        <f t="shared" si="2"/>
        <v>70</v>
      </c>
      <c r="D15" s="1"/>
      <c r="E15" s="1" t="s">
        <v>208</v>
      </c>
      <c r="F15" s="1">
        <v>70</v>
      </c>
      <c r="H15" s="1" t="s">
        <v>208</v>
      </c>
      <c r="I15" s="1" t="s">
        <v>40</v>
      </c>
      <c r="K15" s="1" t="s">
        <v>208</v>
      </c>
      <c r="L15" s="1" t="s">
        <v>40</v>
      </c>
      <c r="N15" s="1" t="s">
        <v>208</v>
      </c>
      <c r="O15" s="1" t="s">
        <v>40</v>
      </c>
      <c r="Q15" t="s">
        <v>208</v>
      </c>
      <c r="R15" t="s">
        <v>40</v>
      </c>
      <c r="T15" t="s">
        <v>208</v>
      </c>
      <c r="U15" t="s">
        <v>40</v>
      </c>
      <c r="AC15" t="str">
        <f>IF($X$6=$AA$6,E15,IF($X$6=$AA$7,H15,IF($X$6=$AA$8,K15,IF($X$6=$AA$9,N15,IF($X$6=$AA$10,Q15,IF($X$6=$AA$11,T15))))))</f>
        <v>Hp</v>
      </c>
      <c r="AD15">
        <f t="shared" si="1"/>
        <v>70</v>
      </c>
    </row>
    <row r="16" spans="1:35" x14ac:dyDescent="0.3">
      <c r="A16" s="1"/>
      <c r="B16" s="1"/>
      <c r="C16" s="1"/>
      <c r="D16" s="1"/>
      <c r="E16" s="1"/>
      <c r="F16" s="1"/>
      <c r="H16" s="1"/>
      <c r="I16" s="1"/>
      <c r="K16" s="1"/>
      <c r="L16" s="1"/>
      <c r="N16" s="1"/>
      <c r="O16" s="1"/>
    </row>
    <row r="17" spans="1:33" x14ac:dyDescent="0.3">
      <c r="A17" s="1" t="s">
        <v>199</v>
      </c>
      <c r="B17" s="1" t="s">
        <v>201</v>
      </c>
      <c r="C17" s="1">
        <f>AVERAGE(F17,I17,L17,O17,R17,U17)</f>
        <v>19</v>
      </c>
      <c r="D17" s="1"/>
      <c r="E17" s="1" t="s">
        <v>201</v>
      </c>
      <c r="F17" s="1">
        <v>20</v>
      </c>
      <c r="H17" s="1" t="s">
        <v>201</v>
      </c>
      <c r="I17" s="1">
        <v>18</v>
      </c>
      <c r="K17" s="1" t="s">
        <v>201</v>
      </c>
      <c r="L17" s="1" t="s">
        <v>40</v>
      </c>
      <c r="N17" s="1" t="s">
        <v>201</v>
      </c>
      <c r="O17" s="1" t="s">
        <v>40</v>
      </c>
      <c r="Q17" t="s">
        <v>201</v>
      </c>
      <c r="R17" t="s">
        <v>40</v>
      </c>
      <c r="T17" t="s">
        <v>201</v>
      </c>
      <c r="U17" t="s">
        <v>40</v>
      </c>
      <c r="AC17" t="str">
        <f t="shared" ref="AC17:AC23" si="3">IF($X$6=$AA$6,E17,IF($X$6=$AA$7,H17,IF($X$6=$AA$8,K17,IF($X$6=$AA$9,N17,IF($X$6=$AA$10,Q17,IF($X$6=$AA$11,T17))))))</f>
        <v>Strength</v>
      </c>
      <c r="AD17">
        <f t="shared" si="1"/>
        <v>19</v>
      </c>
    </row>
    <row r="18" spans="1:33" x14ac:dyDescent="0.3">
      <c r="A18" s="1"/>
      <c r="B18" s="1" t="s">
        <v>200</v>
      </c>
      <c r="C18" s="1">
        <f t="shared" ref="C18:C22" si="4">AVERAGE(F18,I18,L18,O18,R18,U18)</f>
        <v>14</v>
      </c>
      <c r="D18" s="1"/>
      <c r="E18" s="1" t="s">
        <v>200</v>
      </c>
      <c r="F18" s="1">
        <v>15</v>
      </c>
      <c r="H18" s="1" t="s">
        <v>200</v>
      </c>
      <c r="I18" s="1">
        <v>13</v>
      </c>
      <c r="K18" s="1" t="s">
        <v>200</v>
      </c>
      <c r="L18" s="1" t="s">
        <v>40</v>
      </c>
      <c r="N18" s="1" t="s">
        <v>200</v>
      </c>
      <c r="O18" s="1" t="s">
        <v>40</v>
      </c>
      <c r="Q18" t="s">
        <v>200</v>
      </c>
      <c r="R18" t="s">
        <v>40</v>
      </c>
      <c r="T18" t="s">
        <v>200</v>
      </c>
      <c r="U18" t="s">
        <v>40</v>
      </c>
      <c r="AC18" t="str">
        <f t="shared" si="3"/>
        <v>Dexterity</v>
      </c>
      <c r="AD18">
        <f t="shared" si="1"/>
        <v>14</v>
      </c>
    </row>
    <row r="19" spans="1:33" x14ac:dyDescent="0.3">
      <c r="A19" s="1"/>
      <c r="B19" s="1" t="s">
        <v>202</v>
      </c>
      <c r="C19" s="33">
        <f t="shared" si="4"/>
        <v>16.666666666666668</v>
      </c>
      <c r="D19" s="1"/>
      <c r="E19" s="1" t="s">
        <v>202</v>
      </c>
      <c r="F19" s="1">
        <v>14</v>
      </c>
      <c r="H19" s="1" t="s">
        <v>202</v>
      </c>
      <c r="I19" s="1">
        <v>16</v>
      </c>
      <c r="K19" s="1" t="s">
        <v>202</v>
      </c>
      <c r="L19" s="1" t="s">
        <v>40</v>
      </c>
      <c r="N19" s="1" t="s">
        <v>202</v>
      </c>
      <c r="O19" s="1" t="s">
        <v>40</v>
      </c>
      <c r="Q19" t="s">
        <v>202</v>
      </c>
      <c r="R19">
        <v>20</v>
      </c>
      <c r="T19" t="s">
        <v>202</v>
      </c>
      <c r="U19" t="s">
        <v>40</v>
      </c>
      <c r="AC19" t="str">
        <f t="shared" si="3"/>
        <v>Constitution</v>
      </c>
      <c r="AD19" s="34">
        <f t="shared" si="1"/>
        <v>16.666666666666668</v>
      </c>
    </row>
    <row r="20" spans="1:33" x14ac:dyDescent="0.3">
      <c r="A20" s="1"/>
      <c r="B20" s="1" t="s">
        <v>203</v>
      </c>
      <c r="C20" s="1">
        <f t="shared" si="4"/>
        <v>8.5</v>
      </c>
      <c r="D20" s="1"/>
      <c r="E20" s="1" t="s">
        <v>203</v>
      </c>
      <c r="F20" s="1">
        <v>7</v>
      </c>
      <c r="H20" s="1" t="s">
        <v>203</v>
      </c>
      <c r="I20" s="1">
        <v>10</v>
      </c>
      <c r="K20" s="1" t="s">
        <v>203</v>
      </c>
      <c r="L20" s="1" t="s">
        <v>40</v>
      </c>
      <c r="N20" s="1" t="s">
        <v>203</v>
      </c>
      <c r="O20" s="1" t="s">
        <v>40</v>
      </c>
      <c r="Q20" t="s">
        <v>203</v>
      </c>
      <c r="R20" t="s">
        <v>40</v>
      </c>
      <c r="T20" t="s">
        <v>203</v>
      </c>
      <c r="U20" t="s">
        <v>40</v>
      </c>
      <c r="AC20" t="str">
        <f t="shared" si="3"/>
        <v>Intelligence</v>
      </c>
      <c r="AD20">
        <f t="shared" si="1"/>
        <v>8.5</v>
      </c>
    </row>
    <row r="21" spans="1:33" x14ac:dyDescent="0.3">
      <c r="A21" s="1"/>
      <c r="B21" s="1" t="s">
        <v>204</v>
      </c>
      <c r="C21" s="1">
        <f t="shared" si="4"/>
        <v>11.5</v>
      </c>
      <c r="D21" s="1"/>
      <c r="E21" s="1" t="s">
        <v>204</v>
      </c>
      <c r="F21" s="1">
        <v>11</v>
      </c>
      <c r="H21" s="1" t="s">
        <v>204</v>
      </c>
      <c r="I21" s="1">
        <v>12</v>
      </c>
      <c r="K21" s="1" t="s">
        <v>204</v>
      </c>
      <c r="L21" s="1" t="s">
        <v>40</v>
      </c>
      <c r="N21" s="1" t="s">
        <v>204</v>
      </c>
      <c r="O21" s="1" t="s">
        <v>40</v>
      </c>
      <c r="Q21" t="s">
        <v>204</v>
      </c>
      <c r="R21" t="s">
        <v>40</v>
      </c>
      <c r="T21" t="s">
        <v>204</v>
      </c>
      <c r="U21" t="s">
        <v>40</v>
      </c>
      <c r="AC21" t="str">
        <f t="shared" si="3"/>
        <v>Wisdom</v>
      </c>
      <c r="AD21">
        <f t="shared" si="1"/>
        <v>11.5</v>
      </c>
    </row>
    <row r="22" spans="1:33" x14ac:dyDescent="0.3">
      <c r="A22" s="1"/>
      <c r="B22" s="1" t="s">
        <v>205</v>
      </c>
      <c r="C22" s="1">
        <f t="shared" si="4"/>
        <v>10.5</v>
      </c>
      <c r="D22" s="1"/>
      <c r="E22" s="1" t="s">
        <v>205</v>
      </c>
      <c r="F22" s="1">
        <v>13</v>
      </c>
      <c r="H22" s="1" t="s">
        <v>205</v>
      </c>
      <c r="I22" s="1">
        <v>8</v>
      </c>
      <c r="K22" s="1" t="s">
        <v>205</v>
      </c>
      <c r="L22" s="1" t="s">
        <v>40</v>
      </c>
      <c r="N22" s="1" t="s">
        <v>205</v>
      </c>
      <c r="O22" s="1" t="s">
        <v>40</v>
      </c>
      <c r="Q22" t="s">
        <v>205</v>
      </c>
      <c r="R22" t="s">
        <v>40</v>
      </c>
      <c r="T22" t="s">
        <v>205</v>
      </c>
      <c r="U22" t="s">
        <v>40</v>
      </c>
      <c r="AC22" t="str">
        <f t="shared" si="3"/>
        <v>Charisma</v>
      </c>
      <c r="AD22">
        <f t="shared" si="1"/>
        <v>10.5</v>
      </c>
    </row>
    <row r="23" spans="1:33" x14ac:dyDescent="0.3">
      <c r="A23" s="1" t="s">
        <v>231</v>
      </c>
      <c r="B23" s="1"/>
      <c r="C23" s="1" t="s">
        <v>419</v>
      </c>
      <c r="D23" s="1"/>
      <c r="E23" s="1" t="s">
        <v>232</v>
      </c>
      <c r="F23" s="1" t="s">
        <v>233</v>
      </c>
      <c r="G23" s="1"/>
      <c r="H23" s="1" t="s">
        <v>234</v>
      </c>
      <c r="I23" s="1" t="s">
        <v>235</v>
      </c>
      <c r="J23" s="1"/>
      <c r="K23" s="1" t="s">
        <v>377</v>
      </c>
      <c r="L23" s="1" t="s">
        <v>243</v>
      </c>
      <c r="N23" s="1" t="s">
        <v>378</v>
      </c>
      <c r="O23" s="1" t="s">
        <v>242</v>
      </c>
      <c r="Q23" t="s">
        <v>379</v>
      </c>
      <c r="R23" t="s">
        <v>375</v>
      </c>
      <c r="T23" t="s">
        <v>380</v>
      </c>
      <c r="U23" t="s">
        <v>376</v>
      </c>
      <c r="AC23" t="str">
        <f t="shared" si="3"/>
        <v>Angatparul_BG</v>
      </c>
      <c r="AD23" t="str">
        <f>IF($AF$5=6,C23,IF($X$6=$AA$6,F23,IF($X$6=$AA$7,I23,IF($X$6=$AA$8,L23,IF($X$6=$AA$9,O23,IF($X$6=$AA$10,R23,IF($X$6=$AA$11,U23)))))))</f>
        <v>Everyone_TK</v>
      </c>
    </row>
    <row r="24" spans="1:33" ht="63.6" customHeight="1" x14ac:dyDescent="0.3">
      <c r="C24" s="9"/>
      <c r="F24" s="9"/>
      <c r="G24" s="2"/>
      <c r="I24" s="9"/>
      <c r="J24" s="2"/>
      <c r="L24" s="9"/>
      <c r="O24" s="9"/>
      <c r="R24" s="9"/>
      <c r="U24" s="9"/>
      <c r="AC24" t="str">
        <f>IF($X$6=$AA$6,E23,IF($X$6=$AA$7,H23,IF($X$6=$AA$8,K23,IF($X$6=$AA$9,N23,IF($X$6=$AA$10,Q23,IF($X$6=$AA$11,T23))))))</f>
        <v>Angatparul_BG</v>
      </c>
      <c r="AD24" t="str">
        <f>IF($AF$5=6,C23,IF($X$6=$AA$6,F23,IF($X$6=$AA$7,I23,IF($X$6=$AA$8,L23,IF($X$6=$AA$9,O23,IF($X$6=$AA$10,R23,IF($X$6=$AA$11,U23)))))))</f>
        <v>Everyone_TK</v>
      </c>
    </row>
    <row r="25" spans="1:33" x14ac:dyDescent="0.3">
      <c r="A25" s="1"/>
      <c r="B25" s="1"/>
      <c r="C25" s="1"/>
      <c r="D25" s="1"/>
      <c r="E25" s="1"/>
      <c r="F25" s="1"/>
      <c r="G25" s="2"/>
      <c r="J25" s="2"/>
    </row>
    <row r="26" spans="1:33" x14ac:dyDescent="0.3">
      <c r="A26" s="31" t="s">
        <v>367</v>
      </c>
      <c r="B26" s="31"/>
      <c r="C26" s="31"/>
      <c r="D26" s="31"/>
      <c r="E26" s="31" t="s">
        <v>373</v>
      </c>
      <c r="F26" s="1"/>
      <c r="G26" s="2"/>
      <c r="H26" s="1" t="s">
        <v>373</v>
      </c>
      <c r="I26" s="1"/>
      <c r="J26" s="2"/>
      <c r="K26" s="1" t="s">
        <v>373</v>
      </c>
      <c r="L26" s="1"/>
      <c r="N26" s="1" t="s">
        <v>373</v>
      </c>
      <c r="O26" s="1"/>
      <c r="Q26" s="1" t="s">
        <v>373</v>
      </c>
      <c r="R26" s="1"/>
      <c r="T26" s="1" t="s">
        <v>373</v>
      </c>
      <c r="U26" s="1"/>
      <c r="AC26" t="str">
        <f>IF($X$6=$AA$6,E26,IF($X$6=$AA$7,H26,IF($X$6=$AA$8,K26,IF($X$6=$AA$9,N26,IF($X$6=$AA$10,Q26,IF($X$6=$AA$11,T26))))))</f>
        <v>Mother's Fragments</v>
      </c>
      <c r="AG26" t="s">
        <v>381</v>
      </c>
    </row>
    <row r="27" spans="1:33" x14ac:dyDescent="0.3">
      <c r="A27" s="1"/>
      <c r="B27" s="1"/>
      <c r="C27" s="1"/>
      <c r="D27" s="1"/>
      <c r="E27" s="1" t="s">
        <v>369</v>
      </c>
      <c r="F27" s="2" t="s">
        <v>415</v>
      </c>
      <c r="G27" s="2"/>
      <c r="H27" s="1">
        <v>1</v>
      </c>
      <c r="I27" s="1" t="s">
        <v>372</v>
      </c>
      <c r="J27" s="2"/>
      <c r="K27" s="2" t="s">
        <v>407</v>
      </c>
      <c r="L27" s="1"/>
      <c r="N27" s="1">
        <v>1</v>
      </c>
      <c r="O27" s="1"/>
      <c r="Q27" s="1">
        <v>1</v>
      </c>
      <c r="R27" s="1" t="s">
        <v>372</v>
      </c>
      <c r="T27" s="1">
        <v>1</v>
      </c>
      <c r="U27" s="1" t="s">
        <v>372</v>
      </c>
      <c r="AC27" t="str">
        <f>IF($X$6=$AA$6,E27,IF($X$6=$AA$7,H27,IF($X$6=$AA$8,#REF!,IF($X$6=$AA$9,N27,IF($X$6=$AA$10,Q27,IF($X$6=$AA$11,T27))))))</f>
        <v>N/a</v>
      </c>
      <c r="AD27" t="str">
        <f t="shared" ref="AD27:AD30" si="5">IF($X$6=$AA$6,F27,IF($X$6=$AA$7,I27,IF($X$6=$AA$8,L27,IF($X$6=$AA$9,O27,IF($X$6=$AA$10,R27,IF($X$6=$AA$11,U27))))))</f>
        <v>2 Str</v>
      </c>
      <c r="AG27" t="str">
        <f>AC27&amp;" "&amp;AC28&amp;" " &amp;AC29 &amp;" " &amp;AC30</f>
        <v>N/a Liberation Soulswap Repent</v>
      </c>
    </row>
    <row r="28" spans="1:33" x14ac:dyDescent="0.3">
      <c r="A28" s="1"/>
      <c r="B28" s="1"/>
      <c r="C28" s="1"/>
      <c r="D28" s="1"/>
      <c r="E28" s="1" t="s">
        <v>368</v>
      </c>
      <c r="F28" s="32" t="s">
        <v>416</v>
      </c>
      <c r="G28" s="2"/>
      <c r="H28" s="1">
        <v>2</v>
      </c>
      <c r="I28" s="1" t="s">
        <v>372</v>
      </c>
      <c r="J28" s="2"/>
      <c r="K28" s="2" t="s">
        <v>408</v>
      </c>
      <c r="L28" s="1"/>
      <c r="N28" s="1">
        <v>2</v>
      </c>
      <c r="O28" s="1"/>
      <c r="Q28" s="1">
        <v>2</v>
      </c>
      <c r="R28" s="1" t="s">
        <v>372</v>
      </c>
      <c r="T28" s="1">
        <v>2</v>
      </c>
      <c r="U28" s="1" t="s">
        <v>372</v>
      </c>
      <c r="AC28" t="str">
        <f>IF($X$6=$AA$6,E28,IF($X$6=$AA$7,H28,IF($X$6=$AA$8,#REF!,IF($X$6=$AA$9,N28,IF($X$6=$AA$10,Q28,IF($X$6=$AA$11,T28))))))</f>
        <v>Liberation</v>
      </c>
      <c r="AD28" t="str">
        <f t="shared" si="5"/>
        <v>1/3</v>
      </c>
      <c r="AG28" t="str">
        <f>AD27&amp;"       "&amp;AD28&amp;" " &amp;AD29 &amp;"      " &amp;AD30</f>
        <v>2 Str       1/3 1      0</v>
      </c>
    </row>
    <row r="29" spans="1:33" x14ac:dyDescent="0.3">
      <c r="A29" s="1"/>
      <c r="B29" s="1"/>
      <c r="C29" s="1"/>
      <c r="D29" s="1"/>
      <c r="E29" s="1" t="s">
        <v>371</v>
      </c>
      <c r="F29" s="2">
        <v>1</v>
      </c>
      <c r="H29" s="1">
        <v>3</v>
      </c>
      <c r="I29" s="1" t="s">
        <v>372</v>
      </c>
      <c r="K29" s="1">
        <v>3</v>
      </c>
      <c r="L29" s="1"/>
      <c r="N29" s="2" t="s">
        <v>371</v>
      </c>
      <c r="O29" s="1"/>
      <c r="Q29" s="1">
        <v>3</v>
      </c>
      <c r="R29" s="1" t="s">
        <v>372</v>
      </c>
      <c r="T29" s="1">
        <v>3</v>
      </c>
      <c r="U29" s="1" t="s">
        <v>372</v>
      </c>
      <c r="AC29" t="str">
        <f>IF($X$6=$AA$6,E29,IF($X$6=$AA$7,H29,IF($X$6=$AA$8,K29,IF($X$6=$AA$9,#REF!,IF($X$6=$AA$10,Q29,IF($X$6=$AA$11,T29))))))</f>
        <v>Soulswap</v>
      </c>
      <c r="AD29">
        <f t="shared" si="5"/>
        <v>1</v>
      </c>
    </row>
    <row r="30" spans="1:33" x14ac:dyDescent="0.3">
      <c r="A30" s="1"/>
      <c r="B30" s="1"/>
      <c r="C30" s="1"/>
      <c r="D30" s="1"/>
      <c r="E30" s="1" t="s">
        <v>399</v>
      </c>
      <c r="F30" s="2">
        <v>0</v>
      </c>
      <c r="H30" s="1">
        <v>4</v>
      </c>
      <c r="I30" s="1" t="s">
        <v>372</v>
      </c>
      <c r="K30" s="1">
        <v>4</v>
      </c>
      <c r="L30" s="1"/>
      <c r="N30" s="1">
        <v>4</v>
      </c>
      <c r="O30" s="1"/>
      <c r="Q30" s="1">
        <v>4</v>
      </c>
      <c r="R30" s="1" t="s">
        <v>372</v>
      </c>
      <c r="T30" s="1">
        <v>4</v>
      </c>
      <c r="U30" s="1" t="s">
        <v>372</v>
      </c>
      <c r="AC30" t="str">
        <f t="shared" ref="AC30:AC31" si="6">IF($X$6=$AA$6,E30,IF($X$6=$AA$7,H30,IF($X$6=$AA$8,K30,IF($X$6=$AA$9,N30,IF($X$6=$AA$10,Q30,IF($X$6=$AA$11,T30))))))</f>
        <v>Repent</v>
      </c>
      <c r="AD30">
        <f t="shared" si="5"/>
        <v>0</v>
      </c>
    </row>
    <row r="31" spans="1:33" x14ac:dyDescent="0.3">
      <c r="A31" s="31"/>
      <c r="B31" s="31"/>
      <c r="C31" s="31"/>
      <c r="D31" s="31"/>
      <c r="E31" s="31" t="s">
        <v>374</v>
      </c>
      <c r="F31" s="1"/>
      <c r="H31" s="1" t="s">
        <v>374</v>
      </c>
      <c r="I31" s="1"/>
      <c r="K31" s="1" t="s">
        <v>374</v>
      </c>
      <c r="L31" s="1"/>
      <c r="N31" s="1" t="s">
        <v>374</v>
      </c>
      <c r="O31" s="1"/>
      <c r="Q31" s="1" t="s">
        <v>374</v>
      </c>
      <c r="R31" s="1"/>
      <c r="T31" s="1" t="s">
        <v>374</v>
      </c>
      <c r="U31" s="1"/>
      <c r="AC31" t="str">
        <f t="shared" si="6"/>
        <v>Personal Fragments</v>
      </c>
      <c r="AG31" t="str">
        <f>AC32&amp;" "&amp;AC33&amp;" "&amp;AC34</f>
        <v>Liberation Liberation Rush</v>
      </c>
    </row>
    <row r="32" spans="1:33" x14ac:dyDescent="0.3">
      <c r="A32" s="1"/>
      <c r="B32" s="1"/>
      <c r="C32" s="1"/>
      <c r="D32" s="1"/>
      <c r="E32" s="1" t="s">
        <v>368</v>
      </c>
      <c r="F32" s="32" t="s">
        <v>416</v>
      </c>
      <c r="H32" s="1">
        <v>1</v>
      </c>
      <c r="I32" s="1" t="s">
        <v>372</v>
      </c>
      <c r="K32" s="1">
        <v>1</v>
      </c>
      <c r="L32" s="1"/>
      <c r="N32" s="2" t="s">
        <v>404</v>
      </c>
      <c r="O32" s="1"/>
      <c r="Q32" t="s">
        <v>406</v>
      </c>
      <c r="R32" s="1" t="s">
        <v>372</v>
      </c>
      <c r="T32" s="1">
        <v>1</v>
      </c>
      <c r="U32" s="1" t="s">
        <v>372</v>
      </c>
      <c r="AC32" t="str">
        <f>IF($X$6=$AA$6,E32,IF($X$6=$AA$7,H32,IF($X$6=$AA$8,K32,IF($X$6=$AA$9,#REF!,IF($X$6=$AA$10,#REF!,IF($X$6=$AA$11,T32))))))</f>
        <v>Liberation</v>
      </c>
      <c r="AD32" t="str">
        <f t="shared" ref="AD32" si="7">IF($X$6=$AA$6,F32,IF($X$6=$AA$7,I32,IF($X$6=$AA$8,L32,IF($X$6=$AA$9,O32,IF($X$6=$AA$10,R32,IF($X$6=$AA$11,U32))))))</f>
        <v>1/3</v>
      </c>
    </row>
    <row r="33" spans="1:30" x14ac:dyDescent="0.3">
      <c r="A33" s="1"/>
      <c r="B33" s="1"/>
      <c r="C33" s="1"/>
      <c r="D33" s="1"/>
      <c r="E33" s="1" t="s">
        <v>368</v>
      </c>
      <c r="F33" s="32" t="s">
        <v>416</v>
      </c>
      <c r="H33" s="1">
        <v>2</v>
      </c>
      <c r="I33" s="1" t="s">
        <v>372</v>
      </c>
      <c r="K33" s="1">
        <v>2</v>
      </c>
      <c r="L33" s="1"/>
      <c r="N33" s="2" t="s">
        <v>405</v>
      </c>
      <c r="O33" s="1"/>
      <c r="Q33" s="1">
        <v>2</v>
      </c>
      <c r="R33" s="1" t="s">
        <v>372</v>
      </c>
      <c r="T33" s="1">
        <v>2</v>
      </c>
      <c r="U33" s="1" t="s">
        <v>372</v>
      </c>
      <c r="AC33" t="str">
        <f>IF($X$6=$AA$6,E33,IF($X$6=$AA$7,H33,IF($X$6=$AA$8,K33,IF($X$6=$AA$9,#REF!,IF($X$6=$AA$10,Q33,IF($X$6=$AA$11,T33))))))</f>
        <v>Liberation</v>
      </c>
      <c r="AD33" t="str">
        <f t="shared" ref="AD33:AD34" si="8">IF($X$6=$AA$6,F33,IF($X$6=$AA$7,I33,IF($X$6=$AA$8,L33,IF($X$6=$AA$9,O33,IF($X$6=$AA$10,R33,IF($X$6=$AA$11,U33))))))</f>
        <v>1/3</v>
      </c>
    </row>
    <row r="34" spans="1:30" x14ac:dyDescent="0.3">
      <c r="A34" s="1"/>
      <c r="B34" s="1"/>
      <c r="C34" s="1"/>
      <c r="D34" s="1"/>
      <c r="E34" s="1" t="s">
        <v>370</v>
      </c>
      <c r="F34" s="2">
        <v>0</v>
      </c>
      <c r="G34" s="1"/>
      <c r="H34" s="1">
        <v>3</v>
      </c>
      <c r="I34" s="1" t="s">
        <v>372</v>
      </c>
      <c r="K34" s="1">
        <v>3</v>
      </c>
      <c r="L34" s="1"/>
      <c r="O34" s="1"/>
      <c r="Q34" s="1">
        <v>3</v>
      </c>
      <c r="R34" s="1" t="s">
        <v>372</v>
      </c>
      <c r="T34" s="1">
        <v>3</v>
      </c>
      <c r="U34" s="1" t="s">
        <v>372</v>
      </c>
      <c r="AC34" t="str">
        <f>IF($X$6=$AA$6,E34,IF($X$6=$AA$7,H34,IF($X$6=$AA$8,K34,IF($X$6=$AA$9,#REF!,IF($X$6=$AA$10,Q34,IF($X$6=$AA$11,T34))))))</f>
        <v>Rush</v>
      </c>
      <c r="AD34">
        <f t="shared" si="8"/>
        <v>0</v>
      </c>
    </row>
    <row r="36" spans="1:30" x14ac:dyDescent="0.3">
      <c r="A36" s="1"/>
      <c r="B36" s="1"/>
      <c r="C36" s="1"/>
      <c r="D36" s="1"/>
      <c r="E36" s="1"/>
      <c r="F36" s="1"/>
      <c r="G36" s="1"/>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95025-01FB-4B1A-8820-BF06FED443B6}">
  <dimension ref="B1:FI101"/>
  <sheetViews>
    <sheetView topLeftCell="AT1" zoomScaleNormal="100" workbookViewId="0">
      <selection activeCell="AX13" sqref="AX13"/>
    </sheetView>
  </sheetViews>
  <sheetFormatPr defaultRowHeight="14.4" x14ac:dyDescent="0.3"/>
  <cols>
    <col min="2" max="2" width="12.5546875" style="11" bestFit="1" customWidth="1"/>
    <col min="3" max="3" width="11.33203125" bestFit="1" customWidth="1"/>
    <col min="4" max="7" width="12.77734375" bestFit="1" customWidth="1"/>
    <col min="8" max="8" width="13.33203125" bestFit="1" customWidth="1"/>
    <col min="9" max="9" width="16.109375" bestFit="1" customWidth="1"/>
    <col min="15" max="15" width="8.88671875" style="11"/>
    <col min="16" max="16" width="12.5546875" bestFit="1" customWidth="1"/>
    <col min="17" max="18" width="11.33203125" bestFit="1" customWidth="1"/>
    <col min="19" max="19" width="12.5546875" bestFit="1" customWidth="1"/>
    <col min="20" max="21" width="12.77734375" bestFit="1" customWidth="1"/>
    <col min="22" max="22" width="12.5546875" bestFit="1" customWidth="1"/>
    <col min="23" max="23" width="12.77734375" bestFit="1" customWidth="1"/>
    <col min="25" max="25" width="12.5546875" bestFit="1" customWidth="1"/>
    <col min="26" max="26" width="12.77734375" bestFit="1" customWidth="1"/>
    <col min="28" max="28" width="12.5546875" bestFit="1" customWidth="1"/>
    <col min="29" max="29" width="12.77734375" bestFit="1" customWidth="1"/>
    <col min="31" max="31" width="12.5546875" bestFit="1" customWidth="1"/>
    <col min="32" max="32" width="13.33203125" bestFit="1" customWidth="1"/>
    <col min="36" max="36" width="10.88671875" bestFit="1" customWidth="1"/>
    <col min="37" max="37" width="18.44140625" bestFit="1" customWidth="1"/>
    <col min="39" max="39" width="8.88671875" style="11"/>
    <col min="40" max="40" width="16.88671875" bestFit="1" customWidth="1"/>
    <col min="41" max="41" width="11.33203125" bestFit="1" customWidth="1"/>
    <col min="42" max="45" width="12.77734375" bestFit="1" customWidth="1"/>
    <col min="46" max="46" width="13.33203125" bestFit="1" customWidth="1"/>
    <col min="47" max="47" width="16.109375" bestFit="1" customWidth="1"/>
    <col min="49" max="49" width="17.21875" customWidth="1"/>
    <col min="54" max="54" width="8.88671875" style="11"/>
    <col min="55" max="55" width="22.77734375" bestFit="1" customWidth="1"/>
    <col min="56" max="56" width="11.33203125" bestFit="1" customWidth="1"/>
    <col min="57" max="57" width="12.77734375" bestFit="1" customWidth="1"/>
    <col min="58" max="58" width="16.109375" bestFit="1" customWidth="1"/>
    <col min="59" max="59" width="18.44140625" bestFit="1" customWidth="1"/>
    <col min="60" max="61" width="12.77734375" bestFit="1" customWidth="1"/>
    <col min="62" max="62" width="16.109375" bestFit="1" customWidth="1"/>
    <col min="63" max="63" width="18.44140625" bestFit="1" customWidth="1"/>
    <col min="64" max="64" width="12.77734375" bestFit="1" customWidth="1"/>
    <col min="65" max="65" width="13.33203125" bestFit="1" customWidth="1"/>
    <col min="67" max="67" width="20.5546875" bestFit="1" customWidth="1"/>
    <col min="69" max="69" width="21.77734375" bestFit="1" customWidth="1"/>
    <col min="70" max="70" width="14.88671875" bestFit="1" customWidth="1"/>
    <col min="71" max="72" width="13.88671875" bestFit="1" customWidth="1"/>
    <col min="73" max="73" width="13.21875" bestFit="1" customWidth="1"/>
    <col min="76" max="76" width="13.44140625" bestFit="1" customWidth="1"/>
    <col min="77" max="77" width="22.109375" bestFit="1" customWidth="1"/>
    <col min="79" max="79" width="8.88671875" style="11"/>
    <col min="80" max="80" width="12.5546875" bestFit="1" customWidth="1"/>
    <col min="81" max="81" width="11.33203125" bestFit="1" customWidth="1"/>
    <col min="82" max="82" width="12.77734375" bestFit="1" customWidth="1"/>
    <col min="83" max="83" width="16.109375" bestFit="1" customWidth="1"/>
    <col min="84" max="84" width="12.5546875" bestFit="1" customWidth="1"/>
    <col min="85" max="86" width="12.77734375" bestFit="1" customWidth="1"/>
    <col min="87" max="87" width="16.109375" bestFit="1" customWidth="1"/>
    <col min="88" max="88" width="12.5546875" bestFit="1" customWidth="1"/>
    <col min="89" max="89" width="12.77734375" bestFit="1" customWidth="1"/>
    <col min="90" max="90" width="13.33203125" bestFit="1" customWidth="1"/>
    <col min="92" max="92" width="10.21875" bestFit="1" customWidth="1"/>
    <col min="93" max="93" width="14.44140625" bestFit="1" customWidth="1"/>
    <col min="96" max="96" width="10.33203125" customWidth="1"/>
    <col min="107" max="107" width="8.88671875" style="11"/>
    <col min="108" max="108" width="13.77734375" bestFit="1" customWidth="1"/>
    <col min="109" max="109" width="15.5546875" bestFit="1" customWidth="1"/>
    <col min="110" max="110" width="6.5546875" bestFit="1" customWidth="1"/>
    <col min="111" max="111" width="4.6640625" bestFit="1" customWidth="1"/>
    <col min="113" max="113" width="4" bestFit="1" customWidth="1"/>
    <col min="114" max="114" width="9.21875" bestFit="1" customWidth="1"/>
    <col min="115" max="115" width="10.77734375" bestFit="1" customWidth="1"/>
    <col min="132" max="132" width="8.88671875" style="11"/>
    <col min="133" max="133" width="12.5546875" bestFit="1" customWidth="1"/>
    <col min="134" max="134" width="10.6640625" bestFit="1" customWidth="1"/>
    <col min="135" max="136" width="12.109375" bestFit="1" customWidth="1"/>
    <col min="137" max="137" width="10.77734375" bestFit="1" customWidth="1"/>
    <col min="138" max="138" width="12.5546875" bestFit="1" customWidth="1"/>
    <col min="139" max="139" width="10.6640625" bestFit="1" customWidth="1"/>
    <col min="140" max="140" width="12.109375" bestFit="1" customWidth="1"/>
    <col min="141" max="142" width="12.5546875" bestFit="1" customWidth="1"/>
    <col min="143" max="143" width="10.6640625" bestFit="1" customWidth="1"/>
    <col min="144" max="145" width="12.5546875" bestFit="1" customWidth="1"/>
    <col min="146" max="146" width="12.109375" bestFit="1" customWidth="1"/>
    <col min="148" max="148" width="12.5546875" bestFit="1" customWidth="1"/>
    <col min="149" max="149" width="12.109375" bestFit="1" customWidth="1"/>
    <col min="155" max="155" width="12.5546875" customWidth="1"/>
    <col min="156" max="156" width="10.33203125" bestFit="1" customWidth="1"/>
    <col min="157" max="158" width="11.77734375" bestFit="1" customWidth="1"/>
  </cols>
  <sheetData>
    <row r="1" spans="2:165" x14ac:dyDescent="0.3">
      <c r="B1" s="11" t="s">
        <v>266</v>
      </c>
      <c r="O1" s="11" t="s">
        <v>220</v>
      </c>
      <c r="AM1" s="11" t="s">
        <v>269</v>
      </c>
      <c r="BB1" s="11" t="s">
        <v>317</v>
      </c>
      <c r="CA1" s="11" t="s">
        <v>271</v>
      </c>
      <c r="DC1" s="11" t="s">
        <v>13</v>
      </c>
      <c r="DM1" s="7" t="s">
        <v>358</v>
      </c>
      <c r="EB1" s="11" t="s">
        <v>347</v>
      </c>
      <c r="FI1" t="s">
        <v>270</v>
      </c>
    </row>
    <row r="2" spans="2:165" x14ac:dyDescent="0.3">
      <c r="P2" t="s">
        <v>267</v>
      </c>
      <c r="S2" t="s">
        <v>6</v>
      </c>
      <c r="V2" t="s">
        <v>16</v>
      </c>
      <c r="Y2" t="s">
        <v>16</v>
      </c>
      <c r="AB2" t="s">
        <v>264</v>
      </c>
      <c r="AE2" t="s">
        <v>264</v>
      </c>
      <c r="BO2" t="s">
        <v>329</v>
      </c>
      <c r="DM2" t="str">
        <f ca="1">OFFSET(DM6,Character_selector!AF5,0)</f>
        <v>Total</v>
      </c>
      <c r="DN2" s="29"/>
    </row>
    <row r="3" spans="2:165" x14ac:dyDescent="0.3">
      <c r="B3" s="12" t="s">
        <v>3</v>
      </c>
      <c r="C3" s="7">
        <v>0</v>
      </c>
      <c r="P3" t="s">
        <v>310</v>
      </c>
      <c r="S3" t="s">
        <v>311</v>
      </c>
      <c r="V3" t="s">
        <v>312</v>
      </c>
      <c r="Y3" t="s">
        <v>313</v>
      </c>
      <c r="AB3" t="s">
        <v>314</v>
      </c>
      <c r="AE3" t="s">
        <v>315</v>
      </c>
      <c r="AW3" t="s">
        <v>318</v>
      </c>
      <c r="BQ3" s="23"/>
      <c r="CB3" s="4" t="s">
        <v>3</v>
      </c>
      <c r="CC3" t="s">
        <v>334</v>
      </c>
      <c r="CF3" s="4" t="s">
        <v>3</v>
      </c>
      <c r="CG3" t="s">
        <v>334</v>
      </c>
      <c r="CJ3" s="4" t="s">
        <v>3</v>
      </c>
      <c r="CK3" t="s">
        <v>334</v>
      </c>
      <c r="CN3" t="s">
        <v>342</v>
      </c>
      <c r="CR3" t="s">
        <v>343</v>
      </c>
      <c r="EC3" t="s">
        <v>15</v>
      </c>
      <c r="EL3" t="s">
        <v>352</v>
      </c>
    </row>
    <row r="4" spans="2:165" x14ac:dyDescent="0.3">
      <c r="P4" s="4" t="s">
        <v>3</v>
      </c>
      <c r="Q4" s="7">
        <v>0</v>
      </c>
      <c r="S4" s="4" t="s">
        <v>3</v>
      </c>
      <c r="T4" s="7">
        <v>0</v>
      </c>
      <c r="V4" s="4" t="s">
        <v>3</v>
      </c>
      <c r="W4" s="7">
        <v>0</v>
      </c>
      <c r="Y4" s="4" t="s">
        <v>3</v>
      </c>
      <c r="Z4" s="7">
        <v>0</v>
      </c>
      <c r="AB4" s="4" t="s">
        <v>3</v>
      </c>
      <c r="AC4" s="7">
        <v>0</v>
      </c>
      <c r="AE4" s="4" t="s">
        <v>3</v>
      </c>
      <c r="AF4" s="7">
        <v>0</v>
      </c>
      <c r="AN4" s="4" t="s">
        <v>3</v>
      </c>
      <c r="AO4" s="7">
        <v>0</v>
      </c>
      <c r="BC4" s="4" t="s">
        <v>3</v>
      </c>
      <c r="BD4" s="7">
        <v>0</v>
      </c>
      <c r="BG4" s="4" t="s">
        <v>3</v>
      </c>
      <c r="BH4" s="7">
        <v>0</v>
      </c>
      <c r="BK4" s="4" t="s">
        <v>3</v>
      </c>
      <c r="BL4" s="7">
        <v>0</v>
      </c>
      <c r="CN4" t="s">
        <v>309</v>
      </c>
      <c r="CO4" t="s">
        <v>330</v>
      </c>
      <c r="CP4" t="s">
        <v>333</v>
      </c>
      <c r="CS4" t="s">
        <v>339</v>
      </c>
      <c r="CT4" t="s">
        <v>338</v>
      </c>
      <c r="CU4" t="s">
        <v>340</v>
      </c>
      <c r="CV4" t="s">
        <v>230</v>
      </c>
      <c r="DD4" t="s">
        <v>365</v>
      </c>
      <c r="DM4" t="s">
        <v>362</v>
      </c>
      <c r="DQ4" t="s">
        <v>366</v>
      </c>
      <c r="DU4" t="s">
        <v>357</v>
      </c>
      <c r="DY4" t="s">
        <v>359</v>
      </c>
      <c r="EH4" t="s">
        <v>309</v>
      </c>
      <c r="EI4" t="s">
        <v>15</v>
      </c>
      <c r="EJ4" t="s">
        <v>354</v>
      </c>
    </row>
    <row r="5" spans="2:165" x14ac:dyDescent="0.3">
      <c r="B5" s="12" t="s">
        <v>189</v>
      </c>
      <c r="C5" t="s">
        <v>228</v>
      </c>
      <c r="D5" t="s">
        <v>229</v>
      </c>
      <c r="E5" t="s">
        <v>262</v>
      </c>
      <c r="F5" t="s">
        <v>263</v>
      </c>
      <c r="G5" t="s">
        <v>268</v>
      </c>
      <c r="H5" t="s">
        <v>265</v>
      </c>
      <c r="I5" t="s">
        <v>219</v>
      </c>
      <c r="K5" t="s">
        <v>309</v>
      </c>
      <c r="L5" t="s">
        <v>308</v>
      </c>
      <c r="BP5" t="s">
        <v>325</v>
      </c>
      <c r="BQ5" t="s">
        <v>323</v>
      </c>
      <c r="CB5" s="4" t="s">
        <v>189</v>
      </c>
      <c r="CC5" t="s">
        <v>228</v>
      </c>
      <c r="CD5" t="s">
        <v>229</v>
      </c>
      <c r="CF5" s="4" t="s">
        <v>189</v>
      </c>
      <c r="CG5" t="s">
        <v>262</v>
      </c>
      <c r="CH5" t="s">
        <v>263</v>
      </c>
      <c r="CJ5" s="4" t="s">
        <v>189</v>
      </c>
      <c r="CK5" t="s">
        <v>268</v>
      </c>
      <c r="CL5" t="s">
        <v>265</v>
      </c>
      <c r="CN5" s="7" t="s">
        <v>26</v>
      </c>
      <c r="CO5">
        <f>IFERROR(GETPIVOTDATA("Sum of Dmg",$CB$5,"Target ","Angatparul"),0)+IFERROR(GETPIVOTDATA("Sum of Dmg 2",$CB$5,"Target ","Angatparul"),0)+IFERROR(GETPIVOTDATA("Sum of Dmg 3",$CF$5,"Target 2","Angatparul"),0)+IFERROR(GETPIVOTDATA("Sum of Dmg 4",$CF$5,"Target 2","Angatparul"),0)+IFERROR(GETPIVOTDATA("Sum of Dmg 5",$CJ$5,"Target 3","Angatparul"),0)+IFERROR(GETPIVOTDATA("Sum of Dmg  6",$CJ$5,"Target 3","Angatparul"),0)</f>
        <v>257</v>
      </c>
      <c r="CP5" s="26">
        <f t="shared" ref="CP5:CP11" si="0">CO5/$CO$11</f>
        <v>0.20300157977883096</v>
      </c>
      <c r="CR5" t="s">
        <v>26</v>
      </c>
      <c r="CS5">
        <f>CO38</f>
        <v>131</v>
      </c>
      <c r="CT5">
        <f>CO27</f>
        <v>120</v>
      </c>
      <c r="CU5">
        <f>CO16</f>
        <v>0</v>
      </c>
      <c r="CV5">
        <f>CO5</f>
        <v>257</v>
      </c>
      <c r="DE5" s="25" t="s">
        <v>26</v>
      </c>
      <c r="DF5" s="25" t="s">
        <v>97</v>
      </c>
      <c r="DG5" s="25" t="s">
        <v>23</v>
      </c>
      <c r="DH5" s="25" t="s">
        <v>34</v>
      </c>
      <c r="DI5" s="25" t="s">
        <v>31</v>
      </c>
      <c r="DJ5" s="25" t="s">
        <v>102</v>
      </c>
      <c r="DM5" t="s">
        <v>309</v>
      </c>
      <c r="DN5" t="s">
        <v>13</v>
      </c>
      <c r="DP5" t="s">
        <v>360</v>
      </c>
      <c r="DQ5" t="s">
        <v>309</v>
      </c>
      <c r="DR5" t="s">
        <v>13</v>
      </c>
      <c r="DS5" t="s">
        <v>361</v>
      </c>
      <c r="EC5" s="4" t="s">
        <v>189</v>
      </c>
      <c r="ED5" t="s">
        <v>349</v>
      </c>
      <c r="EE5" t="s">
        <v>350</v>
      </c>
      <c r="EF5" t="s">
        <v>351</v>
      </c>
      <c r="EH5" s="7" t="s">
        <v>26</v>
      </c>
      <c r="EI5">
        <f>GETPIVOTDATA("Sum of Kills",$EC$5,"Character name","Angatparul")+GETPIVOTDATA("Sum of Kills 2",$EC$5,"Character name","Angatparul")+GETPIVOTDATA("Sum of Kills 3",$EC$5,"Character name","Angatparul")</f>
        <v>18</v>
      </c>
      <c r="EJ5">
        <f ca="1">OFFSET(EI5,Character_selector!AF5,0)</f>
        <v>53</v>
      </c>
      <c r="EK5" t="str">
        <f>IF(Combat2!U6=Combat2!EH5,Combat2!EI5,"")</f>
        <v/>
      </c>
      <c r="EL5" s="4" t="s">
        <v>189</v>
      </c>
      <c r="EM5" t="s">
        <v>349</v>
      </c>
      <c r="EO5" s="4" t="s">
        <v>189</v>
      </c>
      <c r="EP5" t="s">
        <v>350</v>
      </c>
      <c r="ER5" s="4" t="s">
        <v>189</v>
      </c>
      <c r="ES5" t="s">
        <v>351</v>
      </c>
      <c r="EU5" t="s">
        <v>309</v>
      </c>
      <c r="EV5" t="s">
        <v>352</v>
      </c>
      <c r="EW5" t="s">
        <v>354</v>
      </c>
      <c r="EY5" s="4" t="s">
        <v>189</v>
      </c>
      <c r="EZ5" t="s">
        <v>392</v>
      </c>
      <c r="FA5" t="s">
        <v>393</v>
      </c>
      <c r="FB5" t="s">
        <v>391</v>
      </c>
      <c r="FD5" t="s">
        <v>309</v>
      </c>
      <c r="FE5" t="s">
        <v>355</v>
      </c>
      <c r="FF5" t="s">
        <v>354</v>
      </c>
    </row>
    <row r="6" spans="2:165" x14ac:dyDescent="0.3">
      <c r="B6" s="13" t="s">
        <v>26</v>
      </c>
      <c r="C6" s="5">
        <v>353</v>
      </c>
      <c r="D6" s="5">
        <v>49</v>
      </c>
      <c r="E6" s="5">
        <v>233</v>
      </c>
      <c r="F6" s="5"/>
      <c r="G6" s="5">
        <v>110</v>
      </c>
      <c r="H6" s="5"/>
      <c r="I6" s="5">
        <v>745</v>
      </c>
      <c r="K6" s="7" t="s">
        <v>26</v>
      </c>
      <c r="L6">
        <f>IFERROR(GETPIVOTDATA("Sum of Total Dmg",$B$5,"Character name","Angatparul"),0)</f>
        <v>745</v>
      </c>
      <c r="P6" s="4" t="s">
        <v>189</v>
      </c>
      <c r="Q6" t="s">
        <v>228</v>
      </c>
      <c r="S6" s="4" t="s">
        <v>189</v>
      </c>
      <c r="T6" t="s">
        <v>229</v>
      </c>
      <c r="V6" s="4" t="s">
        <v>189</v>
      </c>
      <c r="W6" t="s">
        <v>262</v>
      </c>
      <c r="Y6" s="4" t="s">
        <v>189</v>
      </c>
      <c r="Z6" t="s">
        <v>263</v>
      </c>
      <c r="AB6" s="4" t="s">
        <v>189</v>
      </c>
      <c r="AC6" t="s">
        <v>268</v>
      </c>
      <c r="AE6" s="4" t="s">
        <v>189</v>
      </c>
      <c r="AF6" t="s">
        <v>265</v>
      </c>
      <c r="AH6" s="20" t="s">
        <v>230</v>
      </c>
      <c r="AI6" s="21" t="s">
        <v>224</v>
      </c>
      <c r="AJ6" s="21" t="s">
        <v>220</v>
      </c>
      <c r="AK6" s="22" t="s">
        <v>221</v>
      </c>
      <c r="AN6" s="4" t="s">
        <v>189</v>
      </c>
      <c r="AO6" t="s">
        <v>228</v>
      </c>
      <c r="AP6" t="s">
        <v>229</v>
      </c>
      <c r="AQ6" t="s">
        <v>262</v>
      </c>
      <c r="AR6" t="s">
        <v>263</v>
      </c>
      <c r="AS6" t="s">
        <v>268</v>
      </c>
      <c r="AT6" t="s">
        <v>265</v>
      </c>
      <c r="AU6" t="s">
        <v>219</v>
      </c>
      <c r="AW6" t="s">
        <v>20</v>
      </c>
      <c r="AX6" t="s">
        <v>226</v>
      </c>
      <c r="AY6" t="s">
        <v>227</v>
      </c>
      <c r="AZ6" t="s">
        <v>11</v>
      </c>
      <c r="BC6" s="4" t="s">
        <v>189</v>
      </c>
      <c r="BD6" t="s">
        <v>228</v>
      </c>
      <c r="BE6" t="s">
        <v>229</v>
      </c>
      <c r="BG6" s="4" t="s">
        <v>189</v>
      </c>
      <c r="BH6" t="s">
        <v>262</v>
      </c>
      <c r="BI6" t="s">
        <v>263</v>
      </c>
      <c r="BK6" s="4" t="s">
        <v>189</v>
      </c>
      <c r="BL6" t="s">
        <v>268</v>
      </c>
      <c r="BM6" t="s">
        <v>265</v>
      </c>
      <c r="BO6" t="s">
        <v>319</v>
      </c>
      <c r="BP6">
        <v>0</v>
      </c>
      <c r="BQ6" t="s">
        <v>322</v>
      </c>
      <c r="BR6" t="s">
        <v>324</v>
      </c>
      <c r="BU6" t="s">
        <v>326</v>
      </c>
      <c r="BV6" t="s">
        <v>11</v>
      </c>
      <c r="BX6" t="s">
        <v>328</v>
      </c>
      <c r="BY6" t="s">
        <v>327</v>
      </c>
      <c r="CB6" s="7" t="s">
        <v>26</v>
      </c>
      <c r="CC6" s="5">
        <v>179</v>
      </c>
      <c r="CD6" s="5">
        <v>5</v>
      </c>
      <c r="CF6" s="7" t="s">
        <v>26</v>
      </c>
      <c r="CG6" s="5">
        <v>70</v>
      </c>
      <c r="CH6" s="5">
        <v>1</v>
      </c>
      <c r="CJ6" s="7" t="s">
        <v>26</v>
      </c>
      <c r="CK6" s="5">
        <v>1</v>
      </c>
      <c r="CL6" s="5">
        <v>1</v>
      </c>
      <c r="CN6" s="7" t="s">
        <v>97</v>
      </c>
      <c r="CO6">
        <f>IFERROR(GETPIVOTDATA("Sum of Dmg",$CB$5,"Target ","Arthus"),0)+IFERROR(GETPIVOTDATA("Sum of Dmg 2",$CB$5,"Target ","Arthus"),0)+IFERROR(GETPIVOTDATA("Sum of Dmg 3",$CF$5,"Target 2","Arthus"),0)+IFERROR(GETPIVOTDATA("Sum of Dmg 4",$CF$5,"Target 2","Arthus"),0)+IFERROR(GETPIVOTDATA("Sum of Dmg 5",$CJ$5,"Target 3","Arthus"),0)+IFERROR(GETPIVOTDATA("Sum of Dmg  6",$CJ$5,"Target 3","Arthus"),0)</f>
        <v>181</v>
      </c>
      <c r="CP6" s="26">
        <f t="shared" si="0"/>
        <v>0.14296998420221169</v>
      </c>
      <c r="CR6" s="7" t="s">
        <v>97</v>
      </c>
      <c r="CS6">
        <f t="shared" ref="CS6:CS10" si="1">CO39</f>
        <v>81</v>
      </c>
      <c r="CT6">
        <f>CO28</f>
        <v>64</v>
      </c>
      <c r="CU6">
        <f t="shared" ref="CU6:CU10" si="2">CO17</f>
        <v>29</v>
      </c>
      <c r="CV6">
        <f t="shared" ref="CV6:CV10" si="3">CO6</f>
        <v>181</v>
      </c>
      <c r="DD6" s="7" t="s">
        <v>26</v>
      </c>
      <c r="DE6" cm="1">
        <f t="array" ref="DE6:DK6">DE17:DK17+DE27:DK27+DE37:DK37</f>
        <v>3</v>
      </c>
      <c r="DF6">
        <v>0</v>
      </c>
      <c r="DG6">
        <v>0</v>
      </c>
      <c r="DH6">
        <v>0</v>
      </c>
      <c r="DI6">
        <v>0</v>
      </c>
      <c r="DJ6">
        <v>0</v>
      </c>
      <c r="DK6">
        <v>3</v>
      </c>
      <c r="DM6" s="7" t="s">
        <v>26</v>
      </c>
      <c r="DN6">
        <f ca="1">OFFSET(DE6,Character_selector!$AF$5,0)</f>
        <v>173</v>
      </c>
      <c r="DP6">
        <f ca="1">IF(DR6&lt;&gt;FALSE,DP4+1,DP4)</f>
        <v>1</v>
      </c>
      <c r="DQ6" t="str">
        <f t="shared" ref="DQ6:DQ12" ca="1" si="4">IF($DM$2&lt;&gt;DM6,DM6)</f>
        <v>Angatparul</v>
      </c>
      <c r="DR6">
        <f t="shared" ref="DR6:DR12" ca="1" si="5">IF($DM$2&lt;&gt;DM6,DN6)</f>
        <v>173</v>
      </c>
      <c r="DS6">
        <f t="shared" ref="DS6:DS12" ca="1" si="6">DP6+1</f>
        <v>2</v>
      </c>
      <c r="DU6">
        <v>1</v>
      </c>
      <c r="DV6" t="str" cm="1">
        <f t="array" aca="1" ref="DV6" ca="1">IFERROR(VLOOKUP(DW6,IF({1,0},OFFSET($DR$6,0,0,COUNT($DR$6:$DR$11+1),1),OFFSET($DQ$6,0,0,COUNT($DR$6:$DR$11+1),1)),2,0),"")</f>
        <v>Angatparul</v>
      </c>
      <c r="DW6">
        <f ca="1">IF(LARGE($DR$6:$DR$11,DU6)=0,"",LARGE($DR$6:$DR$11,DU6))</f>
        <v>173</v>
      </c>
      <c r="DY6" t="str">
        <f ca="1">OFFSET(DM5,VLOOKUP(FALSE,DQ6:DS12,3,0),0)</f>
        <v>Total</v>
      </c>
      <c r="DZ6">
        <f ca="1">OFFSET(DN5,VLOOKUP(FALSE,DQ6:DS12,3,0),0)</f>
        <v>299</v>
      </c>
      <c r="EC6" s="7" t="s">
        <v>26</v>
      </c>
      <c r="ED6" s="5">
        <v>5</v>
      </c>
      <c r="EE6" s="5">
        <v>10</v>
      </c>
      <c r="EF6" s="5">
        <v>3</v>
      </c>
      <c r="EH6" s="7" t="s">
        <v>97</v>
      </c>
      <c r="EI6">
        <f>GETPIVOTDATA("Sum of Kills",$EC$5,"Character name","Arthus")+GETPIVOTDATA("Sum of Kills 2",$EC$5,"Character name","Arthus")+GETPIVOTDATA("Sum of Kills 3",$EC$5,"Character name","Arthus")</f>
        <v>7</v>
      </c>
      <c r="EL6" s="7" t="s">
        <v>26</v>
      </c>
      <c r="EM6" s="5"/>
      <c r="EO6" s="7" t="s">
        <v>26</v>
      </c>
      <c r="EP6" s="5">
        <v>2</v>
      </c>
      <c r="ER6" s="7" t="s">
        <v>26</v>
      </c>
      <c r="ES6" s="5"/>
      <c r="EU6" s="7" t="s">
        <v>26</v>
      </c>
      <c r="EV6">
        <f>GETPIVOTDATA("Kills",$EL$5,"Target ","Angatparul")+GETPIVOTDATA("Kills 2",$EO$5,"Target 2","Angatparul")+GETPIVOTDATA("Kills 3",$ER$5,"Target 3","Angatparul")</f>
        <v>2</v>
      </c>
      <c r="EW6">
        <f ca="1">OFFSET(EV6,Character_selector!AF5,0)</f>
        <v>8</v>
      </c>
      <c r="EY6" s="7" t="s">
        <v>26</v>
      </c>
      <c r="EZ6" s="5">
        <v>2</v>
      </c>
      <c r="FA6" s="5">
        <v>1</v>
      </c>
      <c r="FB6" s="5"/>
      <c r="FD6" s="7" t="s">
        <v>26</v>
      </c>
      <c r="FE6">
        <f>GETPIVOTDATA("Sum of Crit",$EY$5,"Character name","Angatparul")+GETPIVOTDATA("Sum of Crit 2",$EY$5,"Character name","Angatparul")+GETPIVOTDATA("Sum of Crit 3",$EY$5,"Character name","Angatparul")</f>
        <v>3</v>
      </c>
      <c r="FF6">
        <f ca="1">OFFSET(FE6,Character_selector!AF5,0)</f>
        <v>18</v>
      </c>
    </row>
    <row r="7" spans="2:165" x14ac:dyDescent="0.3">
      <c r="B7" s="13" t="s">
        <v>97</v>
      </c>
      <c r="C7" s="5">
        <v>173</v>
      </c>
      <c r="D7" s="5">
        <v>66</v>
      </c>
      <c r="E7" s="5">
        <v>84</v>
      </c>
      <c r="F7" s="5"/>
      <c r="G7" s="5">
        <v>65</v>
      </c>
      <c r="H7" s="5"/>
      <c r="I7" s="5">
        <v>388</v>
      </c>
      <c r="K7" s="7" t="s">
        <v>97</v>
      </c>
      <c r="L7">
        <f>IFERROR(GETPIVOTDATA("Sum of Total Dmg",$B$5,"Character name","Arthus"),0)</f>
        <v>388</v>
      </c>
      <c r="P7" s="7" t="s">
        <v>316</v>
      </c>
      <c r="Q7" s="5">
        <v>452</v>
      </c>
      <c r="S7" s="7" t="s">
        <v>316</v>
      </c>
      <c r="T7" s="5">
        <v>87</v>
      </c>
      <c r="V7" s="7" t="s">
        <v>316</v>
      </c>
      <c r="W7" s="5">
        <v>294</v>
      </c>
      <c r="Y7" s="7" t="s">
        <v>316</v>
      </c>
      <c r="Z7" s="5">
        <v>38</v>
      </c>
      <c r="AB7" s="7" t="s">
        <v>316</v>
      </c>
      <c r="AC7" s="5">
        <v>165</v>
      </c>
      <c r="AE7" s="7" t="s">
        <v>190</v>
      </c>
      <c r="AF7" s="5"/>
      <c r="AH7" s="15">
        <f>SUM(AK7:AK9)</f>
        <v>2409</v>
      </c>
      <c r="AI7" s="16" t="s">
        <v>222</v>
      </c>
      <c r="AJ7" s="16" t="s">
        <v>316</v>
      </c>
      <c r="AK7" s="17">
        <f>IFERROR(GETPIVOTDATA("Dmg",$P$6,"Dmg type","Bludgeoning"),0)+IFERROR(GETPIVOTDATA("Dmg 2",$S$6,"Dmg type 2","Bludgeoning"),0)+IFERROR(GETPIVOTDATA("Dmg 3",$V$6,"Dmg type 3","Bludgeoning"),0)+IFERROR(GETPIVOTDATA("Dmg 4",$Y$6,"Dmg type 4","Bludgeoning"),0)+IFERROR(GETPIVOTDATA("Dmg 5",$AB$6,"Dmg type 5","Bludgeoning"),0)+IFERROR(GETPIVOTDATA("Dmg  6",$AE$6,"Dmg type 6","Bludgeoning"),0)</f>
        <v>1036</v>
      </c>
      <c r="AN7" s="7" t="s">
        <v>277</v>
      </c>
      <c r="AO7" s="5">
        <v>203</v>
      </c>
      <c r="AP7" s="5">
        <v>74</v>
      </c>
      <c r="AQ7" s="5">
        <v>52</v>
      </c>
      <c r="AR7" s="5"/>
      <c r="AS7" s="5">
        <v>122</v>
      </c>
      <c r="AT7" s="5"/>
      <c r="AU7" s="5">
        <v>451</v>
      </c>
      <c r="AW7" s="7" t="s">
        <v>277</v>
      </c>
      <c r="AX7">
        <v>1.5</v>
      </c>
      <c r="AY7">
        <v>8.6999999999999993</v>
      </c>
      <c r="AZ7">
        <f>GETPIVOTDATA("Sum of Total Dmg",$AN$6,"Location",AW7)</f>
        <v>451</v>
      </c>
      <c r="BC7" s="7" t="s">
        <v>64</v>
      </c>
      <c r="BD7" s="5">
        <v>0</v>
      </c>
      <c r="BE7" s="5"/>
      <c r="BG7" s="7" t="s">
        <v>165</v>
      </c>
      <c r="BH7" s="5">
        <v>40</v>
      </c>
      <c r="BI7" s="5">
        <v>9</v>
      </c>
      <c r="BK7" s="7" t="s">
        <v>165</v>
      </c>
      <c r="BL7" s="5">
        <v>29</v>
      </c>
      <c r="BM7" s="5"/>
      <c r="BO7" t="str">
        <f>IF(OR(ISBLANK(BC7),(BC7)="Grand Total"),"",BC7)</f>
        <v>Aid</v>
      </c>
      <c r="BP7">
        <f>IF(BR7=0,BP6,BP6+1)</f>
        <v>0</v>
      </c>
      <c r="BQ7" s="7" t="str" cm="1">
        <f t="array" ref="BQ7:BQ57">_xlfn.UNIQUE(BO7:BO100)</f>
        <v>Aid</v>
      </c>
      <c r="BR7">
        <f t="shared" ref="BR7:BR42" si="7">IFERROR(VLOOKUP(BQ7,$BC$7:$BE$70,2,FALSE),0)+IFERROR(VLOOKUP(BQ7,$BC$7:$BE$70,3,FALSE),0)+IFERROR(VLOOKUP(BQ7,$BG$7:$BI$70,2,FALSE),0)+IFERROR(VLOOKUP(BQ7,$BG$7:$BI$70,3,FALSE),0)+IFERROR(VLOOKUP(BQ7,$BK$7:$BM$70,2,FALSE),0)+IFERROR(VLOOKUP(BQ7,$BK$7:$BM$70,3,FALSE),0)</f>
        <v>0</v>
      </c>
      <c r="BT7">
        <v>1</v>
      </c>
      <c r="BU7" t="str">
        <f>IFERROR(VLOOKUP(BT7,$BP$5:$BR$71,2,0),"")</f>
        <v>Bling knuckles</v>
      </c>
      <c r="BV7">
        <f>IFERROR(VLOOKUP(BT7,$BP$5:$BR$71,3,0),"")</f>
        <v>178</v>
      </c>
      <c r="BX7" s="24" t="str">
        <f ca="1">VLOOKUP(BY7,IF({1,0},OFFSET(Combat2!$BV$7,0,0,COUNT(Combat2!$BV$7:$BV$46),1),OFFSET(Combat2!$BU$7,0,0,COUNT(Combat2!$BV$7:$BV$46),1)),2,0)</f>
        <v>Pike</v>
      </c>
      <c r="BY7">
        <f ca="1">LARGE(OFFSET(Combat2!$BV$7,0,0,COUNT(Combat2!$BV$7:$BV$46),1), ROWS(BU$7:BU7))</f>
        <v>523</v>
      </c>
      <c r="CB7" s="7" t="s">
        <v>97</v>
      </c>
      <c r="CC7" s="5">
        <v>95</v>
      </c>
      <c r="CD7" s="5">
        <v>1</v>
      </c>
      <c r="CF7" s="7" t="s">
        <v>97</v>
      </c>
      <c r="CG7" s="5">
        <v>19</v>
      </c>
      <c r="CH7" s="5">
        <v>1</v>
      </c>
      <c r="CJ7" s="7" t="s">
        <v>97</v>
      </c>
      <c r="CK7" s="5">
        <v>64</v>
      </c>
      <c r="CL7" s="5">
        <v>1</v>
      </c>
      <c r="CN7" s="7" t="s">
        <v>23</v>
      </c>
      <c r="CO7">
        <f>IFERROR(GETPIVOTDATA("Sum of Dmg",$CB$5,"Target ","Bylo"),0)+IFERROR(GETPIVOTDATA("Sum of Dmg 2",$CB$5,"Target ","Bylo"),0)+IFERROR(GETPIVOTDATA("Sum of Dmg 3",$CF$5,"Target 2","Bylo"),0)+IFERROR(GETPIVOTDATA("Sum of Dmg 4",$CF$5,"Target 2","Bylo"),0)+IFERROR(GETPIVOTDATA("Sum of Dmg 5",$CJ$5,"Target 3","Bylo"),0)+IFERROR(GETPIVOTDATA("Sum of Dmg  6",$CJ$5,"Target 3","Bylo"),0)</f>
        <v>299</v>
      </c>
      <c r="CP7" s="26">
        <f t="shared" si="0"/>
        <v>0.23617693522906794</v>
      </c>
      <c r="CR7" s="7" t="s">
        <v>23</v>
      </c>
      <c r="CS7">
        <f t="shared" si="1"/>
        <v>42</v>
      </c>
      <c r="CT7">
        <f t="shared" ref="CT7:CT10" si="8">CO29</f>
        <v>127</v>
      </c>
      <c r="CU7">
        <f t="shared" si="2"/>
        <v>124</v>
      </c>
      <c r="CV7">
        <f t="shared" si="3"/>
        <v>299</v>
      </c>
      <c r="DD7" s="7" t="s">
        <v>97</v>
      </c>
      <c r="DE7" cm="1">
        <f t="array" ref="DE7:DK7">DE18:DK18+DE28:DK28+DE38:DK38</f>
        <v>14</v>
      </c>
      <c r="DF7">
        <v>28</v>
      </c>
      <c r="DG7">
        <v>0</v>
      </c>
      <c r="DH7">
        <v>0</v>
      </c>
      <c r="DI7">
        <v>10</v>
      </c>
      <c r="DJ7">
        <v>0</v>
      </c>
      <c r="DK7">
        <v>52</v>
      </c>
      <c r="DM7" s="7" t="s">
        <v>97</v>
      </c>
      <c r="DN7">
        <f ca="1">OFFSET(DF6,Character_selector!$AF$5,0)</f>
        <v>86</v>
      </c>
      <c r="DP7">
        <f t="shared" ref="DP7:DP12" ca="1" si="9">IF(DR7&lt;&gt;FALSE,DP6+1,DP6)</f>
        <v>2</v>
      </c>
      <c r="DQ7" t="str">
        <f t="shared" ca="1" si="4"/>
        <v>Arthus</v>
      </c>
      <c r="DR7">
        <f t="shared" ca="1" si="5"/>
        <v>86</v>
      </c>
      <c r="DS7">
        <f t="shared" ca="1" si="6"/>
        <v>3</v>
      </c>
      <c r="DU7">
        <v>2</v>
      </c>
      <c r="DV7" t="str" cm="1">
        <f t="array" aca="1" ref="DV7" ca="1">IFERROR(VLOOKUP(DW7,IF({1,0},OFFSET($DR$6,0,0,COUNT($DR$6:$DR$11+1),1),OFFSET($DQ$6,0,0,COUNT($DR$6:$DR$11+1),1)),2,0),"")</f>
        <v>Bylo</v>
      </c>
      <c r="DW7">
        <f ca="1">IF(LARGE($DR$6:$DR$11,DU7)=0,"",LARGE($DR$6:$DR$11,DU7))</f>
        <v>147</v>
      </c>
      <c r="EC7" s="7" t="s">
        <v>97</v>
      </c>
      <c r="ED7" s="5">
        <v>4</v>
      </c>
      <c r="EE7" s="5">
        <v>3</v>
      </c>
      <c r="EF7" s="5"/>
      <c r="EH7" s="7" t="s">
        <v>23</v>
      </c>
      <c r="EI7">
        <f>GETPIVOTDATA("Sum of Kills",$EC$5,"Character name","Bylo")+GETPIVOTDATA("Sum of Kills 2",$EC$5,"Character name","Bylo")+GETPIVOTDATA("Sum of Kills 3",$EC$5,"Character name","Bylo")</f>
        <v>5</v>
      </c>
      <c r="EL7" s="7" t="s">
        <v>97</v>
      </c>
      <c r="EM7" s="5">
        <v>1</v>
      </c>
      <c r="EO7" s="7" t="s">
        <v>97</v>
      </c>
      <c r="EP7" s="5"/>
      <c r="ER7" s="7" t="s">
        <v>97</v>
      </c>
      <c r="ES7" s="5">
        <v>1</v>
      </c>
      <c r="EU7" s="7" t="s">
        <v>97</v>
      </c>
      <c r="EV7">
        <f>GETPIVOTDATA("Kills",$EL$5,"Target ","Arthus")+GETPIVOTDATA("Kills 2",$EO$5,"Target 2","Arthus")+GETPIVOTDATA("Kills 3",$ER$5,"Target 3","Arthus")</f>
        <v>2</v>
      </c>
      <c r="EY7" s="7" t="s">
        <v>97</v>
      </c>
      <c r="EZ7" s="5">
        <v>4</v>
      </c>
      <c r="FA7" s="5"/>
      <c r="FB7" s="5"/>
      <c r="FD7" s="7" t="s">
        <v>97</v>
      </c>
      <c r="FE7">
        <f>GETPIVOTDATA("Sum of Crit",$EY$5,"Character name","Arthus")+GETPIVOTDATA("Sum of Crit 2",$EY$5,"Character name","Arthus")+GETPIVOTDATA("Sum of Crit 3",$EY$5,"Character name","Arthus")</f>
        <v>4</v>
      </c>
    </row>
    <row r="8" spans="2:165" x14ac:dyDescent="0.3">
      <c r="B8" s="13" t="s">
        <v>23</v>
      </c>
      <c r="C8" s="5">
        <v>185</v>
      </c>
      <c r="D8" s="5"/>
      <c r="E8" s="5">
        <v>9</v>
      </c>
      <c r="F8" s="5"/>
      <c r="G8" s="5">
        <v>16</v>
      </c>
      <c r="H8" s="5"/>
      <c r="I8" s="5">
        <v>210</v>
      </c>
      <c r="K8" s="7" t="s">
        <v>23</v>
      </c>
      <c r="L8">
        <f>IFERROR(GETPIVOTDATA("Sum of Total Dmg",$B$5,"Character name","Bylo"),0)</f>
        <v>210</v>
      </c>
      <c r="P8" s="7" t="s">
        <v>296</v>
      </c>
      <c r="Q8" s="5">
        <v>13</v>
      </c>
      <c r="S8" s="7" t="s">
        <v>38</v>
      </c>
      <c r="T8" s="5">
        <v>30</v>
      </c>
      <c r="V8" s="7" t="s">
        <v>123</v>
      </c>
      <c r="W8" s="5">
        <v>9</v>
      </c>
      <c r="Y8" s="7" t="s">
        <v>190</v>
      </c>
      <c r="Z8" s="5"/>
      <c r="AB8" s="7" t="s">
        <v>38</v>
      </c>
      <c r="AC8" s="5">
        <v>90</v>
      </c>
      <c r="AE8" s="7" t="s">
        <v>191</v>
      </c>
      <c r="AF8" s="5"/>
      <c r="AH8" s="18" t="str">
        <f>AH7&amp; " Dmg"</f>
        <v>2409 Dmg</v>
      </c>
      <c r="AI8" s="19"/>
      <c r="AJ8" s="19" t="s">
        <v>38</v>
      </c>
      <c r="AK8" s="17">
        <f>IFERROR(GETPIVOTDATA("Dmg",$P$6,"Dmg type","Piercing"),0)+IFERROR(GETPIVOTDATA("Dmg 2",$S$6,"Dmg type 2","Piercing"),0)+IFERROR(GETPIVOTDATA("Dmg 3",$V$6,"Dmg type 3","Piercing"),0)+IFERROR(GETPIVOTDATA("Dmg 4",$Y$6,"Dmg type 4","Piercing"),0)+IFERROR(GETPIVOTDATA("Dmg 5",$AB$6,"Dmg type 5","Piercing"),0)+IFERROR(GETPIVOTDATA("Dmg  6",$AE$6,"Dmg type 6","Piercing"),0)</f>
        <v>1093</v>
      </c>
      <c r="AN8" s="7" t="s">
        <v>225</v>
      </c>
      <c r="AO8" s="5">
        <v>772</v>
      </c>
      <c r="AP8" s="5">
        <v>77</v>
      </c>
      <c r="AQ8" s="5">
        <v>467</v>
      </c>
      <c r="AR8" s="5">
        <v>17</v>
      </c>
      <c r="AS8" s="5">
        <v>122</v>
      </c>
      <c r="AT8" s="5"/>
      <c r="AU8" s="5">
        <v>1455</v>
      </c>
      <c r="AW8" s="7" t="s">
        <v>225</v>
      </c>
      <c r="AX8">
        <v>2</v>
      </c>
      <c r="AY8">
        <v>7.5</v>
      </c>
      <c r="AZ8">
        <f t="shared" ref="AZ8:AZ10" si="10">GETPIVOTDATA("Sum of Total Dmg",$AN$6,"Location",AW8)</f>
        <v>1455</v>
      </c>
      <c r="BC8" s="7" t="s">
        <v>165</v>
      </c>
      <c r="BD8" s="5">
        <v>100</v>
      </c>
      <c r="BE8" s="5"/>
      <c r="BG8" s="7" t="s">
        <v>84</v>
      </c>
      <c r="BH8" s="5">
        <v>35</v>
      </c>
      <c r="BI8" s="5"/>
      <c r="BK8" s="7" t="s">
        <v>66</v>
      </c>
      <c r="BL8" s="5"/>
      <c r="BM8" s="5"/>
      <c r="BO8" t="str">
        <f t="shared" ref="BO8:BO43" si="11">IF(OR(ISBLANK(BC8),(BC8)="Grand Total"),"",BC8)</f>
        <v>Bling knuckles</v>
      </c>
      <c r="BP8">
        <f>IF(BR8=0,BP7,BP7+1)</f>
        <v>1</v>
      </c>
      <c r="BQ8" s="7" t="str">
        <v>Bling knuckles</v>
      </c>
      <c r="BR8">
        <f t="shared" si="7"/>
        <v>178</v>
      </c>
      <c r="BT8">
        <v>2</v>
      </c>
      <c r="BU8" t="str">
        <f>IFERROR(VLOOKUP(BT8,$BP$5:$BR$71,2,0),"")</f>
        <v>Bottle</v>
      </c>
      <c r="BV8">
        <f>IFERROR(VLOOKUP(BT8,$BP$5:$BR$71,3,0),"")</f>
        <v>12</v>
      </c>
      <c r="BX8" s="24" t="str">
        <f ca="1">VLOOKUP(BY8,IF({1,0},OFFSET(Combat2!$BV$7,0,0,COUNT(Combat2!$BV$7:$BV$46),1),OFFSET(Combat2!$BU$7,0,0,COUNT(Combat2!$BV$7:$BV$46),1)),2,0)</f>
        <v>Monk unarmed strike</v>
      </c>
      <c r="BY8">
        <f ca="1">LARGE(OFFSET(Combat2!$BV$7,0,0,COUNT(Combat2!$BV$7:$BV$46),1), ROWS(BU$7:BU8))</f>
        <v>358</v>
      </c>
      <c r="CB8" s="7" t="s">
        <v>23</v>
      </c>
      <c r="CC8" s="5">
        <v>128</v>
      </c>
      <c r="CD8" s="5">
        <v>81</v>
      </c>
      <c r="CF8" s="7" t="s">
        <v>23</v>
      </c>
      <c r="CG8" s="5">
        <v>87</v>
      </c>
      <c r="CH8" s="5">
        <v>1</v>
      </c>
      <c r="CJ8" s="7" t="s">
        <v>23</v>
      </c>
      <c r="CK8" s="5">
        <v>1</v>
      </c>
      <c r="CL8" s="5">
        <v>1</v>
      </c>
      <c r="CN8" s="7" t="s">
        <v>34</v>
      </c>
      <c r="CO8">
        <f>IFERROR(GETPIVOTDATA("Sum of Dmg",$CB$5,"Target ","Ciri Ruple"),0)+IFERROR(GETPIVOTDATA("Sum of Dmg 2",$CB$5,"Target ","Ciri Ruple"),0)+IFERROR(GETPIVOTDATA("Sum of Dmg 3",$CF$5,"Target 2","Ciri Ruple"),0)+IFERROR(GETPIVOTDATA("Sum of Dmg 4",$CF$5,"Target 2","Ciri Ruple"),0)+IFERROR(GETPIVOTDATA("Sum of Dmg 5",$CJ$5,"Target 3","Ciri Ruple"),0)+IFERROR(GETPIVOTDATA("Sum of Dmg  6",$CJ$5,"Target 3","Ciri Ruple"),0)</f>
        <v>148</v>
      </c>
      <c r="CP8" s="26">
        <f t="shared" si="0"/>
        <v>0.11690363349131122</v>
      </c>
      <c r="CR8" s="7" t="s">
        <v>34</v>
      </c>
      <c r="CS8">
        <f t="shared" si="1"/>
        <v>63</v>
      </c>
      <c r="CT8">
        <f t="shared" si="8"/>
        <v>0</v>
      </c>
      <c r="CU8">
        <f t="shared" si="2"/>
        <v>79</v>
      </c>
      <c r="CV8">
        <f t="shared" si="3"/>
        <v>148</v>
      </c>
      <c r="DD8" s="7" t="s">
        <v>23</v>
      </c>
      <c r="DE8" cm="1">
        <f t="array" ref="DE8:DK8">DE19:DK19+DE29:DK29+DE39:DK39</f>
        <v>156</v>
      </c>
      <c r="DF8">
        <v>58</v>
      </c>
      <c r="DG8">
        <v>147</v>
      </c>
      <c r="DH8">
        <v>59</v>
      </c>
      <c r="DI8">
        <v>46</v>
      </c>
      <c r="DJ8">
        <v>15</v>
      </c>
      <c r="DK8">
        <v>481</v>
      </c>
      <c r="DM8" s="7" t="s">
        <v>23</v>
      </c>
      <c r="DN8">
        <f ca="1">OFFSET(DG6,Character_selector!$AF$5,0)</f>
        <v>147</v>
      </c>
      <c r="DP8">
        <f t="shared" ca="1" si="9"/>
        <v>3</v>
      </c>
      <c r="DQ8" t="str">
        <f t="shared" ca="1" si="4"/>
        <v>Bylo</v>
      </c>
      <c r="DR8">
        <f t="shared" ca="1" si="5"/>
        <v>147</v>
      </c>
      <c r="DS8">
        <f t="shared" ca="1" si="6"/>
        <v>4</v>
      </c>
      <c r="DU8">
        <v>3</v>
      </c>
      <c r="DV8" t="str" cm="1">
        <f t="array" aca="1" ref="DV8" ca="1">IFERROR(VLOOKUP(DW8,IF({1,0},OFFSET($DR$6,0,0,COUNT($DR$6:$DR$11+1),1),OFFSET($DQ$6,0,0,COUNT($DR$6:$DR$11+1),1)),2,0),"")</f>
        <v>Arthus</v>
      </c>
      <c r="DW8">
        <f ca="1">IF(LARGE($DR$6:$DR$11,DU8)=0,"",LARGE($DR$6:$DR$11,DU8))</f>
        <v>86</v>
      </c>
      <c r="EC8" s="7" t="s">
        <v>23</v>
      </c>
      <c r="ED8" s="5">
        <v>4</v>
      </c>
      <c r="EE8" s="5"/>
      <c r="EF8" s="5">
        <v>1</v>
      </c>
      <c r="EH8" s="7" t="s">
        <v>34</v>
      </c>
      <c r="EI8">
        <f>GETPIVOTDATA("Sum of Kills",$EC$5,"Character name","Ciri Ruple")+GETPIVOTDATA("Sum of Kills 2",$EC$5,"Character name","Ciri Ruple")+GETPIVOTDATA("Sum of Kills 3",$EC$5,"Character name","Ciri Ruple")</f>
        <v>3</v>
      </c>
      <c r="EL8" s="7" t="s">
        <v>23</v>
      </c>
      <c r="EM8" s="5"/>
      <c r="EO8" s="7" t="s">
        <v>23</v>
      </c>
      <c r="EP8" s="5">
        <v>1</v>
      </c>
      <c r="ER8" s="7" t="s">
        <v>23</v>
      </c>
      <c r="ES8" s="5"/>
      <c r="EU8" s="7" t="s">
        <v>23</v>
      </c>
      <c r="EV8">
        <f>GETPIVOTDATA("Kills",$EL$5,"Target ","Bylo")+GETPIVOTDATA("Kills 2",$EO$5,"Target 2","Bylo")+GETPIVOTDATA("Kills 3",$ER$5,"Target 3","Bylo")</f>
        <v>1</v>
      </c>
      <c r="EY8" s="7" t="s">
        <v>23</v>
      </c>
      <c r="EZ8" s="5"/>
      <c r="FA8" s="5"/>
      <c r="FB8" s="5"/>
      <c r="FD8" s="7" t="s">
        <v>23</v>
      </c>
      <c r="FE8">
        <f>GETPIVOTDATA("Sum of Crit",$EY$5,"Character name","Bylo")+GETPIVOTDATA("Sum of Crit 2",$EY$5,"Character name","Bylo")+GETPIVOTDATA("Sum of Crit 3",$EY$5,"Character name","Bylo")</f>
        <v>0</v>
      </c>
    </row>
    <row r="9" spans="2:165" x14ac:dyDescent="0.3">
      <c r="B9" s="13" t="s">
        <v>34</v>
      </c>
      <c r="C9" s="5">
        <v>156</v>
      </c>
      <c r="D9" s="5">
        <v>57</v>
      </c>
      <c r="E9" s="5">
        <v>130</v>
      </c>
      <c r="F9" s="5">
        <v>29</v>
      </c>
      <c r="G9" s="5">
        <v>66</v>
      </c>
      <c r="H9" s="5"/>
      <c r="I9" s="5">
        <v>438</v>
      </c>
      <c r="K9" s="7" t="s">
        <v>34</v>
      </c>
      <c r="L9">
        <f>IFERROR(GETPIVOTDATA("Sum of Total Dmg",$B$5,"Character name","Ciri Ruple"),0)</f>
        <v>438</v>
      </c>
      <c r="P9" s="7" t="s">
        <v>42</v>
      </c>
      <c r="Q9" s="5">
        <v>185</v>
      </c>
      <c r="S9" s="7" t="s">
        <v>129</v>
      </c>
      <c r="T9" s="5">
        <v>66</v>
      </c>
      <c r="V9" s="7" t="s">
        <v>38</v>
      </c>
      <c r="W9" s="5">
        <v>442</v>
      </c>
      <c r="Y9" s="7" t="s">
        <v>191</v>
      </c>
      <c r="Z9" s="5">
        <v>38</v>
      </c>
      <c r="AB9" s="7" t="s">
        <v>129</v>
      </c>
      <c r="AC9" s="5">
        <v>65</v>
      </c>
      <c r="AH9" s="15"/>
      <c r="AI9" s="16"/>
      <c r="AJ9" s="16" t="s">
        <v>61</v>
      </c>
      <c r="AK9" s="17">
        <f>IFERROR(GETPIVOTDATA("Dmg",$P$6,"Dmg type","Slashing"),0)+IFERROR(GETPIVOTDATA("Dmg 2",$S$6,"Dmg type 2","Slashing"),0)+IFERROR(GETPIVOTDATA("Dmg 3",$V$6,"Dmg type 3","Slashing"),0)+IFERROR(GETPIVOTDATA("Dmg 4",$Y$6,"Dmg type 4","Slashing"),0)+IFERROR(GETPIVOTDATA("Dmg 5",$AB$6,"Dmg type 5","Slashing"),0)+IFERROR(GETPIVOTDATA("Dmg  6",$AE$6,"Dmg type 6","Slashing"),0)</f>
        <v>280</v>
      </c>
      <c r="AN9" s="7" t="s">
        <v>99</v>
      </c>
      <c r="AO9" s="5">
        <v>243</v>
      </c>
      <c r="AP9" s="5">
        <v>56</v>
      </c>
      <c r="AQ9" s="5">
        <v>189</v>
      </c>
      <c r="AR9" s="5">
        <v>21</v>
      </c>
      <c r="AS9" s="5">
        <v>17</v>
      </c>
      <c r="AT9" s="5"/>
      <c r="AU9" s="5">
        <v>526</v>
      </c>
      <c r="AW9" s="7" t="s">
        <v>99</v>
      </c>
      <c r="AX9">
        <v>8.5</v>
      </c>
      <c r="AY9">
        <v>6</v>
      </c>
      <c r="AZ9">
        <f t="shared" si="10"/>
        <v>526</v>
      </c>
      <c r="BC9" s="7" t="s">
        <v>170</v>
      </c>
      <c r="BD9" s="5">
        <v>12</v>
      </c>
      <c r="BE9" s="5"/>
      <c r="BG9" s="7" t="s">
        <v>132</v>
      </c>
      <c r="BH9" s="5">
        <v>8</v>
      </c>
      <c r="BI9" s="5"/>
      <c r="BK9" s="7" t="s">
        <v>69</v>
      </c>
      <c r="BL9" s="5">
        <v>5</v>
      </c>
      <c r="BM9" s="5"/>
      <c r="BO9" t="str">
        <f t="shared" si="11"/>
        <v>Bottle</v>
      </c>
      <c r="BP9">
        <f t="shared" ref="BP9:BP70" si="12">IF(BR9=0,BP8,BP8+1)</f>
        <v>2</v>
      </c>
      <c r="BQ9" s="7" t="str">
        <v>Bottle</v>
      </c>
      <c r="BR9">
        <f t="shared" si="7"/>
        <v>12</v>
      </c>
      <c r="BT9">
        <v>3</v>
      </c>
      <c r="BU9" t="str">
        <f>IFERROR(VLOOKUP(BT9,$BP$5:$BR$71,2,0),"")</f>
        <v>Crowbar</v>
      </c>
      <c r="BV9">
        <f t="shared" ref="BV9:BV13" si="13">IFERROR(VLOOKUP(BT9,$BP$5:$BR$71,3,0),"")</f>
        <v>71</v>
      </c>
      <c r="BX9" s="24" t="str">
        <f ca="1">VLOOKUP(BY9,IF({1,0},OFFSET(Combat2!$BV$7,0,0,COUNT(Combat2!$BV$7:$BV$46),1),OFFSET(Combat2!$BU$7,0,0,COUNT(Combat2!$BV$7:$BV$46),1)),2,0)</f>
        <v>Halberd</v>
      </c>
      <c r="BY9">
        <f ca="1">LARGE(OFFSET(Combat2!$BV$7,0,0,COUNT(Combat2!$BV$7:$BV$46),1), ROWS(BU$7:BU9))</f>
        <v>323</v>
      </c>
      <c r="CB9" s="7" t="s">
        <v>34</v>
      </c>
      <c r="CC9" s="5">
        <v>107</v>
      </c>
      <c r="CD9" s="5">
        <v>1</v>
      </c>
      <c r="CF9" s="7" t="s">
        <v>34</v>
      </c>
      <c r="CG9" s="5">
        <v>37</v>
      </c>
      <c r="CH9" s="5">
        <v>1</v>
      </c>
      <c r="CJ9" s="7" t="s">
        <v>34</v>
      </c>
      <c r="CK9" s="5">
        <v>1</v>
      </c>
      <c r="CL9" s="5">
        <v>1</v>
      </c>
      <c r="CN9" s="7" t="s">
        <v>31</v>
      </c>
      <c r="CO9">
        <f>IFERROR(GETPIVOTDATA("Sum of Dmg",$CB$5,"Target ","Sev"),0)+IFERROR(GETPIVOTDATA("Sum of Dmg 2",$CB$5,"Target ","Sev"),0)+IFERROR(GETPIVOTDATA("Sum of Dmg 3",$CF$5,"Target 2","Sev"),0)+IFERROR(GETPIVOTDATA("Sum of Dmg 4",$CF$5,"Target 2","Sev"),0)+IFERROR(GETPIVOTDATA("Sum of Dmg 5",$CJ$5,"Target 3","Sev"),0)+IFERROR(GETPIVOTDATA("Sum of Dmg  6",$CJ$5,"Target 3","Sev"),0)</f>
        <v>260</v>
      </c>
      <c r="CP9" s="26">
        <f t="shared" si="0"/>
        <v>0.20537124802527645</v>
      </c>
      <c r="CR9" s="7" t="s">
        <v>31</v>
      </c>
      <c r="CS9">
        <f t="shared" si="1"/>
        <v>42</v>
      </c>
      <c r="CT9">
        <f t="shared" si="8"/>
        <v>143</v>
      </c>
      <c r="CU9">
        <f t="shared" si="2"/>
        <v>69</v>
      </c>
      <c r="CV9">
        <f>CO9</f>
        <v>260</v>
      </c>
      <c r="DD9" s="7" t="s">
        <v>34</v>
      </c>
      <c r="DE9" cm="1">
        <f t="array" ref="DE9:DK9">DE20:DK20+DE30:DK30+DE40:DK40</f>
        <v>0</v>
      </c>
      <c r="DF9">
        <v>0</v>
      </c>
      <c r="DG9">
        <v>0</v>
      </c>
      <c r="DH9">
        <v>3</v>
      </c>
      <c r="DI9">
        <v>0</v>
      </c>
      <c r="DJ9">
        <v>0</v>
      </c>
      <c r="DK9">
        <v>3</v>
      </c>
      <c r="DM9" s="7" t="s">
        <v>34</v>
      </c>
      <c r="DN9">
        <f ca="1">OFFSET(DH6,Character_selector!$AF$5,0)</f>
        <v>62</v>
      </c>
      <c r="DP9">
        <f t="shared" ca="1" si="9"/>
        <v>4</v>
      </c>
      <c r="DQ9" t="str">
        <f t="shared" ca="1" si="4"/>
        <v>Ciri Ruple</v>
      </c>
      <c r="DR9">
        <f t="shared" ca="1" si="5"/>
        <v>62</v>
      </c>
      <c r="DS9">
        <f t="shared" ca="1" si="6"/>
        <v>5</v>
      </c>
      <c r="DU9">
        <v>4</v>
      </c>
      <c r="DV9" t="str" cm="1">
        <f t="array" aca="1" ref="DV9" ca="1">IFERROR(VLOOKUP(DW9,IF({1,0},OFFSET($DR$6,0,0,COUNT($DR$6:$DR$11+1),1),OFFSET($DQ$6,0,0,COUNT($DR$6:$DR$11+1),1)),2,0),"")</f>
        <v>Ciri Ruple</v>
      </c>
      <c r="DW9">
        <f ca="1">IF(LARGE($DR$6:$DR$11,DU9)=0,"",LARGE($DR$6:$DR$11,DU9))</f>
        <v>62</v>
      </c>
      <c r="EC9" s="7" t="s">
        <v>34</v>
      </c>
      <c r="ED9" s="5">
        <v>1</v>
      </c>
      <c r="EE9" s="5">
        <v>1</v>
      </c>
      <c r="EF9" s="5">
        <v>1</v>
      </c>
      <c r="EH9" s="7" t="s">
        <v>31</v>
      </c>
      <c r="EI9">
        <f>GETPIVOTDATA("Sum of Kills",$EC$5,"Character name","Sev")+GETPIVOTDATA("Sum of Kills 2",$EC$5,"Character name","Sev")+GETPIVOTDATA("Sum of Kills 3",$EC$5,"Character name","Sev")</f>
        <v>10</v>
      </c>
      <c r="EL9" s="7" t="s">
        <v>34</v>
      </c>
      <c r="EM9" s="5">
        <v>1</v>
      </c>
      <c r="EO9" s="7" t="s">
        <v>34</v>
      </c>
      <c r="EP9" s="5"/>
      <c r="ER9" s="7" t="s">
        <v>34</v>
      </c>
      <c r="ES9" s="5"/>
      <c r="EU9" s="7" t="s">
        <v>34</v>
      </c>
      <c r="EV9">
        <f>GETPIVOTDATA("Kills",$EL$5,"Target ","Ciri Ruple")+GETPIVOTDATA("Kills 2",$EO$5,"Target 2","Ciri Ruple")+GETPIVOTDATA("Kills 3",$ER$5,"Target 3","Ciri Ruple")</f>
        <v>1</v>
      </c>
      <c r="EY9" s="7" t="s">
        <v>34</v>
      </c>
      <c r="EZ9" s="5">
        <v>1</v>
      </c>
      <c r="FA9" s="5">
        <v>2</v>
      </c>
      <c r="FB9" s="5">
        <v>1</v>
      </c>
      <c r="FD9" s="7" t="s">
        <v>34</v>
      </c>
      <c r="FE9">
        <f>GETPIVOTDATA("Sum of Crit",$EY$5,"Character name","Ciri Ruple")+GETPIVOTDATA("Sum of Crit 2",$EY$5,"Character name","Ciri Ruple")+GETPIVOTDATA("Sum of Crit 3",$EY$5,"Character name","Ciri Ruple")</f>
        <v>4</v>
      </c>
    </row>
    <row r="10" spans="2:165" x14ac:dyDescent="0.3">
      <c r="B10" s="13" t="s">
        <v>31</v>
      </c>
      <c r="C10" s="5">
        <v>266</v>
      </c>
      <c r="D10" s="5">
        <v>44</v>
      </c>
      <c r="E10" s="5">
        <v>135</v>
      </c>
      <c r="F10" s="5">
        <v>9</v>
      </c>
      <c r="G10" s="5">
        <v>68</v>
      </c>
      <c r="H10" s="5"/>
      <c r="I10" s="5">
        <v>522</v>
      </c>
      <c r="K10" s="7" t="s">
        <v>31</v>
      </c>
      <c r="L10">
        <f>IFERROR(GETPIVOTDATA("Sum of Total Dmg",$B$5,"Character name","Sev"),0)</f>
        <v>522</v>
      </c>
      <c r="P10" s="7" t="s">
        <v>38</v>
      </c>
      <c r="Q10" s="5">
        <v>531</v>
      </c>
      <c r="S10" s="7" t="s">
        <v>190</v>
      </c>
      <c r="T10" s="5">
        <v>33</v>
      </c>
      <c r="V10" s="7" t="s">
        <v>61</v>
      </c>
      <c r="W10" s="5">
        <v>84</v>
      </c>
      <c r="AB10" s="7" t="s">
        <v>61</v>
      </c>
      <c r="AC10" s="5">
        <v>5</v>
      </c>
      <c r="AH10" s="18">
        <f>SUM(AK10:AK16)</f>
        <v>338</v>
      </c>
      <c r="AI10" s="19" t="s">
        <v>223</v>
      </c>
      <c r="AJ10" s="19" t="s">
        <v>78</v>
      </c>
      <c r="AK10" s="17">
        <f>IFERROR(GETPIVOTDATA("Dmg",$P$6,"Dmg type","Blood"),0)+IFERROR(GETPIVOTDATA("Dmg 2",$S$6,"Dmg type 2","Blood"),0)+IFERROR(GETPIVOTDATA("Dmg 3",$V$6,"Dmg type 3","Blood"),0)+IFERROR(GETPIVOTDATA("Dmg 4",$Y$6,"Dmg type 4","Blood"),0)+IFERROR(GETPIVOTDATA("Dmg 5",$AB$6,"Dmg type 5","Blood"),0)+IFERROR(GETPIVOTDATA("Dmg  6",$AE$6,"Dmg type 6","Blood"),0)</f>
        <v>0</v>
      </c>
      <c r="AN10" s="7" t="s">
        <v>27</v>
      </c>
      <c r="AO10" s="5">
        <v>182</v>
      </c>
      <c r="AP10" s="5">
        <v>9</v>
      </c>
      <c r="AQ10" s="5">
        <v>135</v>
      </c>
      <c r="AR10" s="5"/>
      <c r="AS10" s="5">
        <v>64</v>
      </c>
      <c r="AT10" s="5"/>
      <c r="AU10" s="5">
        <v>390</v>
      </c>
      <c r="AW10" s="7" t="s">
        <v>27</v>
      </c>
      <c r="AX10">
        <v>8</v>
      </c>
      <c r="AY10">
        <v>1.5</v>
      </c>
      <c r="AZ10">
        <f t="shared" si="10"/>
        <v>390</v>
      </c>
      <c r="BC10" s="7" t="s">
        <v>84</v>
      </c>
      <c r="BD10" s="5">
        <v>36</v>
      </c>
      <c r="BE10" s="5"/>
      <c r="BG10" s="7" t="s">
        <v>33</v>
      </c>
      <c r="BH10" s="5"/>
      <c r="BI10" s="5"/>
      <c r="BK10" s="7" t="s">
        <v>120</v>
      </c>
      <c r="BL10" s="5"/>
      <c r="BM10" s="5"/>
      <c r="BO10" t="str">
        <f t="shared" si="11"/>
        <v>Crowbar</v>
      </c>
      <c r="BP10">
        <f t="shared" si="12"/>
        <v>3</v>
      </c>
      <c r="BQ10" s="7" t="str">
        <v>Crowbar</v>
      </c>
      <c r="BR10">
        <f>IFERROR(VLOOKUP(BQ10,$BC$7:$BE$70,2,FALSE),0)+IFERROR(VLOOKUP(BQ10,$BC$7:$BE$70,3,FALSE),0)+IFERROR(VLOOKUP(BQ10,$BG$7:$BI$70,2,FALSE),0)+IFERROR(VLOOKUP(BQ10,$BG$7:$BI$70,3,FALSE),0)+IFERROR(VLOOKUP(BQ10,$BK$7:$BM$70,2,FALSE),0)+IFERROR(VLOOKUP(BQ10,$BK$7:$BM$70,3,FALSE),0)</f>
        <v>71</v>
      </c>
      <c r="BT10">
        <v>4</v>
      </c>
      <c r="BU10" t="str">
        <f t="shared" ref="BU10:BU18" si="14">IFERROR(VLOOKUP(BT10,$BP$5:$BR$71,2,0),"")</f>
        <v>Fire breath</v>
      </c>
      <c r="BV10">
        <f t="shared" si="13"/>
        <v>13</v>
      </c>
      <c r="BX10" s="24" t="str">
        <f ca="1">VLOOKUP(BY10,IF({1,0},OFFSET(Combat2!$BV$7,0,0,COUNT(Combat2!$BV$7:$BV$46),1),OFFSET(Combat2!$BU$7,0,0,COUNT(Combat2!$BV$7:$BV$46),1)),2,0)</f>
        <v>Vandal</v>
      </c>
      <c r="BY10">
        <f ca="1">LARGE(OFFSET(Combat2!$BV$7,0,0,COUNT(Combat2!$BV$7:$BV$46),1), ROWS(BU$7:BU10))</f>
        <v>257</v>
      </c>
      <c r="CB10" s="7" t="s">
        <v>31</v>
      </c>
      <c r="CC10" s="5">
        <v>227</v>
      </c>
      <c r="CD10" s="5">
        <v>1</v>
      </c>
      <c r="CF10" s="7" t="s">
        <v>31</v>
      </c>
      <c r="CG10" s="5">
        <v>18</v>
      </c>
      <c r="CH10" s="5">
        <v>1</v>
      </c>
      <c r="CJ10" s="7" t="s">
        <v>31</v>
      </c>
      <c r="CK10" s="5">
        <v>12</v>
      </c>
      <c r="CL10" s="5">
        <v>1</v>
      </c>
      <c r="CN10" s="7" t="s">
        <v>102</v>
      </c>
      <c r="CO10">
        <f>IFERROR(GETPIVOTDATA("Sum of Dmg",$CB$5,"Target ","Venythria"),0)+IFERROR(GETPIVOTDATA("Sum of Dmg 2",$CB$5,"Target ","Venythria"),0)+IFERROR(GETPIVOTDATA("Sum of Dmg 3",$CF$5,"Target 2","Venythria"),0)+IFERROR(GETPIVOTDATA("Sum of Dmg 4",$CF$5,"Target 2","Venythria"),0)+IFERROR(GETPIVOTDATA("Sum of Dmg 5",$CJ$5,"Target 3","Venythria"),0)+IFERROR(GETPIVOTDATA("Sum of Dmg  6",$CJ$5,"Target 3","Venythria"),0)</f>
        <v>121</v>
      </c>
      <c r="CP10" s="26">
        <f t="shared" si="0"/>
        <v>9.5576619273301744E-2</v>
      </c>
      <c r="CR10" s="7" t="s">
        <v>102</v>
      </c>
      <c r="CS10">
        <f t="shared" si="1"/>
        <v>0</v>
      </c>
      <c r="CT10">
        <f t="shared" si="8"/>
        <v>100</v>
      </c>
      <c r="CU10">
        <f t="shared" si="2"/>
        <v>15</v>
      </c>
      <c r="CV10">
        <f t="shared" si="3"/>
        <v>121</v>
      </c>
      <c r="DD10" s="7" t="s">
        <v>31</v>
      </c>
      <c r="DE10" cm="1">
        <f t="array" ref="DE10:DK10">DE21:DK21+DE31:DK31+DE41:DK41</f>
        <v>0</v>
      </c>
      <c r="DF10">
        <v>0</v>
      </c>
      <c r="DG10">
        <v>0</v>
      </c>
      <c r="DH10">
        <v>0</v>
      </c>
      <c r="DI10">
        <v>3</v>
      </c>
      <c r="DJ10">
        <v>0</v>
      </c>
      <c r="DK10">
        <v>3</v>
      </c>
      <c r="DM10" s="7" t="s">
        <v>31</v>
      </c>
      <c r="DN10">
        <f ca="1">OFFSET(DI6,Character_selector!$AF$5,0)</f>
        <v>59</v>
      </c>
      <c r="DP10">
        <f t="shared" ca="1" si="9"/>
        <v>5</v>
      </c>
      <c r="DQ10" t="str">
        <f t="shared" ca="1" si="4"/>
        <v>Sev</v>
      </c>
      <c r="DR10">
        <f t="shared" ca="1" si="5"/>
        <v>59</v>
      </c>
      <c r="DS10">
        <f t="shared" ca="1" si="6"/>
        <v>6</v>
      </c>
      <c r="DU10">
        <v>5</v>
      </c>
      <c r="DV10" t="str" cm="1">
        <f t="array" aca="1" ref="DV10" ca="1">IFERROR(VLOOKUP(DW10,IF({1,0},OFFSET($DR$6,0,0,COUNT($DR$6:$DR$11+1),1),OFFSET($DQ$6,0,0,COUNT($DR$6:$DR$11+1),1)),2,0),"")</f>
        <v>Sev</v>
      </c>
      <c r="DW10">
        <f ca="1">IF(LARGE($DR$6:$DR$11,DU10)=0,"",LARGE($DR$6:$DR$11,DU10))</f>
        <v>59</v>
      </c>
      <c r="EC10" s="7" t="s">
        <v>31</v>
      </c>
      <c r="ED10" s="5">
        <v>3</v>
      </c>
      <c r="EE10" s="5">
        <v>4</v>
      </c>
      <c r="EF10" s="5">
        <v>3</v>
      </c>
      <c r="EH10" s="7" t="s">
        <v>102</v>
      </c>
      <c r="EI10">
        <f>GETPIVOTDATA("Sum of Kills",$EC$5,"Character name","Venythria")+GETPIVOTDATA("Sum of Kills 2",$EC$5,"Character name","Venythria")+GETPIVOTDATA("Sum of Kills 3",$EC$5,"Character name","Venythria")</f>
        <v>10</v>
      </c>
      <c r="EL10" s="7" t="s">
        <v>31</v>
      </c>
      <c r="EM10" s="5"/>
      <c r="EO10" s="7" t="s">
        <v>31</v>
      </c>
      <c r="EP10" s="5"/>
      <c r="ER10" s="7" t="s">
        <v>31</v>
      </c>
      <c r="ES10" s="5">
        <v>1</v>
      </c>
      <c r="EU10" s="7" t="s">
        <v>31</v>
      </c>
      <c r="EV10">
        <f>GETPIVOTDATA("Kills",$EL$5,"Target ","Sev")+GETPIVOTDATA("Kills 2",$EO$5,"Target 2","Sev")+GETPIVOTDATA("Kills 3",$ER$5,"Target 3","Sev")</f>
        <v>1</v>
      </c>
      <c r="EY10" s="7" t="s">
        <v>31</v>
      </c>
      <c r="EZ10" s="5">
        <v>3</v>
      </c>
      <c r="FA10" s="5">
        <v>0</v>
      </c>
      <c r="FB10" s="5">
        <v>1</v>
      </c>
      <c r="FD10" s="7" t="s">
        <v>31</v>
      </c>
      <c r="FE10">
        <f>GETPIVOTDATA("Sum of Crit",$EY$5,"Character name","Sev")+GETPIVOTDATA("Sum of Crit 2",$EY$5,"Character name","Sev")+GETPIVOTDATA("Sum of Crit 3",$EY$5,"Character name","Sev")</f>
        <v>4</v>
      </c>
    </row>
    <row r="11" spans="2:165" x14ac:dyDescent="0.3">
      <c r="B11" s="13" t="s">
        <v>102</v>
      </c>
      <c r="C11" s="5">
        <v>267</v>
      </c>
      <c r="D11" s="5"/>
      <c r="E11" s="5">
        <v>252</v>
      </c>
      <c r="F11" s="5"/>
      <c r="G11" s="5"/>
      <c r="H11" s="5"/>
      <c r="I11" s="5">
        <v>519</v>
      </c>
      <c r="K11" s="7" t="s">
        <v>102</v>
      </c>
      <c r="L11">
        <f>IFERROR(GETPIVOTDATA("Sum of Total Dmg",$B$5,"Character name","Venythria"),0)</f>
        <v>519</v>
      </c>
      <c r="P11" s="7" t="s">
        <v>61</v>
      </c>
      <c r="Q11" s="5">
        <v>191</v>
      </c>
      <c r="S11" s="7" t="s">
        <v>191</v>
      </c>
      <c r="T11" s="5">
        <v>216</v>
      </c>
      <c r="V11" s="7" t="s">
        <v>190</v>
      </c>
      <c r="W11" s="5">
        <v>14</v>
      </c>
      <c r="AB11" s="7" t="s">
        <v>190</v>
      </c>
      <c r="AC11" s="5"/>
      <c r="AH11" s="15" t="str">
        <f>AH10&amp; " Dmg"</f>
        <v>338 Dmg</v>
      </c>
      <c r="AI11" s="16"/>
      <c r="AJ11" s="16" t="s">
        <v>42</v>
      </c>
      <c r="AK11" s="17">
        <f>IFERROR(GETPIVOTDATA("Dmg",$P$6,"Dmg type","Necrotic"),0)+IFERROR(GETPIVOTDATA("Dmg 2",$S$6,"Dmg type 2","Necrotic"),0)+IFERROR(GETPIVOTDATA("Dmg 3",$V$6,"Dmg type 3","Necrotic"),0)+IFERROR(GETPIVOTDATA("Dmg 4",$Y$6,"Dmg type 4","Necrotic"),0)+IFERROR(GETPIVOTDATA("Dmg 5",$AB$6,"Dmg type 5","Necrotic"),0)+IFERROR(GETPIVOTDATA("Dmg  6",$AE$6,"Dmg type 6","Necrotic"),0)</f>
        <v>185</v>
      </c>
      <c r="AN11" s="7" t="s">
        <v>191</v>
      </c>
      <c r="AO11" s="5">
        <v>1400</v>
      </c>
      <c r="AP11" s="5">
        <v>216</v>
      </c>
      <c r="AQ11" s="5">
        <v>843</v>
      </c>
      <c r="AR11" s="5">
        <v>38</v>
      </c>
      <c r="AS11" s="5">
        <v>325</v>
      </c>
      <c r="AT11" s="5"/>
      <c r="AU11" s="5">
        <v>2822</v>
      </c>
      <c r="AW11" t="str">
        <f t="shared" ref="AW11" si="15">AN11</f>
        <v>Grand Total</v>
      </c>
      <c r="AZ11" t="e">
        <f>GETPIVOTDATA("Sum of Total Dmg",$AN$6,"Location",AW11)</f>
        <v>#REF!</v>
      </c>
      <c r="BC11" s="7" t="s">
        <v>46</v>
      </c>
      <c r="BD11" s="5">
        <v>0</v>
      </c>
      <c r="BE11" s="5"/>
      <c r="BG11" s="7" t="s">
        <v>158</v>
      </c>
      <c r="BH11" s="5">
        <v>63</v>
      </c>
      <c r="BI11" s="5"/>
      <c r="BK11" s="7" t="s">
        <v>48</v>
      </c>
      <c r="BL11" s="5"/>
      <c r="BM11" s="5"/>
      <c r="BO11" t="str">
        <f t="shared" si="11"/>
        <v>Curewounds</v>
      </c>
      <c r="BP11">
        <f t="shared" si="12"/>
        <v>3</v>
      </c>
      <c r="BQ11" s="7" t="str">
        <v>Curewounds</v>
      </c>
      <c r="BR11">
        <f t="shared" si="7"/>
        <v>0</v>
      </c>
      <c r="BT11">
        <v>5</v>
      </c>
      <c r="BU11" t="str">
        <f t="shared" si="14"/>
        <v>Greatclub</v>
      </c>
      <c r="BV11">
        <f t="shared" si="13"/>
        <v>215</v>
      </c>
      <c r="BX11" s="24" t="str">
        <f ca="1">VLOOKUP(BY11,IF({1,0},OFFSET(Combat2!$BV$7,0,0,COUNT(Combat2!$BV$7:$BV$46),1),OFFSET(Combat2!$BU$7,0,0,COUNT(Combat2!$BV$7:$BV$46),1)),2,0)</f>
        <v>Guardian</v>
      </c>
      <c r="BY11">
        <f ca="1">LARGE(OFFSET(Combat2!$BV$7,0,0,COUNT(Combat2!$BV$7:$BV$46),1), ROWS(BU$7:BU11))</f>
        <v>226</v>
      </c>
      <c r="CB11" s="7" t="s">
        <v>102</v>
      </c>
      <c r="CC11" s="5">
        <v>116</v>
      </c>
      <c r="CD11" s="5">
        <v>1</v>
      </c>
      <c r="CF11" s="7" t="s">
        <v>102</v>
      </c>
      <c r="CG11" s="5">
        <v>1</v>
      </c>
      <c r="CH11" s="5">
        <v>1</v>
      </c>
      <c r="CJ11" s="7" t="s">
        <v>102</v>
      </c>
      <c r="CK11" s="5">
        <v>1</v>
      </c>
      <c r="CL11" s="5">
        <v>1</v>
      </c>
      <c r="CN11" s="7" t="s">
        <v>331</v>
      </c>
      <c r="CO11" s="2">
        <f>IFERROR(GETPIVOTDATA("Sum of Dmg",$CB$5),0)+IFERROR(GETPIVOTDATA("Sum of Dmg 2",$CB$5),0)+IFERROR(GETPIVOTDATA("Sum of Dmg 3",$CF$5),0)+IFERROR(GETPIVOTDATA("Sum of Dmg 4",$CF$5),0)+IFERROR(GETPIVOTDATA("Sum of Dmg 5",$CJ$5),0)+IFERROR(GETPIVOTDATA("Sum of Dmg  6",$CJ$5),0)</f>
        <v>1266</v>
      </c>
      <c r="CP11" s="26">
        <f t="shared" si="0"/>
        <v>1</v>
      </c>
      <c r="CR11" s="7" t="s">
        <v>331</v>
      </c>
      <c r="CS11">
        <f t="shared" ref="CS11" si="16">CO44</f>
        <v>359</v>
      </c>
      <c r="CT11">
        <f t="shared" ref="CT11" si="17">CO33</f>
        <v>554</v>
      </c>
      <c r="CU11">
        <f t="shared" ref="CU11" si="18">CO22</f>
        <v>316</v>
      </c>
      <c r="CV11">
        <f t="shared" ref="CV11" si="19">CO11</f>
        <v>1266</v>
      </c>
      <c r="DD11" s="7" t="s">
        <v>102</v>
      </c>
      <c r="DE11" cm="1">
        <f t="array" ref="DE11:DK11">DE22:DK22+DE32:DK32+DE42:DK42</f>
        <v>0</v>
      </c>
      <c r="DF11">
        <v>0</v>
      </c>
      <c r="DG11">
        <v>0</v>
      </c>
      <c r="DH11">
        <v>0</v>
      </c>
      <c r="DI11">
        <v>0</v>
      </c>
      <c r="DJ11">
        <v>3</v>
      </c>
      <c r="DK11">
        <v>3</v>
      </c>
      <c r="DM11" s="7" t="s">
        <v>102</v>
      </c>
      <c r="DN11">
        <f ca="1">OFFSET(DJ6,Character_selector!$AF$5,0)</f>
        <v>18</v>
      </c>
      <c r="DP11">
        <f t="shared" ca="1" si="9"/>
        <v>6</v>
      </c>
      <c r="DQ11" t="str">
        <f t="shared" ca="1" si="4"/>
        <v>Venythria</v>
      </c>
      <c r="DR11">
        <f t="shared" ca="1" si="5"/>
        <v>18</v>
      </c>
      <c r="DS11">
        <f t="shared" ca="1" si="6"/>
        <v>7</v>
      </c>
      <c r="EC11" s="7" t="s">
        <v>102</v>
      </c>
      <c r="ED11" s="5">
        <v>3</v>
      </c>
      <c r="EE11" s="5">
        <v>7</v>
      </c>
      <c r="EF11" s="5"/>
      <c r="EH11" s="7" t="s">
        <v>353</v>
      </c>
      <c r="EI11">
        <f>GETPIVOTDATA("Sum of Kills",$EC$5)+GETPIVOTDATA("Sum of Kills 2",$EC$5)+GETPIVOTDATA("Sum of Kills 3",$EC$5)</f>
        <v>53</v>
      </c>
      <c r="EL11" s="7" t="s">
        <v>102</v>
      </c>
      <c r="EM11" s="5">
        <v>1</v>
      </c>
      <c r="EO11" s="7" t="s">
        <v>102</v>
      </c>
      <c r="EP11" s="5"/>
      <c r="ER11" s="7" t="s">
        <v>102</v>
      </c>
      <c r="ES11" s="5"/>
      <c r="EU11" s="7" t="s">
        <v>102</v>
      </c>
      <c r="EV11">
        <f>GETPIVOTDATA("Kills",$EL$5,"Target ","Venythria")+GETPIVOTDATA("Kills 2",$EO$5,"Target 2","Venythria")+GETPIVOTDATA("Kills 3",$ER$5,"Target 3","Venythria")</f>
        <v>1</v>
      </c>
      <c r="EY11" s="7" t="s">
        <v>102</v>
      </c>
      <c r="EZ11" s="5">
        <v>1</v>
      </c>
      <c r="FA11" s="5">
        <v>2</v>
      </c>
      <c r="FB11" s="5"/>
      <c r="FD11" s="7" t="s">
        <v>102</v>
      </c>
      <c r="FE11">
        <f>GETPIVOTDATA("Sum of Crit",$EY$5,"Character name","Venythria")+GETPIVOTDATA("Sum of Crit 2",$EY$5,"Character name","Venythria")+GETPIVOTDATA("Sum of Crit 3",$EY$5,"Character name","Venythria")</f>
        <v>3</v>
      </c>
    </row>
    <row r="12" spans="2:165" x14ac:dyDescent="0.3">
      <c r="B12" s="13" t="s">
        <v>191</v>
      </c>
      <c r="C12" s="5">
        <v>1400</v>
      </c>
      <c r="D12" s="5">
        <v>216</v>
      </c>
      <c r="E12" s="5">
        <v>843</v>
      </c>
      <c r="F12" s="5">
        <v>38</v>
      </c>
      <c r="G12" s="5">
        <v>325</v>
      </c>
      <c r="H12" s="5"/>
      <c r="I12" s="5">
        <v>2822</v>
      </c>
      <c r="K12" s="7" t="s">
        <v>230</v>
      </c>
      <c r="L12">
        <f>IFERROR(GETPIVOTDATA("Sum of Total Dmg",$B$5),0)</f>
        <v>2822</v>
      </c>
      <c r="P12" s="7" t="s">
        <v>190</v>
      </c>
      <c r="Q12" s="5">
        <v>28</v>
      </c>
      <c r="V12" s="7" t="s">
        <v>191</v>
      </c>
      <c r="W12" s="5">
        <v>843</v>
      </c>
      <c r="AB12" s="7" t="s">
        <v>191</v>
      </c>
      <c r="AC12" s="5">
        <v>325</v>
      </c>
      <c r="AH12" s="18"/>
      <c r="AI12" s="19"/>
      <c r="AJ12" s="19" t="s">
        <v>129</v>
      </c>
      <c r="AK12" s="17">
        <f>IFERROR(GETPIVOTDATA("Dmg",$P$6,"Dmg type","Radiant"),0)+IFERROR(GETPIVOTDATA("Dmg 2",$S$6,"Dmg type 2","Radiant"),0)+IFERROR(GETPIVOTDATA("Dmg 3",$V$6,"Dmg type 3","Radiant"),0)+IFERROR(GETPIVOTDATA("Dmg 4",$Y$6,"Dmg type 4","Radiant"),0)+IFERROR(GETPIVOTDATA("Dmg 5",$AB$6,"Dmg type 5","Radiant"),0)+IFERROR(GETPIVOTDATA("Dmg  6",$AE$6,"Dmg type 6","Radiant"),0)</f>
        <v>131</v>
      </c>
      <c r="BC12" s="7" t="s">
        <v>300</v>
      </c>
      <c r="BD12" s="5"/>
      <c r="BE12" s="5"/>
      <c r="BG12" s="7" t="s">
        <v>100</v>
      </c>
      <c r="BH12" s="5">
        <v>80</v>
      </c>
      <c r="BI12" s="5"/>
      <c r="BK12" s="7" t="s">
        <v>396</v>
      </c>
      <c r="BL12" s="5"/>
      <c r="BM12" s="5"/>
      <c r="BO12" t="str">
        <f t="shared" si="11"/>
        <v xml:space="preserve">Curewounds </v>
      </c>
      <c r="BP12">
        <f t="shared" si="12"/>
        <v>3</v>
      </c>
      <c r="BQ12" s="7" t="str">
        <v xml:space="preserve">Curewounds </v>
      </c>
      <c r="BR12">
        <f t="shared" si="7"/>
        <v>0</v>
      </c>
      <c r="BT12">
        <v>6</v>
      </c>
      <c r="BU12" t="str">
        <f t="shared" si="14"/>
        <v>Guardian</v>
      </c>
      <c r="BV12">
        <f t="shared" si="13"/>
        <v>226</v>
      </c>
      <c r="BX12" s="24"/>
      <c r="CB12" s="7" t="s">
        <v>191</v>
      </c>
      <c r="CC12" s="5">
        <v>852</v>
      </c>
      <c r="CD12" s="5">
        <v>90</v>
      </c>
      <c r="CF12" s="7" t="s">
        <v>191</v>
      </c>
      <c r="CG12" s="5">
        <v>232</v>
      </c>
      <c r="CH12" s="5">
        <v>6</v>
      </c>
      <c r="CJ12" s="7" t="s">
        <v>191</v>
      </c>
      <c r="CK12" s="5">
        <v>80</v>
      </c>
      <c r="CL12" s="5">
        <v>6</v>
      </c>
      <c r="CR12" s="7" t="s">
        <v>345</v>
      </c>
      <c r="CS12" s="7">
        <f ca="1">OFFSET(CS5,Character_selector!$AF$5,0)</f>
        <v>359</v>
      </c>
      <c r="CT12" s="7">
        <f ca="1">OFFSET(CT5,Character_selector!$AF$5,0)</f>
        <v>554</v>
      </c>
      <c r="CU12" s="7">
        <f ca="1">OFFSET(CU5,Character_selector!$AF$5,0)</f>
        <v>316</v>
      </c>
      <c r="CV12" s="7">
        <f ca="1">OFFSET(CV5,Character_selector!$AF$5,0)</f>
        <v>1266</v>
      </c>
      <c r="CX12" s="27"/>
      <c r="DD12" s="7" t="s">
        <v>230</v>
      </c>
      <c r="DE12" cm="1">
        <f t="array" ref="DE12:DK12">DE23:DK23+DE33:DK33+DE43:DK43</f>
        <v>173</v>
      </c>
      <c r="DF12">
        <v>86</v>
      </c>
      <c r="DG12">
        <v>147</v>
      </c>
      <c r="DH12">
        <v>62</v>
      </c>
      <c r="DI12">
        <v>59</v>
      </c>
      <c r="DJ12">
        <v>18</v>
      </c>
      <c r="DK12">
        <v>545</v>
      </c>
      <c r="DM12" t="s">
        <v>230</v>
      </c>
      <c r="DN12">
        <f>GETPIVOTDATA("Healing",$DD$15)</f>
        <v>299</v>
      </c>
      <c r="DP12">
        <f t="shared" ca="1" si="9"/>
        <v>6</v>
      </c>
      <c r="DQ12" t="b">
        <f t="shared" ca="1" si="4"/>
        <v>0</v>
      </c>
      <c r="DR12" t="b">
        <f t="shared" ca="1" si="5"/>
        <v>0</v>
      </c>
      <c r="DS12">
        <f t="shared" ca="1" si="6"/>
        <v>7</v>
      </c>
      <c r="EC12" s="7" t="s">
        <v>191</v>
      </c>
      <c r="ED12" s="5">
        <v>20</v>
      </c>
      <c r="EE12" s="5">
        <v>25</v>
      </c>
      <c r="EF12" s="5">
        <v>8</v>
      </c>
      <c r="EL12" s="7" t="s">
        <v>191</v>
      </c>
      <c r="EM12" s="5">
        <v>3</v>
      </c>
      <c r="EO12" s="7" t="s">
        <v>191</v>
      </c>
      <c r="EP12" s="5">
        <v>3</v>
      </c>
      <c r="ER12" s="7" t="s">
        <v>191</v>
      </c>
      <c r="ES12" s="5">
        <v>2</v>
      </c>
      <c r="EU12" s="7" t="s">
        <v>353</v>
      </c>
      <c r="EV12">
        <f>GETPIVOTDATA("Kills",$EL$5)+GETPIVOTDATA("Kills 2",$EO$5)+GETPIVOTDATA("Kills 3",$ER$5)</f>
        <v>8</v>
      </c>
      <c r="EY12" s="7" t="s">
        <v>191</v>
      </c>
      <c r="EZ12" s="5">
        <v>11</v>
      </c>
      <c r="FA12" s="5">
        <v>5</v>
      </c>
      <c r="FB12" s="5">
        <v>2</v>
      </c>
      <c r="FD12" s="7" t="s">
        <v>353</v>
      </c>
      <c r="FE12">
        <f>GETPIVOTDATA("Sum of Crit",$EY$5)+GETPIVOTDATA("Sum of Crit 2",$EY$5)+GETPIVOTDATA("Sum of Crit 3",$EY$5)</f>
        <v>18</v>
      </c>
    </row>
    <row r="13" spans="2:165" x14ac:dyDescent="0.3">
      <c r="P13" s="7" t="s">
        <v>191</v>
      </c>
      <c r="Q13" s="5">
        <v>1400</v>
      </c>
      <c r="AH13" s="15"/>
      <c r="AI13" s="16"/>
      <c r="AJ13" s="16" t="s">
        <v>123</v>
      </c>
      <c r="AK13" s="17">
        <f>IFERROR(GETPIVOTDATA("Dmg",$P$6,"Dmg type","Force"),0)+IFERROR(GETPIVOTDATA("Dmg 2",$S$6,"Dmg type 2","Force"),0)+IFERROR(GETPIVOTDATA("Dmg 3",$V$6,"Dmg type 3","Force"),0)+IFERROR(GETPIVOTDATA("Dmg 4",$Y$6,"Dmg type 4","Force"),0)+IFERROR(GETPIVOTDATA("Dmg 5",$AB$6,"Dmg type 5","Force"),0)+IFERROR(GETPIVOTDATA("Dmg  6",$AE$6,"Dmg type 6","Force"),0)</f>
        <v>9</v>
      </c>
      <c r="BC13" s="7" t="s">
        <v>108</v>
      </c>
      <c r="BD13" s="5">
        <v>0</v>
      </c>
      <c r="BE13" s="5"/>
      <c r="BG13" s="7" t="s">
        <v>98</v>
      </c>
      <c r="BH13" s="5">
        <v>84</v>
      </c>
      <c r="BI13" s="5"/>
      <c r="BK13" s="7" t="s">
        <v>76</v>
      </c>
      <c r="BL13" s="5"/>
      <c r="BM13" s="5"/>
      <c r="BO13" t="str">
        <f t="shared" si="11"/>
        <v>Dash</v>
      </c>
      <c r="BP13">
        <f t="shared" si="12"/>
        <v>3</v>
      </c>
      <c r="BQ13" s="7" t="str">
        <v>Dash</v>
      </c>
      <c r="BR13">
        <f t="shared" si="7"/>
        <v>0</v>
      </c>
      <c r="BT13">
        <v>7</v>
      </c>
      <c r="BU13" t="str">
        <f t="shared" si="14"/>
        <v>Gunblade</v>
      </c>
      <c r="BV13">
        <f t="shared" si="13"/>
        <v>18</v>
      </c>
      <c r="BX13" s="24"/>
      <c r="DM13" s="29"/>
      <c r="DN13" s="29"/>
      <c r="DO13" s="29"/>
      <c r="DP13" s="29"/>
    </row>
    <row r="14" spans="2:165" x14ac:dyDescent="0.3">
      <c r="AH14" s="15"/>
      <c r="AI14" s="15"/>
      <c r="AJ14" s="15" t="s">
        <v>296</v>
      </c>
      <c r="AK14" s="17">
        <f>IFERROR(GETPIVOTDATA("Dmg",$P$6,"Dmg type","Fire"),0)+IFERROR(GETPIVOTDATA("Dmg 2",$S$6,"Dmg type 2","Fire"),0)+IFERROR(GETPIVOTDATA("Dmg 3",$V$6,"Dmg type 3","Fire"),0)+IFERROR(GETPIVOTDATA("Dmg 4",$Y$6,"Dmg type 4","Fire"),0)+IFERROR(GETPIVOTDATA("Dmg 5",$AB$6,"Dmg type 5","Fire"),0)+IFERROR(GETPIVOTDATA("Dmg  6",$AE$6,"Dmg type 6","Fire"),0)</f>
        <v>13</v>
      </c>
      <c r="BC14" s="7" t="s">
        <v>289</v>
      </c>
      <c r="BD14" s="5"/>
      <c r="BE14" s="5"/>
      <c r="BG14" s="7" t="s">
        <v>149</v>
      </c>
      <c r="BH14" s="5">
        <v>7</v>
      </c>
      <c r="BI14" s="5"/>
      <c r="BK14" s="7" t="s">
        <v>57</v>
      </c>
      <c r="BL14" s="5"/>
      <c r="BM14" s="5"/>
      <c r="BO14" t="str">
        <f t="shared" si="11"/>
        <v>Fire bolt</v>
      </c>
      <c r="BP14">
        <f t="shared" si="12"/>
        <v>3</v>
      </c>
      <c r="BQ14" s="7" t="str">
        <v>Fire bolt</v>
      </c>
      <c r="BR14">
        <f t="shared" si="7"/>
        <v>0</v>
      </c>
      <c r="BT14">
        <v>8</v>
      </c>
      <c r="BU14" t="str">
        <f t="shared" si="14"/>
        <v>Halberd</v>
      </c>
      <c r="BV14">
        <f t="shared" ref="BV14:BV19" si="20">IFERROR(VLOOKUP(BT14,$BP$5:$BR$71,3,0),"")</f>
        <v>323</v>
      </c>
      <c r="BX14" s="24"/>
      <c r="CB14" s="4" t="s">
        <v>3</v>
      </c>
      <c r="CC14" s="7">
        <v>0</v>
      </c>
      <c r="CF14" s="4" t="s">
        <v>3</v>
      </c>
      <c r="CG14" s="7">
        <v>0</v>
      </c>
      <c r="CJ14" s="4" t="s">
        <v>3</v>
      </c>
      <c r="CK14" s="7">
        <v>0</v>
      </c>
      <c r="CN14" t="s">
        <v>335</v>
      </c>
      <c r="CR14" t="s">
        <v>344</v>
      </c>
      <c r="DW14">
        <v>1</v>
      </c>
      <c r="DX14" t="str" cm="1">
        <f t="array" aca="1" ref="DX14" ca="1">IFERROR(VLOOKUP(DY14,IF({1,0},OFFSET($DR$6,0,0,COUNT($DR$6:$DR$11+1),1),OFFSET($DQ$6,0,0,COUNT($DR$6:$DR$11+1),1)),2,0),"")</f>
        <v>Angatparul</v>
      </c>
      <c r="DY14">
        <f ca="1">IF(LARGE($DR$6:$DR$11,DW14)=0,"",LARGE(DR4:DR9,DW14))</f>
        <v>173</v>
      </c>
    </row>
    <row r="15" spans="2:165" x14ac:dyDescent="0.3">
      <c r="AH15" s="15"/>
      <c r="AI15" s="15"/>
      <c r="AJ15" s="15"/>
      <c r="AK15" s="15"/>
      <c r="BC15" s="7" t="s">
        <v>295</v>
      </c>
      <c r="BD15" s="5">
        <v>13</v>
      </c>
      <c r="BE15" s="5"/>
      <c r="BG15" s="7" t="s">
        <v>92</v>
      </c>
      <c r="BH15" s="5">
        <v>47</v>
      </c>
      <c r="BI15" s="5"/>
      <c r="BK15" s="7" t="s">
        <v>279</v>
      </c>
      <c r="BL15" s="5">
        <v>65</v>
      </c>
      <c r="BM15" s="5"/>
      <c r="BO15" t="str">
        <f t="shared" si="11"/>
        <v>Fire breath</v>
      </c>
      <c r="BP15">
        <f t="shared" si="12"/>
        <v>4</v>
      </c>
      <c r="BQ15" s="7" t="str">
        <v>Fire breath</v>
      </c>
      <c r="BR15">
        <f t="shared" si="7"/>
        <v>13</v>
      </c>
      <c r="BT15">
        <v>9</v>
      </c>
      <c r="BU15" t="str">
        <f t="shared" si="14"/>
        <v>Inflict wounds</v>
      </c>
      <c r="BV15">
        <f t="shared" si="20"/>
        <v>185</v>
      </c>
      <c r="CN15" t="s">
        <v>309</v>
      </c>
      <c r="CO15" t="s">
        <v>330</v>
      </c>
      <c r="CP15" t="s">
        <v>333</v>
      </c>
      <c r="CS15" t="s">
        <v>339</v>
      </c>
      <c r="CT15" t="s">
        <v>338</v>
      </c>
      <c r="CU15" t="s">
        <v>340</v>
      </c>
      <c r="CV15" t="s">
        <v>230</v>
      </c>
      <c r="DD15" s="4" t="s">
        <v>356</v>
      </c>
      <c r="DE15" s="4" t="s">
        <v>348</v>
      </c>
      <c r="DW15">
        <v>2</v>
      </c>
      <c r="DX15" t="str" cm="1">
        <f t="array" aca="1" ref="DX15" ca="1">IFERROR(VLOOKUP(DY15,IF({1,0},OFFSET($DR$6,0,0,COUNT($DR$6:$DR$11+1),1),OFFSET($DQ$6,0,0,COUNT($DR$6:$DR$11+1),1)),2,0),"")</f>
        <v>Bylo</v>
      </c>
      <c r="DY15">
        <f ca="1">IF(LARGE($DR$6:$DR$11,DW15)=0,"",LARGE(DR5:DR10,DW15))</f>
        <v>147</v>
      </c>
    </row>
    <row r="16" spans="2:165" x14ac:dyDescent="0.3">
      <c r="AH16" s="15"/>
      <c r="AI16" s="15"/>
      <c r="AJ16" s="15"/>
      <c r="AK16" s="15"/>
      <c r="BC16" s="7" t="s">
        <v>33</v>
      </c>
      <c r="BD16" s="5">
        <v>0</v>
      </c>
      <c r="BE16" s="5"/>
      <c r="BG16" s="7" t="s">
        <v>298</v>
      </c>
      <c r="BH16" s="5">
        <v>110</v>
      </c>
      <c r="BI16" s="5">
        <v>29</v>
      </c>
      <c r="BK16" s="7" t="s">
        <v>33</v>
      </c>
      <c r="BL16" s="5"/>
      <c r="BM16" s="5"/>
      <c r="BO16" t="str">
        <f t="shared" si="11"/>
        <v>Graple</v>
      </c>
      <c r="BP16">
        <f t="shared" si="12"/>
        <v>4</v>
      </c>
      <c r="BQ16" s="7" t="str">
        <v>Graple</v>
      </c>
      <c r="BR16">
        <f t="shared" si="7"/>
        <v>0</v>
      </c>
      <c r="BT16">
        <v>10</v>
      </c>
      <c r="BU16" t="str">
        <f t="shared" si="14"/>
        <v>Knuckles</v>
      </c>
      <c r="BV16">
        <f t="shared" si="20"/>
        <v>204</v>
      </c>
      <c r="CB16" s="4" t="s">
        <v>189</v>
      </c>
      <c r="CC16" t="s">
        <v>228</v>
      </c>
      <c r="CD16" t="s">
        <v>229</v>
      </c>
      <c r="CF16" s="4" t="s">
        <v>189</v>
      </c>
      <c r="CG16" t="s">
        <v>262</v>
      </c>
      <c r="CH16" t="s">
        <v>263</v>
      </c>
      <c r="CJ16" s="4" t="s">
        <v>189</v>
      </c>
      <c r="CK16" t="s">
        <v>268</v>
      </c>
      <c r="CL16" t="s">
        <v>265</v>
      </c>
      <c r="CN16" s="7" t="s">
        <v>26</v>
      </c>
      <c r="CO16">
        <f>IFERROR(GETPIVOTDATA("Sum of Dmg",$CB$16,"Target ","Angatparul"),0)+IFERROR(GETPIVOTDATA("Sum of Dmg 2",$CB$16,"Target ","Angatparul"),0)+IFERROR(GETPIVOTDATA("Sum of Dmg 3",$CF$16,"Target 2","Angatparul"),0)+IFERROR(GETPIVOTDATA("Sum of Dmg 4",$CF$16,"Target 2","Angatparul"),0)+IFERROR(GETPIVOTDATA("Sum of Dmg 5",$CJ$16,"Target 3","Angatparul"),0)+IFERROR(GETPIVOTDATA("Sum of Dmg  6",$CJ$16,"Target 3","Angatparul"),0)</f>
        <v>0</v>
      </c>
      <c r="CP16" s="26">
        <f t="shared" ref="CP16:CP22" si="21">CO16/$CO$11</f>
        <v>0</v>
      </c>
      <c r="CR16" t="s">
        <v>26</v>
      </c>
      <c r="CS16" s="26">
        <f>CS5/CV5</f>
        <v>0.50972762645914393</v>
      </c>
      <c r="CT16" s="26">
        <f>CT5/CV5</f>
        <v>0.46692607003891051</v>
      </c>
      <c r="CU16" s="26">
        <f>CU5/CV5</f>
        <v>0</v>
      </c>
      <c r="CV16" s="26">
        <f>CV5/$CV$11</f>
        <v>0.20300157977883096</v>
      </c>
      <c r="CW16" s="28"/>
      <c r="DD16" s="4" t="s">
        <v>189</v>
      </c>
      <c r="DE16" t="s">
        <v>26</v>
      </c>
      <c r="DF16" t="s">
        <v>97</v>
      </c>
      <c r="DG16" t="s">
        <v>23</v>
      </c>
      <c r="DH16" t="s">
        <v>34</v>
      </c>
      <c r="DI16" t="s">
        <v>31</v>
      </c>
      <c r="DJ16" t="s">
        <v>102</v>
      </c>
      <c r="DK16" t="s">
        <v>191</v>
      </c>
      <c r="DW16">
        <v>3</v>
      </c>
      <c r="DX16" t="str" cm="1">
        <f t="array" aca="1" ref="DX16" ca="1">IFERROR(VLOOKUP(DY16,IF({1,0},OFFSET($DR$6,0,0,COUNT($DR$6:$DR$11+1),1),OFFSET($DQ$6,0,0,COUNT($DR$6:$DR$11+1),1)),2,0),"")</f>
        <v>Arthus</v>
      </c>
      <c r="DY16">
        <f ca="1">IF(LARGE($DR$6:$DR$11,DW16)=0,"",LARGE(DR6:DR11,DW16))</f>
        <v>86</v>
      </c>
    </row>
    <row r="17" spans="55:129" x14ac:dyDescent="0.3">
      <c r="BC17" s="7" t="s">
        <v>158</v>
      </c>
      <c r="BD17" s="5">
        <v>110</v>
      </c>
      <c r="BE17" s="5">
        <v>22</v>
      </c>
      <c r="BG17" s="7" t="s">
        <v>37</v>
      </c>
      <c r="BH17" s="5">
        <v>163</v>
      </c>
      <c r="BI17" s="5"/>
      <c r="BK17" s="7" t="s">
        <v>158</v>
      </c>
      <c r="BL17" s="5">
        <v>20</v>
      </c>
      <c r="BM17" s="5"/>
      <c r="BO17" t="str">
        <f t="shared" si="11"/>
        <v>Greatclub</v>
      </c>
      <c r="BP17">
        <f t="shared" si="12"/>
        <v>5</v>
      </c>
      <c r="BQ17" s="7" t="str">
        <v>Greatclub</v>
      </c>
      <c r="BR17">
        <f t="shared" si="7"/>
        <v>215</v>
      </c>
      <c r="BT17">
        <v>11</v>
      </c>
      <c r="BU17" t="str">
        <f t="shared" si="14"/>
        <v>Monk unarmed strike</v>
      </c>
      <c r="BV17">
        <f t="shared" si="20"/>
        <v>358</v>
      </c>
      <c r="CB17" s="7" t="s">
        <v>26</v>
      </c>
      <c r="CC17" s="5">
        <v>0</v>
      </c>
      <c r="CD17" s="5"/>
      <c r="CF17" s="7" t="s">
        <v>97</v>
      </c>
      <c r="CG17" s="5"/>
      <c r="CH17" s="5"/>
      <c r="CJ17" s="7" t="s">
        <v>26</v>
      </c>
      <c r="CK17" s="5"/>
      <c r="CL17" s="5"/>
      <c r="CN17" s="7" t="s">
        <v>97</v>
      </c>
      <c r="CO17">
        <f>IFERROR(GETPIVOTDATA("Sum of Dmg",$CB$16,"Target ","Arthus"),0)+IFERROR(GETPIVOTDATA("Sum of Dmg 2",$CB$16,"Target ","Arthus"),0)+IFERROR(GETPIVOTDATA("Sum of Dmg 3",$CF$16,"Target 2","Arthus"),0)+IFERROR(GETPIVOTDATA("Sum of Dmg 4",$CF$16,"Target 2","Arthus"),0)+IFERROR(GETPIVOTDATA("Sum of Dmg 5",$CJ$16,"Target 3","Arthus"),0)+IFERROR(GETPIVOTDATA("Sum of Dmg  6",$CJ$16,"Target 3","Arthus"),0)</f>
        <v>29</v>
      </c>
      <c r="CP17" s="26">
        <f t="shared" si="21"/>
        <v>2.2906793048973143E-2</v>
      </c>
      <c r="CR17" s="7" t="s">
        <v>97</v>
      </c>
      <c r="CS17" s="26">
        <f>CS6/CV6</f>
        <v>0.44751381215469616</v>
      </c>
      <c r="CT17" s="26">
        <f t="shared" ref="CT17:CT21" si="22">CT6/CV6</f>
        <v>0.35359116022099446</v>
      </c>
      <c r="CU17" s="26">
        <f t="shared" ref="CU17:CU21" si="23">CU6/CV6</f>
        <v>0.16022099447513813</v>
      </c>
      <c r="CV17" s="26">
        <f t="shared" ref="CV17:CV21" si="24">CV6/$CV$11</f>
        <v>0.14296998420221169</v>
      </c>
      <c r="CW17" s="28"/>
      <c r="DD17" s="7" t="s">
        <v>26</v>
      </c>
      <c r="DE17" s="5">
        <v>1</v>
      </c>
      <c r="DF17" s="5"/>
      <c r="DG17" s="5"/>
      <c r="DH17" s="5"/>
      <c r="DI17" s="5"/>
      <c r="DJ17" s="5"/>
      <c r="DK17" s="5">
        <v>1</v>
      </c>
      <c r="DW17">
        <v>4</v>
      </c>
      <c r="DX17" t="str" cm="1">
        <f t="array" aca="1" ref="DX17" ca="1">IFERROR(VLOOKUP(DY17,IF({1,0},OFFSET($DR$6,0,0,COUNT($DR$6:$DR$11+1),1),OFFSET($DQ$6,0,0,COUNT($DR$6:$DR$11+1),1)),2,0),"")</f>
        <v>Sev</v>
      </c>
      <c r="DY17">
        <f ca="1">IF(LARGE($DR$6:$DR$11,DW17)=0,"",LARGE(DR7:DR12,DW17))</f>
        <v>59</v>
      </c>
    </row>
    <row r="18" spans="55:129" x14ac:dyDescent="0.3">
      <c r="BC18" s="7" t="s">
        <v>100</v>
      </c>
      <c r="BD18" s="5">
        <v>146</v>
      </c>
      <c r="BE18" s="5"/>
      <c r="BG18" s="7" t="s">
        <v>72</v>
      </c>
      <c r="BH18" s="5">
        <v>20</v>
      </c>
      <c r="BI18" s="5"/>
      <c r="BK18" s="7" t="s">
        <v>136</v>
      </c>
      <c r="BL18" s="5"/>
      <c r="BM18" s="5"/>
      <c r="BO18" t="str">
        <f t="shared" si="11"/>
        <v>Guardian</v>
      </c>
      <c r="BP18">
        <f t="shared" si="12"/>
        <v>6</v>
      </c>
      <c r="BQ18" s="7" t="str">
        <v>Guardian</v>
      </c>
      <c r="BR18">
        <f t="shared" si="7"/>
        <v>226</v>
      </c>
      <c r="BT18">
        <v>12</v>
      </c>
      <c r="BU18" t="str">
        <f t="shared" si="14"/>
        <v>Pike</v>
      </c>
      <c r="BV18">
        <f t="shared" si="20"/>
        <v>523</v>
      </c>
      <c r="CB18" s="7" t="s">
        <v>97</v>
      </c>
      <c r="CC18" s="5">
        <v>29</v>
      </c>
      <c r="CD18" s="5"/>
      <c r="CF18" s="7" t="s">
        <v>23</v>
      </c>
      <c r="CG18" s="5">
        <v>11</v>
      </c>
      <c r="CH18" s="5"/>
      <c r="CJ18" s="7" t="s">
        <v>97</v>
      </c>
      <c r="CK18" s="5"/>
      <c r="CL18" s="5"/>
      <c r="CN18" s="7" t="s">
        <v>23</v>
      </c>
      <c r="CO18">
        <f>IFERROR(GETPIVOTDATA("Sum of Dmg",$CB$16,"Target ","Bylo"),0)+IFERROR(GETPIVOTDATA("Sum of Dmg 2",$CB$16,"Target ","Bylo"),0)+IFERROR(GETPIVOTDATA("Sum of Dmg 3",$CF$16,"Target 2","Bylo"),0)+IFERROR(GETPIVOTDATA("Sum of Dmg 4",$CF$16,"Target 2","Bylo"),0)+IFERROR(GETPIVOTDATA("Sum of Dmg 5",$CJ$16,"Target 3","Bylo"),0)+IFERROR(GETPIVOTDATA("Sum of Dmg  6",$CJ$16,"Target 3","Bylo"),0)</f>
        <v>124</v>
      </c>
      <c r="CP18" s="26">
        <f t="shared" si="21"/>
        <v>9.7946287519747238E-2</v>
      </c>
      <c r="CR18" s="7" t="s">
        <v>23</v>
      </c>
      <c r="CS18" s="26">
        <f t="shared" ref="CS18:CS21" si="25">CS7/CV7</f>
        <v>0.14046822742474915</v>
      </c>
      <c r="CT18" s="26">
        <f t="shared" si="22"/>
        <v>0.42474916387959866</v>
      </c>
      <c r="CU18" s="26">
        <f t="shared" si="23"/>
        <v>0.41471571906354515</v>
      </c>
      <c r="CV18" s="26">
        <f t="shared" si="24"/>
        <v>0.23617693522906794</v>
      </c>
      <c r="CW18" s="28"/>
      <c r="DD18" s="7" t="s">
        <v>97</v>
      </c>
      <c r="DE18" s="5">
        <v>14</v>
      </c>
      <c r="DF18" s="5">
        <v>26</v>
      </c>
      <c r="DG18" s="5"/>
      <c r="DH18" s="5"/>
      <c r="DI18" s="5">
        <v>10</v>
      </c>
      <c r="DJ18" s="5"/>
      <c r="DK18" s="5">
        <v>50</v>
      </c>
      <c r="DO18">
        <f t="shared" ref="DO18:DO24" ca="1" si="26">IF(DQ18&lt;&gt;FALSE,DO17+1,DO17)</f>
        <v>1</v>
      </c>
      <c r="DP18" t="str">
        <f t="shared" ref="DP18:DP24" ca="1" si="27">IF($DM$2&lt;&gt;DM6,DM6)</f>
        <v>Angatparul</v>
      </c>
      <c r="DQ18">
        <f t="shared" ref="DQ18:DQ24" ca="1" si="28">IF($DM$2&lt;&gt;DM6,DN6)</f>
        <v>173</v>
      </c>
      <c r="DR18">
        <f t="shared" ref="DR18:DR24" ca="1" si="29">DO18+1</f>
        <v>2</v>
      </c>
      <c r="DT18">
        <f ca="1">LARGE($DN$6:$DN$12,1)</f>
        <v>299</v>
      </c>
      <c r="DW18">
        <v>5</v>
      </c>
      <c r="DX18" t="str" cm="1">
        <f t="array" aca="1" ref="DX18" ca="1">IFERROR(VLOOKUP(DY18,IF({1,0},OFFSET($DR$6,0,0,COUNT($DR$6:$DR$11+1),1),OFFSET($DQ$6,0,0,COUNT($DR$6:$DR$11+1),1)),2,0),"")</f>
        <v/>
      </c>
      <c r="DY18" t="e">
        <f ca="1">IF(LARGE($DR$6:$DR$11,DW18)=0,"",LARGE(DR8:DR13,DW18))</f>
        <v>#NUM!</v>
      </c>
    </row>
    <row r="19" spans="55:129" x14ac:dyDescent="0.3">
      <c r="BC19" s="7" t="s">
        <v>131</v>
      </c>
      <c r="BD19" s="5">
        <v>18</v>
      </c>
      <c r="BE19" s="5"/>
      <c r="BG19" s="7" t="s">
        <v>124</v>
      </c>
      <c r="BH19" s="5">
        <v>9</v>
      </c>
      <c r="BI19" s="5"/>
      <c r="BK19" s="7" t="s">
        <v>65</v>
      </c>
      <c r="BL19" s="5"/>
      <c r="BM19" s="5"/>
      <c r="BO19" t="str">
        <f t="shared" si="11"/>
        <v>Gunblade</v>
      </c>
      <c r="BP19">
        <f t="shared" si="12"/>
        <v>7</v>
      </c>
      <c r="BQ19" s="7" t="str">
        <v>Gunblade</v>
      </c>
      <c r="BR19">
        <f t="shared" si="7"/>
        <v>18</v>
      </c>
      <c r="BT19">
        <v>13</v>
      </c>
      <c r="BU19" t="str">
        <f>IFERROR(VLOOKUP(BT19,$BP$5:$BR$71,2,0),"")</f>
        <v>Spear</v>
      </c>
      <c r="BV19">
        <f t="shared" si="20"/>
        <v>80</v>
      </c>
      <c r="CB19" s="7" t="s">
        <v>23</v>
      </c>
      <c r="CC19" s="5">
        <v>58</v>
      </c>
      <c r="CD19" s="5">
        <v>55</v>
      </c>
      <c r="CF19" s="7" t="s">
        <v>34</v>
      </c>
      <c r="CG19" s="5">
        <v>36</v>
      </c>
      <c r="CH19" s="5"/>
      <c r="CJ19" s="7" t="s">
        <v>23</v>
      </c>
      <c r="CK19" s="5"/>
      <c r="CL19" s="5"/>
      <c r="CN19" s="7" t="s">
        <v>34</v>
      </c>
      <c r="CO19">
        <f>IFERROR(GETPIVOTDATA("Sum of Dmg",$CB$16,"Target ","Ciri Ruple"),0)+IFERROR(GETPIVOTDATA("Sum of Dmg 2",$CB$16,"Target ","Ciri Ruple"),0)+IFERROR(GETPIVOTDATA("Sum of Dmg 3",$CF$16,"Target 2","Ciri Ruple"),0)+IFERROR(GETPIVOTDATA("Sum of Dmg 4",$CF$16,"Target 2","Ciri Ruple"),0)+IFERROR(GETPIVOTDATA("Sum of Dmg 5",$CJ$16,"Target 3","Ciri Ruple"),0)+IFERROR(GETPIVOTDATA("Sum of Dmg  6",$CJ$16,"Target 3","Ciri Ruple"),0)</f>
        <v>79</v>
      </c>
      <c r="CP19" s="26">
        <f t="shared" si="21"/>
        <v>6.2401263823064768E-2</v>
      </c>
      <c r="CR19" s="7" t="s">
        <v>34</v>
      </c>
      <c r="CS19" s="26">
        <f t="shared" si="25"/>
        <v>0.42567567567567566</v>
      </c>
      <c r="CT19" s="26">
        <f t="shared" si="22"/>
        <v>0</v>
      </c>
      <c r="CU19" s="26">
        <f t="shared" si="23"/>
        <v>0.53378378378378377</v>
      </c>
      <c r="CV19" s="26">
        <f t="shared" si="24"/>
        <v>0.11690363349131122</v>
      </c>
      <c r="CW19" s="28"/>
      <c r="DD19" s="7" t="s">
        <v>23</v>
      </c>
      <c r="DE19" s="5">
        <v>131</v>
      </c>
      <c r="DF19" s="5">
        <v>13</v>
      </c>
      <c r="DG19" s="5">
        <v>60</v>
      </c>
      <c r="DH19" s="5">
        <v>26</v>
      </c>
      <c r="DI19" s="5"/>
      <c r="DJ19" s="5">
        <v>15</v>
      </c>
      <c r="DK19" s="5">
        <v>245</v>
      </c>
      <c r="DO19">
        <f t="shared" ca="1" si="26"/>
        <v>2</v>
      </c>
      <c r="DP19" t="str">
        <f t="shared" ca="1" si="27"/>
        <v>Arthus</v>
      </c>
      <c r="DQ19">
        <f t="shared" ca="1" si="28"/>
        <v>86</v>
      </c>
      <c r="DR19">
        <f t="shared" ca="1" si="29"/>
        <v>3</v>
      </c>
      <c r="DT19">
        <f ca="1">LARGE($DN$6:$DN$12,2)</f>
        <v>173</v>
      </c>
    </row>
    <row r="20" spans="55:129" x14ac:dyDescent="0.3">
      <c r="BC20" s="7" t="s">
        <v>98</v>
      </c>
      <c r="BD20" s="5">
        <v>173</v>
      </c>
      <c r="BE20" s="5">
        <v>66</v>
      </c>
      <c r="BG20" s="7" t="s">
        <v>111</v>
      </c>
      <c r="BH20" s="5">
        <v>164</v>
      </c>
      <c r="BI20" s="5"/>
      <c r="BK20" s="7" t="s">
        <v>298</v>
      </c>
      <c r="BL20" s="5">
        <v>66</v>
      </c>
      <c r="BM20" s="5"/>
      <c r="BO20" t="str">
        <f t="shared" si="11"/>
        <v>Halberd</v>
      </c>
      <c r="BP20">
        <f t="shared" si="12"/>
        <v>8</v>
      </c>
      <c r="BQ20" s="7" t="str">
        <v>Halberd</v>
      </c>
      <c r="BR20">
        <f t="shared" si="7"/>
        <v>323</v>
      </c>
      <c r="BT20">
        <v>14</v>
      </c>
      <c r="BU20" t="str">
        <f t="shared" ref="BU20:BU40" si="30">IFERROR(VLOOKUP(BT20,$BP$5:$BR$71,2,0),"")</f>
        <v>Vandal</v>
      </c>
      <c r="BV20">
        <f t="shared" ref="BV20:BV33" si="31">IFERROR(VLOOKUP(BT20,$BP$5:$BR$71,3,0),"")</f>
        <v>257</v>
      </c>
      <c r="CB20" s="7" t="s">
        <v>34</v>
      </c>
      <c r="CC20" s="5">
        <v>43</v>
      </c>
      <c r="CD20" s="5"/>
      <c r="CF20" s="7" t="s">
        <v>31</v>
      </c>
      <c r="CG20" s="5">
        <v>9</v>
      </c>
      <c r="CH20" s="5"/>
      <c r="CJ20" s="7" t="s">
        <v>34</v>
      </c>
      <c r="CK20" s="5"/>
      <c r="CL20" s="5"/>
      <c r="CN20" s="7" t="s">
        <v>31</v>
      </c>
      <c r="CO20">
        <f>IFERROR(GETPIVOTDATA("Sum of Dmg",$CB$16,"Target ","Sev"),0)+IFERROR(GETPIVOTDATA("Sum of Dmg 2",$CB$16,"Target ","Sev"),0)+IFERROR(GETPIVOTDATA("Sum of Dmg 3",$CF$16,"Target 2","Sev"),0)+IFERROR(GETPIVOTDATA("Sum of Dmg 4",$CF$16,"Target 2","Sev"),0)+IFERROR(GETPIVOTDATA("Sum of Dmg 5",$CJ$16,"Target 3","Sev"),0)+IFERROR(GETPIVOTDATA("Sum of Dmg  6",$CJ$16,"Target 3","Sev"),0)</f>
        <v>69</v>
      </c>
      <c r="CP20" s="26">
        <f t="shared" si="21"/>
        <v>5.4502369668246446E-2</v>
      </c>
      <c r="CR20" s="7" t="s">
        <v>31</v>
      </c>
      <c r="CS20" s="26">
        <f t="shared" si="25"/>
        <v>0.16153846153846155</v>
      </c>
      <c r="CT20" s="26">
        <f t="shared" si="22"/>
        <v>0.55000000000000004</v>
      </c>
      <c r="CU20" s="26">
        <f t="shared" si="23"/>
        <v>0.26538461538461539</v>
      </c>
      <c r="CV20" s="26">
        <f t="shared" si="24"/>
        <v>0.20537124802527645</v>
      </c>
      <c r="CW20" s="28"/>
      <c r="DD20" s="7" t="s">
        <v>34</v>
      </c>
      <c r="DE20" s="5"/>
      <c r="DF20" s="5"/>
      <c r="DG20" s="5"/>
      <c r="DH20" s="5">
        <v>1</v>
      </c>
      <c r="DI20" s="5"/>
      <c r="DJ20" s="5"/>
      <c r="DK20" s="5">
        <v>1</v>
      </c>
      <c r="DO20">
        <f t="shared" ca="1" si="26"/>
        <v>3</v>
      </c>
      <c r="DP20" t="str">
        <f t="shared" ca="1" si="27"/>
        <v>Bylo</v>
      </c>
      <c r="DQ20">
        <f t="shared" ca="1" si="28"/>
        <v>147</v>
      </c>
      <c r="DR20">
        <f t="shared" ca="1" si="29"/>
        <v>4</v>
      </c>
      <c r="DT20">
        <f ca="1">LARGE($DN$6:$DN$12,3)</f>
        <v>147</v>
      </c>
    </row>
    <row r="21" spans="55:129" x14ac:dyDescent="0.3">
      <c r="BC21" s="7" t="s">
        <v>177</v>
      </c>
      <c r="BD21" s="5">
        <v>185</v>
      </c>
      <c r="BE21" s="5"/>
      <c r="BG21" s="7" t="s">
        <v>119</v>
      </c>
      <c r="BH21" s="5"/>
      <c r="BI21" s="5"/>
      <c r="BK21" s="7" t="s">
        <v>286</v>
      </c>
      <c r="BL21" s="5"/>
      <c r="BM21" s="5"/>
      <c r="BO21" t="str">
        <f t="shared" si="11"/>
        <v>Inflict wounds</v>
      </c>
      <c r="BP21">
        <f t="shared" si="12"/>
        <v>9</v>
      </c>
      <c r="BQ21" s="7" t="str">
        <v>Inflict wounds</v>
      </c>
      <c r="BR21">
        <f t="shared" si="7"/>
        <v>185</v>
      </c>
      <c r="BT21">
        <v>15</v>
      </c>
      <c r="BU21" t="str">
        <f t="shared" si="30"/>
        <v>Throw knife</v>
      </c>
      <c r="BV21">
        <f t="shared" si="31"/>
        <v>7</v>
      </c>
      <c r="CB21" s="7" t="s">
        <v>31</v>
      </c>
      <c r="CC21" s="5">
        <v>49</v>
      </c>
      <c r="CD21" s="5"/>
      <c r="CF21" s="7" t="s">
        <v>191</v>
      </c>
      <c r="CG21" s="5">
        <v>56</v>
      </c>
      <c r="CH21" s="5"/>
      <c r="CJ21" s="7" t="s">
        <v>31</v>
      </c>
      <c r="CK21" s="5">
        <v>11</v>
      </c>
      <c r="CL21" s="5"/>
      <c r="CN21" s="7" t="s">
        <v>102</v>
      </c>
      <c r="CO21">
        <f>IFERROR(GETPIVOTDATA("Sum of Dmg",$CB$16,"Target ","Venythria"),0)+IFERROR(GETPIVOTDATA("Sum of Dmg 2",$CB$16,"Target ","Venythria"),0)+IFERROR(GETPIVOTDATA("Sum of Dmg 3",$CF$16,"Target 2","Venythria"),0)+IFERROR(GETPIVOTDATA("Sum of Dmg 4",$CF$16,"Target 2","Venythria"),0)+IFERROR(GETPIVOTDATA("Sum of Dmg 5",$CJ$16,"Target 3","Venythria"),0)+IFERROR(GETPIVOTDATA("Sum of Dmg  6",$CJ$16,"Target 3","Venythria"),0)</f>
        <v>15</v>
      </c>
      <c r="CP21" s="26">
        <f t="shared" si="21"/>
        <v>1.1848341232227487E-2</v>
      </c>
      <c r="CR21" s="7" t="s">
        <v>102</v>
      </c>
      <c r="CS21" s="26">
        <f t="shared" si="25"/>
        <v>0</v>
      </c>
      <c r="CT21" s="26">
        <f t="shared" si="22"/>
        <v>0.82644628099173556</v>
      </c>
      <c r="CU21" s="26">
        <f t="shared" si="23"/>
        <v>0.12396694214876033</v>
      </c>
      <c r="CV21" s="26">
        <f t="shared" si="24"/>
        <v>9.5576619273301744E-2</v>
      </c>
      <c r="CW21" s="28"/>
      <c r="DD21" s="7" t="s">
        <v>31</v>
      </c>
      <c r="DE21" s="5"/>
      <c r="DF21" s="5"/>
      <c r="DG21" s="5"/>
      <c r="DH21" s="5"/>
      <c r="DI21" s="5">
        <v>1</v>
      </c>
      <c r="DJ21" s="5"/>
      <c r="DK21" s="5">
        <v>1</v>
      </c>
      <c r="DO21">
        <f t="shared" ca="1" si="26"/>
        <v>4</v>
      </c>
      <c r="DP21" t="str">
        <f t="shared" ca="1" si="27"/>
        <v>Ciri Ruple</v>
      </c>
      <c r="DQ21">
        <f t="shared" ca="1" si="28"/>
        <v>62</v>
      </c>
      <c r="DR21">
        <f t="shared" ca="1" si="29"/>
        <v>5</v>
      </c>
      <c r="DT21">
        <f ca="1">LARGE($DN$6:$DN$12,4)</f>
        <v>86</v>
      </c>
    </row>
    <row r="22" spans="55:129" x14ac:dyDescent="0.3">
      <c r="BC22" s="7" t="s">
        <v>92</v>
      </c>
      <c r="BD22" s="5">
        <v>89</v>
      </c>
      <c r="BE22" s="5">
        <v>29</v>
      </c>
      <c r="BG22" s="7" t="s">
        <v>190</v>
      </c>
      <c r="BH22" s="5"/>
      <c r="BI22" s="5"/>
      <c r="BK22" s="7" t="s">
        <v>37</v>
      </c>
      <c r="BL22" s="5">
        <v>90</v>
      </c>
      <c r="BM22" s="5"/>
      <c r="BO22" t="str">
        <f t="shared" si="11"/>
        <v>Knuckles</v>
      </c>
      <c r="BP22">
        <f t="shared" si="12"/>
        <v>10</v>
      </c>
      <c r="BQ22" s="7" t="str">
        <v>Knuckles</v>
      </c>
      <c r="BR22">
        <f t="shared" si="7"/>
        <v>204</v>
      </c>
      <c r="BT22">
        <v>16</v>
      </c>
      <c r="BU22" t="str">
        <f t="shared" si="30"/>
        <v>Flintlock pistol</v>
      </c>
      <c r="BV22">
        <f t="shared" si="31"/>
        <v>29</v>
      </c>
      <c r="CB22" s="7" t="s">
        <v>102</v>
      </c>
      <c r="CC22" s="5">
        <v>15</v>
      </c>
      <c r="CD22" s="5"/>
      <c r="CJ22" s="7" t="s">
        <v>191</v>
      </c>
      <c r="CK22" s="5">
        <v>11</v>
      </c>
      <c r="CL22" s="5"/>
      <c r="CN22" s="7" t="s">
        <v>331</v>
      </c>
      <c r="CO22" s="2">
        <f>IFERROR(GETPIVOTDATA("Sum of Dmg",$CB$16),0)+IFERROR(GETPIVOTDATA("Sum of Dmg 2",$CB$16),0)+IFERROR(GETPIVOTDATA("Sum of Dmg 3",$CF$16),0)+IFERROR(GETPIVOTDATA("Sum of Dmg 4",$CF$16),0)+IFERROR(GETPIVOTDATA("Sum of Dmg 5",$CJ$16),0)+IFERROR(GETPIVOTDATA("Sum of Dmg  6",$CJ$16),0)</f>
        <v>316</v>
      </c>
      <c r="CP22" s="26">
        <f t="shared" si="21"/>
        <v>0.24960505529225907</v>
      </c>
      <c r="CR22" s="7" t="s">
        <v>331</v>
      </c>
      <c r="CS22" s="26">
        <v>1</v>
      </c>
      <c r="CT22" s="26">
        <v>1</v>
      </c>
      <c r="CU22" s="26">
        <v>1</v>
      </c>
      <c r="CV22" s="26">
        <v>1</v>
      </c>
      <c r="CW22" s="28"/>
      <c r="DD22" s="7" t="s">
        <v>102</v>
      </c>
      <c r="DE22" s="5"/>
      <c r="DF22" s="5"/>
      <c r="DG22" s="5"/>
      <c r="DH22" s="5"/>
      <c r="DI22" s="5"/>
      <c r="DJ22" s="5">
        <v>1</v>
      </c>
      <c r="DK22" s="5">
        <v>1</v>
      </c>
      <c r="DO22">
        <f t="shared" ca="1" si="26"/>
        <v>5</v>
      </c>
      <c r="DP22" t="str">
        <f t="shared" ca="1" si="27"/>
        <v>Sev</v>
      </c>
      <c r="DQ22">
        <f t="shared" ca="1" si="28"/>
        <v>59</v>
      </c>
      <c r="DR22">
        <f t="shared" ca="1" si="29"/>
        <v>6</v>
      </c>
      <c r="DT22">
        <f ca="1">LARGE($DN$6:$DN$12,5)</f>
        <v>62</v>
      </c>
    </row>
    <row r="23" spans="55:129" x14ac:dyDescent="0.3">
      <c r="BC23" s="7" t="s">
        <v>298</v>
      </c>
      <c r="BD23" s="5">
        <v>117</v>
      </c>
      <c r="BE23" s="5">
        <v>36</v>
      </c>
      <c r="BG23" s="7" t="s">
        <v>64</v>
      </c>
      <c r="BH23" s="5"/>
      <c r="BI23" s="5"/>
      <c r="BK23" s="7" t="s">
        <v>45</v>
      </c>
      <c r="BL23" s="5"/>
      <c r="BM23" s="5"/>
      <c r="BO23" t="str">
        <f t="shared" si="11"/>
        <v>Monk unarmed strike</v>
      </c>
      <c r="BP23">
        <f t="shared" si="12"/>
        <v>11</v>
      </c>
      <c r="BQ23" s="7" t="str">
        <v>Monk unarmed strike</v>
      </c>
      <c r="BR23">
        <f t="shared" si="7"/>
        <v>358</v>
      </c>
      <c r="BT23">
        <v>17</v>
      </c>
      <c r="BU23" t="str">
        <f t="shared" si="30"/>
        <v>Random rock</v>
      </c>
      <c r="BV23">
        <f t="shared" si="31"/>
        <v>18</v>
      </c>
      <c r="CB23" s="7" t="s">
        <v>191</v>
      </c>
      <c r="CC23" s="5">
        <v>194</v>
      </c>
      <c r="CD23" s="5">
        <v>55</v>
      </c>
      <c r="DD23" s="7" t="s">
        <v>191</v>
      </c>
      <c r="DE23" s="5">
        <v>146</v>
      </c>
      <c r="DF23" s="5">
        <v>39</v>
      </c>
      <c r="DG23" s="5">
        <v>60</v>
      </c>
      <c r="DH23" s="5">
        <v>27</v>
      </c>
      <c r="DI23" s="5">
        <v>11</v>
      </c>
      <c r="DJ23" s="5">
        <v>16</v>
      </c>
      <c r="DK23" s="5">
        <v>299</v>
      </c>
      <c r="DO23">
        <f t="shared" ca="1" si="26"/>
        <v>6</v>
      </c>
      <c r="DP23" t="str">
        <f t="shared" ca="1" si="27"/>
        <v>Venythria</v>
      </c>
      <c r="DQ23">
        <f t="shared" ca="1" si="28"/>
        <v>18</v>
      </c>
      <c r="DR23">
        <f t="shared" ca="1" si="29"/>
        <v>7</v>
      </c>
      <c r="DT23">
        <f ca="1">LARGE($DN$6:$DN$12,6)</f>
        <v>59</v>
      </c>
    </row>
    <row r="24" spans="55:129" x14ac:dyDescent="0.3">
      <c r="BC24" s="7" t="s">
        <v>37</v>
      </c>
      <c r="BD24" s="5">
        <v>243</v>
      </c>
      <c r="BE24" s="5">
        <v>27</v>
      </c>
      <c r="BG24" s="7" t="s">
        <v>136</v>
      </c>
      <c r="BH24" s="5"/>
      <c r="BI24" s="5"/>
      <c r="BK24" s="7" t="s">
        <v>275</v>
      </c>
      <c r="BL24" s="5"/>
      <c r="BM24" s="5"/>
      <c r="BO24" t="str">
        <f t="shared" si="11"/>
        <v>Pike</v>
      </c>
      <c r="BP24">
        <f t="shared" si="12"/>
        <v>12</v>
      </c>
      <c r="BQ24" s="7" t="str">
        <v>Pike</v>
      </c>
      <c r="BR24">
        <f t="shared" si="7"/>
        <v>523</v>
      </c>
      <c r="BT24">
        <v>18</v>
      </c>
      <c r="BU24" t="str">
        <f t="shared" si="30"/>
        <v>Javalin</v>
      </c>
      <c r="BV24">
        <f t="shared" si="31"/>
        <v>7</v>
      </c>
      <c r="DO24">
        <f t="shared" ca="1" si="26"/>
        <v>6</v>
      </c>
      <c r="DP24" t="b">
        <f t="shared" ca="1" si="27"/>
        <v>0</v>
      </c>
      <c r="DQ24" t="b">
        <f t="shared" ca="1" si="28"/>
        <v>0</v>
      </c>
      <c r="DR24">
        <f t="shared" ca="1" si="29"/>
        <v>7</v>
      </c>
    </row>
    <row r="25" spans="55:129" x14ac:dyDescent="0.3">
      <c r="BC25" s="7" t="s">
        <v>72</v>
      </c>
      <c r="BD25" s="5">
        <v>39</v>
      </c>
      <c r="BE25" s="5">
        <v>21</v>
      </c>
      <c r="BG25" s="7" t="s">
        <v>389</v>
      </c>
      <c r="BH25" s="5"/>
      <c r="BI25" s="5"/>
      <c r="BK25" s="7" t="s">
        <v>122</v>
      </c>
      <c r="BL25" s="5"/>
      <c r="BM25" s="5"/>
      <c r="BO25" t="str">
        <f t="shared" si="11"/>
        <v>Spear</v>
      </c>
      <c r="BP25">
        <f t="shared" si="12"/>
        <v>13</v>
      </c>
      <c r="BQ25" s="7" t="str">
        <v>Spear</v>
      </c>
      <c r="BR25">
        <f t="shared" si="7"/>
        <v>80</v>
      </c>
      <c r="BT25">
        <v>19</v>
      </c>
      <c r="BU25" t="str">
        <f t="shared" si="30"/>
        <v>GB bullets</v>
      </c>
      <c r="BV25">
        <f t="shared" si="31"/>
        <v>8</v>
      </c>
      <c r="CB25" s="4" t="s">
        <v>3</v>
      </c>
      <c r="CC25" s="7">
        <v>1</v>
      </c>
      <c r="CF25" s="4" t="s">
        <v>3</v>
      </c>
      <c r="CG25" s="7">
        <v>1</v>
      </c>
      <c r="CJ25" s="4" t="s">
        <v>3</v>
      </c>
      <c r="CK25" s="7">
        <v>1</v>
      </c>
      <c r="CN25" t="s">
        <v>337</v>
      </c>
      <c r="DD25" s="4" t="s">
        <v>363</v>
      </c>
      <c r="DE25" s="4" t="s">
        <v>348</v>
      </c>
    </row>
    <row r="26" spans="55:129" x14ac:dyDescent="0.3">
      <c r="BC26" s="7" t="s">
        <v>111</v>
      </c>
      <c r="BD26" s="5">
        <v>93</v>
      </c>
      <c r="BE26" s="5"/>
      <c r="BG26" s="7" t="s">
        <v>397</v>
      </c>
      <c r="BH26" s="5">
        <v>13</v>
      </c>
      <c r="BI26" s="5"/>
      <c r="BK26" s="7" t="s">
        <v>104</v>
      </c>
      <c r="BL26" s="5"/>
      <c r="BM26" s="5"/>
      <c r="BO26" t="str">
        <f t="shared" si="11"/>
        <v>Vandal</v>
      </c>
      <c r="BP26">
        <f t="shared" si="12"/>
        <v>14</v>
      </c>
      <c r="BQ26" s="7" t="str">
        <v>Vandal</v>
      </c>
      <c r="BR26">
        <f t="shared" si="7"/>
        <v>257</v>
      </c>
      <c r="BT26">
        <v>20</v>
      </c>
      <c r="BU26" t="str">
        <f t="shared" si="30"/>
        <v>Spiritual weapon</v>
      </c>
      <c r="BV26">
        <f t="shared" si="31"/>
        <v>9</v>
      </c>
      <c r="CN26" t="s">
        <v>309</v>
      </c>
      <c r="CO26" t="s">
        <v>330</v>
      </c>
      <c r="CP26" t="s">
        <v>333</v>
      </c>
      <c r="DD26" s="4" t="s">
        <v>189</v>
      </c>
      <c r="DE26" t="s">
        <v>26</v>
      </c>
      <c r="DF26" t="s">
        <v>97</v>
      </c>
      <c r="DG26" t="s">
        <v>23</v>
      </c>
      <c r="DH26" t="s">
        <v>34</v>
      </c>
      <c r="DI26" t="s">
        <v>31</v>
      </c>
      <c r="DJ26" t="s">
        <v>102</v>
      </c>
      <c r="DK26" t="s">
        <v>191</v>
      </c>
    </row>
    <row r="27" spans="55:129" x14ac:dyDescent="0.3">
      <c r="BC27" s="7" t="s">
        <v>119</v>
      </c>
      <c r="BD27" s="5"/>
      <c r="BE27" s="5"/>
      <c r="BG27" s="7" t="s">
        <v>398</v>
      </c>
      <c r="BH27" s="5"/>
      <c r="BI27" s="5"/>
      <c r="BK27" s="7" t="s">
        <v>190</v>
      </c>
      <c r="BL27" s="5"/>
      <c r="BM27" s="5"/>
      <c r="BO27" t="str">
        <f t="shared" si="11"/>
        <v>Vandel</v>
      </c>
      <c r="BP27">
        <f t="shared" si="12"/>
        <v>14</v>
      </c>
      <c r="BQ27" s="7" t="str">
        <v>Vandel</v>
      </c>
      <c r="BR27">
        <f t="shared" si="7"/>
        <v>0</v>
      </c>
      <c r="BT27">
        <v>21</v>
      </c>
      <c r="BU27" t="str">
        <f t="shared" si="30"/>
        <v>Claw</v>
      </c>
      <c r="BV27">
        <f t="shared" si="31"/>
        <v>5</v>
      </c>
      <c r="CB27" s="4" t="s">
        <v>189</v>
      </c>
      <c r="CC27" t="s">
        <v>228</v>
      </c>
      <c r="CD27" t="s">
        <v>229</v>
      </c>
      <c r="CF27" s="4" t="s">
        <v>189</v>
      </c>
      <c r="CG27" t="s">
        <v>262</v>
      </c>
      <c r="CH27" t="s">
        <v>263</v>
      </c>
      <c r="CJ27" s="4" t="s">
        <v>189</v>
      </c>
      <c r="CK27" t="s">
        <v>268</v>
      </c>
      <c r="CL27" t="s">
        <v>265</v>
      </c>
      <c r="CN27" s="7" t="s">
        <v>26</v>
      </c>
      <c r="CO27">
        <f>IFERROR(GETPIVOTDATA("Sum of Dmg",$CB$27,"Target ","Angatparul"),0)+IFERROR(GETPIVOTDATA("Sum of Dmg 2",$CB$27,"Target ","Angatparul"),0)+IFERROR(GETPIVOTDATA("Sum of Dmg 3",$CF$27,"Target 2","Angatparul"),0)+IFERROR(GETPIVOTDATA("Sum of Dmg 4",$CF$27,"Target 2","Angatparul"),0)+IFERROR(GETPIVOTDATA("Sum of Dmg 5",$CJ$27,"Target 3","Angatparul"),0)+IFERROR(GETPIVOTDATA("Sum of Dmg  6",$CJ$27,"Target 3","Angatparul"),0)</f>
        <v>120</v>
      </c>
      <c r="CP27" s="26">
        <f t="shared" ref="CP27:CP33" si="32">CO27/$CO$11</f>
        <v>9.4786729857819899E-2</v>
      </c>
      <c r="DD27" s="7" t="s">
        <v>26</v>
      </c>
      <c r="DE27" s="5">
        <v>1</v>
      </c>
      <c r="DF27" s="5"/>
      <c r="DG27" s="5"/>
      <c r="DH27" s="5"/>
      <c r="DI27" s="5"/>
      <c r="DJ27" s="5"/>
      <c r="DK27" s="5">
        <v>1</v>
      </c>
    </row>
    <row r="28" spans="55:129" x14ac:dyDescent="0.3">
      <c r="BC28" s="7" t="s">
        <v>30</v>
      </c>
      <c r="BD28" s="5">
        <v>0</v>
      </c>
      <c r="BE28" s="5"/>
      <c r="BG28" s="7" t="s">
        <v>191</v>
      </c>
      <c r="BH28" s="5">
        <v>843</v>
      </c>
      <c r="BI28" s="5">
        <v>38</v>
      </c>
      <c r="BK28" s="7" t="s">
        <v>281</v>
      </c>
      <c r="BL28" s="5"/>
      <c r="BM28" s="5"/>
      <c r="BO28" t="str">
        <f t="shared" si="11"/>
        <v>Zone of truth</v>
      </c>
      <c r="BP28">
        <f t="shared" si="12"/>
        <v>14</v>
      </c>
      <c r="BQ28" s="7" t="str">
        <v>Zone of truth</v>
      </c>
      <c r="BR28">
        <f t="shared" si="7"/>
        <v>0</v>
      </c>
      <c r="BT28">
        <v>22</v>
      </c>
      <c r="BU28" t="str">
        <f t="shared" si="30"/>
        <v>Divine smite</v>
      </c>
      <c r="BV28">
        <f t="shared" si="31"/>
        <v>65</v>
      </c>
      <c r="CB28" s="7" t="s">
        <v>26</v>
      </c>
      <c r="CC28" s="5">
        <v>67</v>
      </c>
      <c r="CD28" s="5">
        <v>4</v>
      </c>
      <c r="CF28" s="7" t="s">
        <v>26</v>
      </c>
      <c r="CG28" s="5">
        <v>49</v>
      </c>
      <c r="CH28" s="5"/>
      <c r="CJ28" s="7" t="s">
        <v>191</v>
      </c>
      <c r="CK28" s="5"/>
      <c r="CL28" s="5"/>
      <c r="CN28" s="7" t="s">
        <v>97</v>
      </c>
      <c r="CO28">
        <f>IFERROR(GETPIVOTDATA("Sum of Dmg",$CB$27,"Target ","Arthus"),0)+IFERROR(GETPIVOTDATA("Sum of Dmg 2",$CB$27,"Target ","Arthus"),0)+IFERROR(GETPIVOTDATA("Sum of Dmg 3",$CF$27,"Target 2","Arthus"),0)+IFERROR(GETPIVOTDATA("Sum of Dmg 4",$CF$27,"Target 2","Arthus"),0)+IFERROR(GETPIVOTDATA("Sum of Dmg 5",$CJ$27,"Target 3","Arthus"),0)+IFERROR(GETPIVOTDATA("Sum of Dmg  6",$CJ$27,"Target 3","Arthus"),0)</f>
        <v>64</v>
      </c>
      <c r="CP28" s="26">
        <f t="shared" si="32"/>
        <v>5.0552922590837282E-2</v>
      </c>
      <c r="DD28" s="7" t="s">
        <v>97</v>
      </c>
      <c r="DE28" s="5"/>
      <c r="DF28" s="5">
        <v>1</v>
      </c>
      <c r="DG28" s="5"/>
      <c r="DH28" s="5"/>
      <c r="DI28" s="5"/>
      <c r="DJ28" s="5"/>
      <c r="DK28" s="5">
        <v>1</v>
      </c>
    </row>
    <row r="29" spans="55:129" x14ac:dyDescent="0.3">
      <c r="BC29" s="7" t="s">
        <v>190</v>
      </c>
      <c r="BD29" s="5">
        <v>0</v>
      </c>
      <c r="BE29" s="5"/>
      <c r="BK29" s="7" t="s">
        <v>64</v>
      </c>
      <c r="BL29" s="5"/>
      <c r="BM29" s="5"/>
      <c r="BO29" t="str">
        <f t="shared" si="11"/>
        <v>(blank)</v>
      </c>
      <c r="BP29">
        <f t="shared" si="12"/>
        <v>14</v>
      </c>
      <c r="BQ29" s="7" t="str">
        <v>(blank)</v>
      </c>
      <c r="BR29">
        <f t="shared" si="7"/>
        <v>0</v>
      </c>
      <c r="BT29">
        <v>23</v>
      </c>
      <c r="BU29" t="str">
        <f t="shared" si="30"/>
        <v>Warhammer</v>
      </c>
      <c r="BV29">
        <f t="shared" si="31"/>
        <v>11</v>
      </c>
      <c r="CB29" s="7" t="s">
        <v>97</v>
      </c>
      <c r="CC29" s="5">
        <v>64</v>
      </c>
      <c r="CD29" s="5"/>
      <c r="CF29" s="7" t="s">
        <v>97</v>
      </c>
      <c r="CG29" s="5"/>
      <c r="CH29" s="5"/>
      <c r="CN29" s="7" t="s">
        <v>23</v>
      </c>
      <c r="CO29">
        <f>IFERROR(GETPIVOTDATA("Sum of Dmg",$CB$27,"Target ","Bylo"),0)+IFERROR(GETPIVOTDATA("Sum of Dmg 2",$CB$27,"Target ","Bylo"),0)+IFERROR(GETPIVOTDATA("Sum of Dmg 3",$CF$27,"Target 2","Bylo"),0)+IFERROR(GETPIVOTDATA("Sum of Dmg 4",$CF$27,"Target 2","Bylo"),0)+IFERROR(GETPIVOTDATA("Sum of Dmg 5",$CJ$27,"Target 3","Bylo"),0)+IFERROR(GETPIVOTDATA("Sum of Dmg  6",$CJ$27,"Target 3","Bylo"),0)</f>
        <v>127</v>
      </c>
      <c r="CP29" s="26">
        <f t="shared" si="32"/>
        <v>0.10031595576619273</v>
      </c>
      <c r="DD29" s="7" t="s">
        <v>23</v>
      </c>
      <c r="DE29" s="5"/>
      <c r="DF29" s="5">
        <v>26</v>
      </c>
      <c r="DG29" s="5">
        <v>1</v>
      </c>
      <c r="DH29" s="5">
        <v>13</v>
      </c>
      <c r="DI29" s="5">
        <v>46</v>
      </c>
      <c r="DJ29" s="5"/>
      <c r="DK29" s="5">
        <v>86</v>
      </c>
    </row>
    <row r="30" spans="55:129" x14ac:dyDescent="0.3">
      <c r="BC30" s="7" t="s">
        <v>389</v>
      </c>
      <c r="BD30" s="5"/>
      <c r="BE30" s="5"/>
      <c r="BK30" s="7" t="s">
        <v>389</v>
      </c>
      <c r="BL30" s="5"/>
      <c r="BM30" s="5"/>
      <c r="BO30" t="str">
        <f t="shared" si="11"/>
        <v>Prayer of healing</v>
      </c>
      <c r="BP30">
        <f t="shared" si="12"/>
        <v>14</v>
      </c>
      <c r="BQ30" s="7" t="str">
        <v>Prayer of healing</v>
      </c>
      <c r="BR30">
        <f t="shared" si="7"/>
        <v>0</v>
      </c>
      <c r="BT30">
        <v>24</v>
      </c>
      <c r="BU30" t="str">
        <f t="shared" si="30"/>
        <v/>
      </c>
      <c r="BV30" t="str">
        <f t="shared" si="31"/>
        <v/>
      </c>
      <c r="CB30" s="7" t="s">
        <v>23</v>
      </c>
      <c r="CC30" s="5">
        <v>69</v>
      </c>
      <c r="CD30" s="5">
        <v>25</v>
      </c>
      <c r="CF30" s="7" t="s">
        <v>23</v>
      </c>
      <c r="CG30" s="5">
        <v>33</v>
      </c>
      <c r="CH30" s="5"/>
      <c r="CN30" s="7" t="s">
        <v>34</v>
      </c>
      <c r="CO30">
        <f>IFERROR(GETPIVOTDATA("Sum of Dmg",$CB$27,"Target ","Ciri Ruple"),0)+IFERROR(GETPIVOTDATA("Sum of Dmg 2",$CB$27,"Target ","Ciri Ruple"),0)+IFERROR(GETPIVOTDATA("Sum of Dmg 3",$CF$27,"Target 2","Ciri Ruple"),0)+IFERROR(GETPIVOTDATA("Sum of Dmg 4",$CF$27,"Target 2","Ciri Ruple"),0)+IFERROR(GETPIVOTDATA("Sum of Dmg 5",$CJ$27,"Target 3","Ciri Ruple"),0)+IFERROR(GETPIVOTDATA("Sum of Dmg  6",$CJ$27,"Target 3","Ciri Ruple"),0)</f>
        <v>0</v>
      </c>
      <c r="CP30" s="26">
        <f t="shared" si="32"/>
        <v>0</v>
      </c>
      <c r="DD30" s="7" t="s">
        <v>34</v>
      </c>
      <c r="DE30" s="5"/>
      <c r="DF30" s="5"/>
      <c r="DG30" s="5"/>
      <c r="DH30" s="5">
        <v>1</v>
      </c>
      <c r="DI30" s="5"/>
      <c r="DJ30" s="5"/>
      <c r="DK30" s="5">
        <v>1</v>
      </c>
    </row>
    <row r="31" spans="55:129" x14ac:dyDescent="0.3">
      <c r="BC31" s="7" t="s">
        <v>395</v>
      </c>
      <c r="BD31" s="5">
        <v>7</v>
      </c>
      <c r="BE31" s="5"/>
      <c r="BK31" s="7" t="s">
        <v>92</v>
      </c>
      <c r="BL31" s="5">
        <v>39</v>
      </c>
      <c r="BM31" s="5"/>
      <c r="BO31" t="str">
        <f t="shared" si="11"/>
        <v>Throw knife</v>
      </c>
      <c r="BP31">
        <f t="shared" si="12"/>
        <v>15</v>
      </c>
      <c r="BQ31" s="7" t="str">
        <v>Throw knife</v>
      </c>
      <c r="BR31">
        <f t="shared" si="7"/>
        <v>7</v>
      </c>
      <c r="BT31">
        <v>25</v>
      </c>
      <c r="BU31" t="str">
        <f t="shared" si="30"/>
        <v/>
      </c>
      <c r="BV31" t="str">
        <f t="shared" si="31"/>
        <v/>
      </c>
      <c r="CB31" s="7" t="s">
        <v>34</v>
      </c>
      <c r="CC31" s="5">
        <v>0</v>
      </c>
      <c r="CD31" s="5"/>
      <c r="CF31" s="7" t="s">
        <v>31</v>
      </c>
      <c r="CG31" s="5">
        <v>8</v>
      </c>
      <c r="CH31" s="5"/>
      <c r="CN31" s="7" t="s">
        <v>31</v>
      </c>
      <c r="CO31">
        <f>IFERROR(GETPIVOTDATA("Sum of Dmg",$CB$27,"Target ","Sev"),0)+IFERROR(GETPIVOTDATA("Sum of Dmg 2",$CB$27,"Target ","Sev"),0)+IFERROR(GETPIVOTDATA("Sum of Dmg 3",$CF$27,"Target 2","Sev"),0)+IFERROR(GETPIVOTDATA("Sum of Dmg 4",$CF$27,"Target 2","Sev"),0)+IFERROR(GETPIVOTDATA("Sum of Dmg 5",$CJ$27,"Target 3","Sev"),0)+IFERROR(GETPIVOTDATA("Sum of Dmg  6",$CJ$27,"Target 3","Sev"),0)</f>
        <v>143</v>
      </c>
      <c r="CP31" s="26">
        <f t="shared" si="32"/>
        <v>0.11295418641390205</v>
      </c>
      <c r="DD31" s="7" t="s">
        <v>31</v>
      </c>
      <c r="DE31" s="5"/>
      <c r="DF31" s="5"/>
      <c r="DG31" s="5"/>
      <c r="DH31" s="5"/>
      <c r="DI31" s="5">
        <v>1</v>
      </c>
      <c r="DJ31" s="5"/>
      <c r="DK31" s="5">
        <v>1</v>
      </c>
    </row>
    <row r="32" spans="55:129" x14ac:dyDescent="0.3">
      <c r="BC32" s="7" t="s">
        <v>397</v>
      </c>
      <c r="BD32" s="5">
        <v>10</v>
      </c>
      <c r="BE32" s="5">
        <v>6</v>
      </c>
      <c r="BK32" s="7" t="s">
        <v>411</v>
      </c>
      <c r="BL32" s="5">
        <v>11</v>
      </c>
      <c r="BM32" s="5"/>
      <c r="BO32" t="str">
        <f t="shared" si="11"/>
        <v>Flintlock pistol</v>
      </c>
      <c r="BP32">
        <f t="shared" si="12"/>
        <v>16</v>
      </c>
      <c r="BQ32" s="7" t="str">
        <v>Flintlock pistol</v>
      </c>
      <c r="BR32">
        <f t="shared" si="7"/>
        <v>29</v>
      </c>
      <c r="BT32">
        <v>26</v>
      </c>
      <c r="BU32" t="str">
        <f t="shared" si="30"/>
        <v/>
      </c>
      <c r="BV32" t="str">
        <f t="shared" si="31"/>
        <v/>
      </c>
      <c r="CB32" s="7" t="s">
        <v>31</v>
      </c>
      <c r="CC32" s="5">
        <v>135</v>
      </c>
      <c r="CD32" s="5"/>
      <c r="CF32" s="7" t="s">
        <v>102</v>
      </c>
      <c r="CG32" s="5"/>
      <c r="CH32" s="5"/>
      <c r="CN32" s="7" t="s">
        <v>102</v>
      </c>
      <c r="CO32">
        <f>IFERROR(GETPIVOTDATA("Sum of Dmg",$CB$27,"Target ","Venythria"),0)+IFERROR(GETPIVOTDATA("Sum of Dmg 2",$CB$27,"Target ","Venythria"),0)+IFERROR(GETPIVOTDATA("Sum of Dmg 3",$CF$27,"Target 2","Venythria"),0)+IFERROR(GETPIVOTDATA("Sum of Dmg 4",$CF$27,"Target 2","Venythria"),0)+IFERROR(GETPIVOTDATA("Sum of Dmg 5",$CJ$27,"Target 3","Venythria"),0)+IFERROR(GETPIVOTDATA("Sum of Dmg  6",$CJ$27,"Target 3","Venythria"),0)</f>
        <v>100</v>
      </c>
      <c r="CP32" s="26">
        <f t="shared" si="32"/>
        <v>7.8988941548183256E-2</v>
      </c>
      <c r="DD32" s="7" t="s">
        <v>102</v>
      </c>
      <c r="DE32" s="5"/>
      <c r="DF32" s="5"/>
      <c r="DG32" s="5"/>
      <c r="DH32" s="5"/>
      <c r="DI32" s="5"/>
      <c r="DJ32" s="5">
        <v>1</v>
      </c>
      <c r="DK32" s="5">
        <v>1</v>
      </c>
    </row>
    <row r="33" spans="55:115" x14ac:dyDescent="0.3">
      <c r="BC33" s="7" t="s">
        <v>398</v>
      </c>
      <c r="BD33" s="5">
        <v>9</v>
      </c>
      <c r="BE33" s="5">
        <v>9</v>
      </c>
      <c r="BK33" s="7" t="s">
        <v>191</v>
      </c>
      <c r="BL33" s="5">
        <v>325</v>
      </c>
      <c r="BM33" s="5"/>
      <c r="BO33" t="str">
        <f t="shared" si="11"/>
        <v>Random rock</v>
      </c>
      <c r="BP33">
        <f t="shared" si="12"/>
        <v>17</v>
      </c>
      <c r="BQ33" s="7" t="str">
        <v>Random rock</v>
      </c>
      <c r="BR33">
        <f t="shared" si="7"/>
        <v>18</v>
      </c>
      <c r="BT33">
        <v>27</v>
      </c>
      <c r="BU33" t="str">
        <f t="shared" si="30"/>
        <v/>
      </c>
      <c r="BV33" t="str">
        <f t="shared" si="31"/>
        <v/>
      </c>
      <c r="CB33" s="7" t="s">
        <v>102</v>
      </c>
      <c r="CC33" s="5">
        <v>100</v>
      </c>
      <c r="CD33" s="5"/>
      <c r="CF33" s="7" t="s">
        <v>191</v>
      </c>
      <c r="CG33" s="5">
        <v>90</v>
      </c>
      <c r="CH33" s="5"/>
      <c r="CN33" s="7" t="s">
        <v>331</v>
      </c>
      <c r="CO33">
        <f>IFERROR(GETPIVOTDATA("Sum of Dmg",$CB$27),0)+IFERROR(GETPIVOTDATA("Sum of Dmg 2",$CB$27),0)+IFERROR(GETPIVOTDATA("Sum of Dmg 3",$CF$27),0)+IFERROR(GETPIVOTDATA("Sum of Dmg 4",$CF$27),0)+IFERROR(GETPIVOTDATA("Sum of Dmg 5",$CJ$27),0)+IFERROR(GETPIVOTDATA("Sum of Dmg  6",$CJ$27),0)</f>
        <v>554</v>
      </c>
      <c r="CP33" s="26">
        <f t="shared" si="32"/>
        <v>0.43759873617693523</v>
      </c>
      <c r="DD33" s="7" t="s">
        <v>191</v>
      </c>
      <c r="DE33" s="5">
        <v>1</v>
      </c>
      <c r="DF33" s="5">
        <v>27</v>
      </c>
      <c r="DG33" s="5">
        <v>1</v>
      </c>
      <c r="DH33" s="5">
        <v>14</v>
      </c>
      <c r="DI33" s="5">
        <v>47</v>
      </c>
      <c r="DJ33" s="5">
        <v>1</v>
      </c>
      <c r="DK33" s="5">
        <v>91</v>
      </c>
    </row>
    <row r="34" spans="55:115" x14ac:dyDescent="0.3">
      <c r="BC34" s="7" t="s">
        <v>384</v>
      </c>
      <c r="BD34" s="5"/>
      <c r="BE34" s="5"/>
      <c r="BO34" t="str">
        <f t="shared" si="11"/>
        <v>Sacred Weapon</v>
      </c>
      <c r="BP34">
        <f t="shared" si="12"/>
        <v>17</v>
      </c>
      <c r="BQ34" s="7" t="str">
        <v>Sacred Weapon</v>
      </c>
      <c r="BR34">
        <f t="shared" si="7"/>
        <v>0</v>
      </c>
      <c r="BT34">
        <v>28</v>
      </c>
      <c r="BU34" t="str">
        <f t="shared" si="30"/>
        <v/>
      </c>
      <c r="BV34" t="str">
        <f t="shared" ref="BV34:BV41" si="33">IFERROR(VLOOKUP(BT34,$BP$5:$BR$71,3,0),"")</f>
        <v/>
      </c>
      <c r="CB34" s="7" t="s">
        <v>191</v>
      </c>
      <c r="CC34" s="5">
        <v>435</v>
      </c>
      <c r="CD34" s="5">
        <v>29</v>
      </c>
    </row>
    <row r="35" spans="55:115" x14ac:dyDescent="0.3">
      <c r="BC35" s="7" t="s">
        <v>149</v>
      </c>
      <c r="BD35" s="5"/>
      <c r="BE35" s="5"/>
      <c r="BO35" t="str">
        <f t="shared" si="11"/>
        <v>Javalin</v>
      </c>
      <c r="BP35">
        <f t="shared" si="12"/>
        <v>18</v>
      </c>
      <c r="BQ35" s="7" t="str">
        <v>Javalin</v>
      </c>
      <c r="BR35">
        <f t="shared" si="7"/>
        <v>7</v>
      </c>
      <c r="BT35">
        <v>29</v>
      </c>
      <c r="BU35" t="str">
        <f t="shared" si="30"/>
        <v/>
      </c>
      <c r="BV35" t="str">
        <f t="shared" si="33"/>
        <v/>
      </c>
      <c r="DD35" s="4" t="s">
        <v>364</v>
      </c>
      <c r="DE35" s="4" t="s">
        <v>348</v>
      </c>
    </row>
    <row r="36" spans="55:115" x14ac:dyDescent="0.3">
      <c r="BC36" s="7" t="s">
        <v>400</v>
      </c>
      <c r="BD36" s="5"/>
      <c r="BE36" s="5"/>
      <c r="BO36" t="str">
        <f t="shared" si="11"/>
        <v>Bloodied but unborrrowed</v>
      </c>
      <c r="BP36">
        <f t="shared" si="12"/>
        <v>18</v>
      </c>
      <c r="BQ36" s="7" t="str">
        <v>Bloodied but unborrrowed</v>
      </c>
      <c r="BR36">
        <f t="shared" si="7"/>
        <v>0</v>
      </c>
      <c r="BT36">
        <v>30</v>
      </c>
      <c r="BU36" t="str">
        <f t="shared" si="30"/>
        <v/>
      </c>
      <c r="BV36" t="str">
        <f t="shared" si="33"/>
        <v/>
      </c>
      <c r="CB36" s="4" t="s">
        <v>3</v>
      </c>
      <c r="CC36" s="7">
        <v>3</v>
      </c>
      <c r="CF36" s="4" t="s">
        <v>3</v>
      </c>
      <c r="CG36" s="7">
        <v>3</v>
      </c>
      <c r="CJ36" s="4" t="s">
        <v>3</v>
      </c>
      <c r="CK36" s="7">
        <v>3</v>
      </c>
      <c r="CN36" t="s">
        <v>336</v>
      </c>
      <c r="DD36" s="4" t="s">
        <v>189</v>
      </c>
      <c r="DE36" t="s">
        <v>26</v>
      </c>
      <c r="DF36" t="s">
        <v>97</v>
      </c>
      <c r="DG36" t="s">
        <v>23</v>
      </c>
      <c r="DH36" t="s">
        <v>34</v>
      </c>
      <c r="DI36" t="s">
        <v>31</v>
      </c>
      <c r="DJ36" t="s">
        <v>102</v>
      </c>
      <c r="DK36" t="s">
        <v>191</v>
      </c>
    </row>
    <row r="37" spans="55:115" x14ac:dyDescent="0.3">
      <c r="BC37" s="7" t="s">
        <v>409</v>
      </c>
      <c r="BD37" s="5"/>
      <c r="BE37" s="5"/>
      <c r="BO37" t="str">
        <f t="shared" si="11"/>
        <v>Revivify</v>
      </c>
      <c r="BP37">
        <f t="shared" si="12"/>
        <v>18</v>
      </c>
      <c r="BQ37" s="7" t="str">
        <v>Revivify</v>
      </c>
      <c r="BR37">
        <f t="shared" si="7"/>
        <v>0</v>
      </c>
      <c r="BT37">
        <v>31</v>
      </c>
      <c r="BU37" t="str">
        <f t="shared" si="30"/>
        <v/>
      </c>
      <c r="BV37" t="str">
        <f t="shared" si="33"/>
        <v/>
      </c>
      <c r="CN37" t="s">
        <v>309</v>
      </c>
      <c r="CO37" t="s">
        <v>330</v>
      </c>
      <c r="CP37" t="s">
        <v>333</v>
      </c>
      <c r="DD37" s="7" t="s">
        <v>26</v>
      </c>
      <c r="DE37" s="5">
        <v>1</v>
      </c>
      <c r="DF37" s="5"/>
      <c r="DG37" s="5"/>
      <c r="DH37" s="5"/>
      <c r="DI37" s="5"/>
      <c r="DJ37" s="5"/>
      <c r="DK37" s="5">
        <v>1</v>
      </c>
    </row>
    <row r="38" spans="55:115" x14ac:dyDescent="0.3">
      <c r="BC38" s="7" t="s">
        <v>191</v>
      </c>
      <c r="BD38" s="5">
        <v>1400</v>
      </c>
      <c r="BE38" s="5">
        <v>216</v>
      </c>
      <c r="BO38" t="str">
        <f t="shared" si="11"/>
        <v/>
      </c>
      <c r="BP38">
        <f t="shared" si="12"/>
        <v>18</v>
      </c>
      <c r="BQ38" s="7" t="str">
        <v/>
      </c>
      <c r="BR38">
        <f t="shared" si="7"/>
        <v>0</v>
      </c>
      <c r="BT38">
        <v>32</v>
      </c>
      <c r="BU38" t="str">
        <f t="shared" si="30"/>
        <v/>
      </c>
      <c r="BV38" t="str">
        <f t="shared" si="33"/>
        <v/>
      </c>
      <c r="CB38" s="4" t="s">
        <v>189</v>
      </c>
      <c r="CC38" t="s">
        <v>228</v>
      </c>
      <c r="CD38" t="s">
        <v>229</v>
      </c>
      <c r="CF38" s="4" t="s">
        <v>189</v>
      </c>
      <c r="CG38" t="s">
        <v>262</v>
      </c>
      <c r="CH38" t="s">
        <v>263</v>
      </c>
      <c r="CJ38" s="4" t="s">
        <v>189</v>
      </c>
      <c r="CK38" t="s">
        <v>268</v>
      </c>
      <c r="CL38" t="s">
        <v>265</v>
      </c>
      <c r="CN38" s="7" t="s">
        <v>26</v>
      </c>
      <c r="CO38">
        <f>IFERROR(GETPIVOTDATA("Sum of Dmg",$CB$38,"Target ","Angatparul"),0)+IFERROR(GETPIVOTDATA("Sum of Dmg 2",$CB$38,"Target ","Angatparul"),0)+IFERROR(GETPIVOTDATA("Sum of Dmg 3",$CF$38,"Target 2","Angatparul"),0)+IFERROR(GETPIVOTDATA("Sum of Dmg 4",$CF$38,"Target 2","Angatparul"),0)+IFERROR(GETPIVOTDATA("Sum of Dmg 5",$CJ$38,"Target 3","Angatparul"),0)+IFERROR(GETPIVOTDATA("Sum of Dmg  6",$CJ$38,"Target 3","Angatparul"),0)</f>
        <v>131</v>
      </c>
      <c r="CP38" s="26">
        <f t="shared" ref="CP38:CP44" si="34">CO38/$CO$11</f>
        <v>0.10347551342812006</v>
      </c>
      <c r="DD38" s="7" t="s">
        <v>97</v>
      </c>
      <c r="DE38" s="5"/>
      <c r="DF38" s="5">
        <v>1</v>
      </c>
      <c r="DG38" s="5"/>
      <c r="DH38" s="5"/>
      <c r="DI38" s="5"/>
      <c r="DJ38" s="5"/>
      <c r="DK38" s="5">
        <v>1</v>
      </c>
    </row>
    <row r="39" spans="55:115" x14ac:dyDescent="0.3">
      <c r="BO39" t="str">
        <f t="shared" si="11"/>
        <v/>
      </c>
      <c r="BP39">
        <f t="shared" si="12"/>
        <v>19</v>
      </c>
      <c r="BQ39" s="7" t="str">
        <v>GB bullets</v>
      </c>
      <c r="BR39">
        <f t="shared" si="7"/>
        <v>8</v>
      </c>
      <c r="BT39">
        <v>33</v>
      </c>
      <c r="BU39" t="str">
        <f t="shared" si="30"/>
        <v/>
      </c>
      <c r="BV39" t="str">
        <f t="shared" si="33"/>
        <v/>
      </c>
      <c r="CB39" s="7" t="s">
        <v>26</v>
      </c>
      <c r="CC39" s="5">
        <v>111</v>
      </c>
      <c r="CD39" s="5"/>
      <c r="CF39" s="7" t="s">
        <v>26</v>
      </c>
      <c r="CG39" s="5">
        <v>20</v>
      </c>
      <c r="CH39" s="5"/>
      <c r="CJ39" s="7" t="s">
        <v>26</v>
      </c>
      <c r="CK39" s="5"/>
      <c r="CL39" s="5"/>
      <c r="CN39" s="7" t="s">
        <v>97</v>
      </c>
      <c r="CO39">
        <f>IFERROR(GETPIVOTDATA("Sum of Dmg",$CB$38,"Target ","Arthus"),0)+IFERROR(GETPIVOTDATA("Sum of Dmg 2",$CB$38,"Target ","Arthus"),0)+IFERROR(GETPIVOTDATA("Sum of Dmg 3",$CF$38,"Target 2","Arthus"),0)+IFERROR(GETPIVOTDATA("Sum of Dmg 4",$CF$38,"Target 2","Arthus"),0)+IFERROR(GETPIVOTDATA("Sum of Dmg 5",$CJ$38,"Target 3","Arthus"),0)+IFERROR(GETPIVOTDATA("Sum of Dmg  6",$CJ$38,"Target 3","Arthus"),0)</f>
        <v>81</v>
      </c>
      <c r="CP39" s="26">
        <f t="shared" si="34"/>
        <v>6.398104265402843E-2</v>
      </c>
      <c r="DD39" s="7" t="s">
        <v>23</v>
      </c>
      <c r="DE39" s="5">
        <v>25</v>
      </c>
      <c r="DF39" s="5">
        <v>19</v>
      </c>
      <c r="DG39" s="5">
        <v>86</v>
      </c>
      <c r="DH39" s="5">
        <v>20</v>
      </c>
      <c r="DI39" s="5"/>
      <c r="DJ39" s="5"/>
      <c r="DK39" s="5">
        <v>150</v>
      </c>
    </row>
    <row r="40" spans="55:115" x14ac:dyDescent="0.3">
      <c r="BO40" t="str">
        <f t="shared" si="11"/>
        <v/>
      </c>
      <c r="BP40">
        <f t="shared" si="12"/>
        <v>20</v>
      </c>
      <c r="BQ40" s="7" t="str">
        <v>Spiritual weapon</v>
      </c>
      <c r="BR40">
        <f t="shared" si="7"/>
        <v>9</v>
      </c>
      <c r="BT40">
        <v>34</v>
      </c>
      <c r="BU40" t="str">
        <f t="shared" si="30"/>
        <v/>
      </c>
      <c r="BV40" t="str">
        <f t="shared" si="33"/>
        <v/>
      </c>
      <c r="CB40" s="7" t="s">
        <v>34</v>
      </c>
      <c r="CC40" s="5">
        <v>63</v>
      </c>
      <c r="CD40" s="5"/>
      <c r="CF40" s="7" t="s">
        <v>97</v>
      </c>
      <c r="CG40" s="5">
        <v>18</v>
      </c>
      <c r="CH40" s="5"/>
      <c r="CJ40" s="7" t="s">
        <v>97</v>
      </c>
      <c r="CK40" s="5">
        <v>63</v>
      </c>
      <c r="CL40" s="5"/>
      <c r="CN40" s="7" t="s">
        <v>23</v>
      </c>
      <c r="CO40">
        <f>IFERROR(GETPIVOTDATA("Sum of Dmg",$CB$38,"Target ","Bylo"),0)+IFERROR(GETPIVOTDATA("Sum of Dmg 2",$CB$38,"Target ","Bylo"),0)+IFERROR(GETPIVOTDATA("Sum of Dmg 3",$CF$38,"Target 2","Bylo"),0)+IFERROR(GETPIVOTDATA("Sum of Dmg 4",$CF$38,"Target 2","Bylo"),0)+IFERROR(GETPIVOTDATA("Sum of Dmg 5",$CJ$38,"Target 3","Bylo"),0)+IFERROR(GETPIVOTDATA("Sum of Dmg  6",$CJ$38,"Target 3","Bylo"),0)</f>
        <v>42</v>
      </c>
      <c r="CP40" s="26">
        <f t="shared" si="34"/>
        <v>3.3175355450236969E-2</v>
      </c>
      <c r="DD40" s="7" t="s">
        <v>34</v>
      </c>
      <c r="DE40" s="5"/>
      <c r="DF40" s="5"/>
      <c r="DG40" s="5"/>
      <c r="DH40" s="5">
        <v>1</v>
      </c>
      <c r="DI40" s="5"/>
      <c r="DJ40" s="5"/>
      <c r="DK40" s="5">
        <v>1</v>
      </c>
    </row>
    <row r="41" spans="55:115" x14ac:dyDescent="0.3">
      <c r="BO41" t="str">
        <f t="shared" si="11"/>
        <v/>
      </c>
      <c r="BP41">
        <f t="shared" si="12"/>
        <v>20</v>
      </c>
      <c r="BQ41" s="7" t="str">
        <v>Healing word</v>
      </c>
      <c r="BR41">
        <f t="shared" si="7"/>
        <v>0</v>
      </c>
      <c r="BT41">
        <v>35</v>
      </c>
      <c r="BU41" t="str">
        <f>IFERROR(VLOOKUP(BT41,$BP$5:$BR$71,2,0),"")</f>
        <v/>
      </c>
      <c r="BV41" t="str">
        <f t="shared" si="33"/>
        <v/>
      </c>
      <c r="CB41" s="7" t="s">
        <v>31</v>
      </c>
      <c r="CC41" s="5">
        <v>42</v>
      </c>
      <c r="CD41" s="5"/>
      <c r="CF41" s="7" t="s">
        <v>23</v>
      </c>
      <c r="CG41" s="5">
        <v>42</v>
      </c>
      <c r="CH41" s="5"/>
      <c r="CJ41" s="7" t="s">
        <v>31</v>
      </c>
      <c r="CK41" s="5"/>
      <c r="CL41" s="5"/>
      <c r="CN41" s="7" t="s">
        <v>34</v>
      </c>
      <c r="CO41">
        <f>IFERROR(GETPIVOTDATA("Sum of Dmg",$CB$38,"Target ","Ciri Ruple"),0)+IFERROR(GETPIVOTDATA("Sum of Dmg 2",$CB$38,"Target ","Ciri Ruple"),0)+IFERROR(GETPIVOTDATA("Sum of Dmg 3",$CF$38,"Target 2","Ciri Ruple"),0)+IFERROR(GETPIVOTDATA("Sum of Dmg 4",$CF$38,"Target 2","Ciri Ruple"),0)+IFERROR(GETPIVOTDATA("Sum of Dmg 5",$CJ$38,"Target 3","Ciri Ruple"),0)+IFERROR(GETPIVOTDATA("Sum of Dmg  6",$CJ$38,"Target 3","Ciri Ruple"),0)</f>
        <v>63</v>
      </c>
      <c r="CP41" s="26">
        <f t="shared" si="34"/>
        <v>4.9763033175355451E-2</v>
      </c>
      <c r="DD41" s="7" t="s">
        <v>31</v>
      </c>
      <c r="DE41" s="5"/>
      <c r="DF41" s="5"/>
      <c r="DG41" s="5"/>
      <c r="DH41" s="5"/>
      <c r="DI41" s="5">
        <v>1</v>
      </c>
      <c r="DJ41" s="5"/>
      <c r="DK41" s="5">
        <v>1</v>
      </c>
    </row>
    <row r="42" spans="55:115" x14ac:dyDescent="0.3">
      <c r="BO42" t="str">
        <f t="shared" si="11"/>
        <v/>
      </c>
      <c r="BP42">
        <f t="shared" si="12"/>
        <v>20</v>
      </c>
      <c r="BQ42" s="7" t="str">
        <v>Brace-up</v>
      </c>
      <c r="BR42">
        <f t="shared" si="7"/>
        <v>0</v>
      </c>
      <c r="BT42">
        <v>36</v>
      </c>
      <c r="BU42" t="str">
        <f t="shared" ref="BU42:BU46" si="35">IFERROR(VLOOKUP(BT42,$BP$5:$BR$71,2,0),"")</f>
        <v/>
      </c>
      <c r="BV42" t="str">
        <f t="shared" ref="BV42:BV46" si="36">IFERROR(VLOOKUP(BT42,$BP$5:$BR$71,3,0),"")</f>
        <v/>
      </c>
      <c r="CB42" s="7" t="s">
        <v>191</v>
      </c>
      <c r="CC42" s="5">
        <v>216</v>
      </c>
      <c r="CD42" s="5"/>
      <c r="CF42" s="7" t="s">
        <v>34</v>
      </c>
      <c r="CG42" s="5"/>
      <c r="CH42" s="5"/>
      <c r="CJ42" s="7" t="s">
        <v>191</v>
      </c>
      <c r="CK42" s="5">
        <v>63</v>
      </c>
      <c r="CL42" s="5"/>
      <c r="CN42" s="7" t="s">
        <v>31</v>
      </c>
      <c r="CO42">
        <f>IFERROR(GETPIVOTDATA("Sum of Dmg",$CB$38,"Target ","Sev"),0)+IFERROR(GETPIVOTDATA("Sum of Dmg 2",$CB$38,"Target ","Sev"),0)+IFERROR(GETPIVOTDATA("Sum of Dmg 3",$CF$38,"Target 2","Sev"),0)+IFERROR(GETPIVOTDATA("Sum of Dmg 4",$CF$38,"Target 2","Sev"),0)+IFERROR(GETPIVOTDATA("Sum of Dmg 5",$CJ$38,"Target 3","Sev"),0)+IFERROR(GETPIVOTDATA("Sum of Dmg  6",$CJ$38,"Target 3","Sev"),0)</f>
        <v>42</v>
      </c>
      <c r="CP42" s="26">
        <f t="shared" si="34"/>
        <v>3.3175355450236969E-2</v>
      </c>
      <c r="DD42" s="7" t="s">
        <v>102</v>
      </c>
      <c r="DE42" s="5"/>
      <c r="DF42" s="5"/>
      <c r="DG42" s="5"/>
      <c r="DH42" s="5"/>
      <c r="DI42" s="5"/>
      <c r="DJ42" s="5">
        <v>1</v>
      </c>
      <c r="DK42" s="5">
        <v>1</v>
      </c>
    </row>
    <row r="43" spans="55:115" x14ac:dyDescent="0.3">
      <c r="BO43" t="str">
        <f t="shared" si="11"/>
        <v/>
      </c>
      <c r="BP43">
        <f t="shared" si="12"/>
        <v>21</v>
      </c>
      <c r="BQ43" s="7" t="str">
        <v>Claw</v>
      </c>
      <c r="BR43">
        <f>IFERROR(VLOOKUP(BQ43,$BC$7:$BE$70,2,FALSE),0)+IFERROR(VLOOKUP(BQ43,$BC$7:$BE$70,3,FALSE),0)+IFERROR(VLOOKUP(BQ43,$BG$7:$BI$70,2,FALSE),0)+IFERROR(VLOOKUP(BQ43,$BG$7:$BI$70,3,FALSE),0)+IFERROR(VLOOKUP(BQ43,$BK$7:$BM$70,2,FALSE),0)+IFERROR(VLOOKUP(BQ43,$BK$7:$BM$70,3,FALSE),0)</f>
        <v>5</v>
      </c>
      <c r="BT43">
        <v>37</v>
      </c>
      <c r="BU43" t="str">
        <f t="shared" si="35"/>
        <v/>
      </c>
      <c r="BV43" t="str">
        <f t="shared" si="36"/>
        <v/>
      </c>
      <c r="CF43" s="7" t="s">
        <v>191</v>
      </c>
      <c r="CG43" s="5">
        <v>80</v>
      </c>
      <c r="CH43" s="5"/>
      <c r="CN43" s="7" t="s">
        <v>102</v>
      </c>
      <c r="CO43">
        <f>IFERROR(GETPIVOTDATA("Sum of Dmg",$CB$38,"Target ","Venythria"),0)+IFERROR(GETPIVOTDATA("Sum of Dmg 2",$CB$38,"Target ","Venythria"),0)+IFERROR(GETPIVOTDATA("Sum of Dmg 3",$CF$38,"Target 2","Venythria"),0)+IFERROR(GETPIVOTDATA("Sum of Dmg 4",$CF$38,"Target 2","Venythria"),0)+IFERROR(GETPIVOTDATA("Sum of Dmg 5",$CJ$38,"Target 3","Venythria"),0)+IFERROR(GETPIVOTDATA("Sum of Dmg  6",$CJ$38,"Target 3","Venythria"),0)</f>
        <v>0</v>
      </c>
      <c r="CP43" s="26">
        <f t="shared" si="34"/>
        <v>0</v>
      </c>
      <c r="DD43" s="7" t="s">
        <v>191</v>
      </c>
      <c r="DE43" s="5">
        <v>26</v>
      </c>
      <c r="DF43" s="5">
        <v>20</v>
      </c>
      <c r="DG43" s="5">
        <v>86</v>
      </c>
      <c r="DH43" s="5">
        <v>21</v>
      </c>
      <c r="DI43" s="5">
        <v>1</v>
      </c>
      <c r="DJ43" s="5">
        <v>1</v>
      </c>
      <c r="DK43" s="5">
        <v>155</v>
      </c>
    </row>
    <row r="44" spans="55:115" x14ac:dyDescent="0.3">
      <c r="BN44" t="s">
        <v>320</v>
      </c>
      <c r="BO44" s="7" t="str">
        <f>IF(OR(ISBLANK(BG7),(BG7)="Grand Total"),"",BG7)</f>
        <v>Bling knuckles</v>
      </c>
      <c r="BP44">
        <f t="shared" si="12"/>
        <v>21</v>
      </c>
      <c r="BQ44" t="str">
        <v>Climb</v>
      </c>
      <c r="BR44">
        <f t="shared" ref="BR44:BR70" si="37">IFERROR(VLOOKUP(BQ44,$BC$7:$BE$70,2,FALSE),0)+IFERROR(VLOOKUP(BQ44,$BC$7:$BE$70,3,FALSE),0)+IFERROR(VLOOKUP(BQ44,$BG$7:$BI$70,2,FALSE),0)+IFERROR(VLOOKUP(BQ44,$BG$7:$BI$70,3,FALSE),0)+IFERROR(VLOOKUP(BQ44,$BK$7:$BM$70,2,FALSE),0)+IFERROR(VLOOKUP(BQ44,$BK$7:$BM$70,3,FALSE),0)</f>
        <v>0</v>
      </c>
      <c r="BT44">
        <v>38</v>
      </c>
      <c r="BU44" t="str">
        <f t="shared" si="35"/>
        <v/>
      </c>
      <c r="BV44" t="str">
        <f t="shared" si="36"/>
        <v/>
      </c>
      <c r="CN44" s="7" t="s">
        <v>331</v>
      </c>
      <c r="CO44">
        <f>IFERROR(GETPIVOTDATA("Sum of Dmg",$CB$38),0)+IFERROR(GETPIVOTDATA("Sum of Dmg 2",$CB$38),0)+IFERROR(GETPIVOTDATA("Sum of Dmg 3",$CF$38),0)+IFERROR(GETPIVOTDATA("Sum of Dmg 4",$CF$38),0)+IFERROR(GETPIVOTDATA("Sum of Dmg 5",$CJ$38),0)+IFERROR(GETPIVOTDATA("Sum of Dmg  6",$CJ$38),0)</f>
        <v>359</v>
      </c>
      <c r="CP44" s="26">
        <f t="shared" si="34"/>
        <v>0.28357030015797791</v>
      </c>
    </row>
    <row r="45" spans="55:115" x14ac:dyDescent="0.3">
      <c r="BO45" s="7" t="str">
        <f t="shared" ref="BO45:BO70" si="38">IF(OR(ISBLANK(BG8),(BG8)="Grand Total"),"",BG8)</f>
        <v>Crowbar</v>
      </c>
      <c r="BP45">
        <f t="shared" si="12"/>
        <v>21</v>
      </c>
      <c r="BQ45" t="str">
        <v>Daunting roar</v>
      </c>
      <c r="BR45">
        <f t="shared" si="37"/>
        <v>0</v>
      </c>
      <c r="BT45">
        <v>39</v>
      </c>
      <c r="BU45" t="str">
        <f t="shared" si="35"/>
        <v/>
      </c>
      <c r="BV45" t="str">
        <f t="shared" si="36"/>
        <v/>
      </c>
    </row>
    <row r="46" spans="55:115" x14ac:dyDescent="0.3">
      <c r="BO46" s="7" t="str">
        <f t="shared" si="38"/>
        <v>GB bullets</v>
      </c>
      <c r="BP46">
        <f t="shared" si="12"/>
        <v>21</v>
      </c>
      <c r="BQ46" t="str">
        <v>Dig deep</v>
      </c>
      <c r="BR46">
        <f t="shared" si="37"/>
        <v>0</v>
      </c>
      <c r="BT46">
        <v>40</v>
      </c>
      <c r="BU46" t="str">
        <f t="shared" si="35"/>
        <v/>
      </c>
      <c r="BV46" t="str">
        <f t="shared" si="36"/>
        <v/>
      </c>
    </row>
    <row r="47" spans="55:115" x14ac:dyDescent="0.3">
      <c r="BO47" s="7" t="str">
        <f t="shared" si="38"/>
        <v>Graple</v>
      </c>
      <c r="BP47">
        <f t="shared" si="12"/>
        <v>21</v>
      </c>
      <c r="BQ47" t="str">
        <v>Disengade</v>
      </c>
      <c r="BR47">
        <f t="shared" si="37"/>
        <v>0</v>
      </c>
    </row>
    <row r="48" spans="55:115" x14ac:dyDescent="0.3">
      <c r="BO48" s="7" t="str">
        <f t="shared" si="38"/>
        <v>Greatclub</v>
      </c>
      <c r="BP48">
        <f t="shared" si="12"/>
        <v>21</v>
      </c>
      <c r="BQ48" t="str">
        <v>Disengaded</v>
      </c>
      <c r="BR48">
        <f t="shared" si="37"/>
        <v>0</v>
      </c>
    </row>
    <row r="49" spans="67:70" x14ac:dyDescent="0.3">
      <c r="BO49" s="7" t="str">
        <f t="shared" si="38"/>
        <v>Guardian</v>
      </c>
      <c r="BP49">
        <f t="shared" si="12"/>
        <v>22</v>
      </c>
      <c r="BQ49" t="str">
        <v>Divine smite</v>
      </c>
      <c r="BR49">
        <f t="shared" si="37"/>
        <v>65</v>
      </c>
    </row>
    <row r="50" spans="67:70" x14ac:dyDescent="0.3">
      <c r="BO50" s="7" t="str">
        <f t="shared" si="38"/>
        <v>Halberd</v>
      </c>
      <c r="BP50">
        <f t="shared" si="12"/>
        <v>22</v>
      </c>
      <c r="BQ50" t="str">
        <v>Healing-word</v>
      </c>
      <c r="BR50">
        <f t="shared" si="37"/>
        <v>0</v>
      </c>
    </row>
    <row r="51" spans="67:70" x14ac:dyDescent="0.3">
      <c r="BO51" s="7" t="str">
        <f t="shared" si="38"/>
        <v>Javalin</v>
      </c>
      <c r="BP51">
        <f t="shared" si="12"/>
        <v>22</v>
      </c>
      <c r="BQ51" t="str">
        <v>One,Two, Floor</v>
      </c>
      <c r="BR51">
        <f t="shared" si="37"/>
        <v>0</v>
      </c>
    </row>
    <row r="52" spans="67:70" x14ac:dyDescent="0.3">
      <c r="BO52" s="7" t="str">
        <f t="shared" si="38"/>
        <v>Knuckles</v>
      </c>
      <c r="BP52">
        <f t="shared" si="12"/>
        <v>22</v>
      </c>
      <c r="BQ52" t="str">
        <v>Rage</v>
      </c>
      <c r="BR52">
        <f t="shared" si="37"/>
        <v>0</v>
      </c>
    </row>
    <row r="53" spans="67:70" x14ac:dyDescent="0.3">
      <c r="BO53" s="7" t="str">
        <f t="shared" si="38"/>
        <v>Monk unarmed strike</v>
      </c>
      <c r="BP53">
        <f t="shared" si="12"/>
        <v>22</v>
      </c>
      <c r="BQ53" t="str">
        <v>Shield of faith</v>
      </c>
      <c r="BR53">
        <f t="shared" si="37"/>
        <v>0</v>
      </c>
    </row>
    <row r="54" spans="67:70" x14ac:dyDescent="0.3">
      <c r="BO54" s="7" t="str">
        <f t="shared" si="38"/>
        <v>Pike</v>
      </c>
      <c r="BP54">
        <f t="shared" si="12"/>
        <v>22</v>
      </c>
      <c r="BQ54" t="str">
        <v>Speak</v>
      </c>
      <c r="BR54">
        <f t="shared" si="37"/>
        <v>0</v>
      </c>
    </row>
    <row r="55" spans="67:70" x14ac:dyDescent="0.3">
      <c r="BO55" s="7" t="str">
        <f t="shared" si="38"/>
        <v>Spear</v>
      </c>
      <c r="BP55">
        <f t="shared" si="12"/>
        <v>22</v>
      </c>
      <c r="BQ55" t="str">
        <v>Stick and move</v>
      </c>
      <c r="BR55">
        <f t="shared" si="37"/>
        <v>0</v>
      </c>
    </row>
    <row r="56" spans="67:70" x14ac:dyDescent="0.3">
      <c r="BO56" s="7" t="str">
        <f t="shared" si="38"/>
        <v>Spiritual weapon</v>
      </c>
      <c r="BP56">
        <f t="shared" si="12"/>
        <v>22</v>
      </c>
      <c r="BQ56" t="str">
        <v>Candle</v>
      </c>
      <c r="BR56">
        <f t="shared" si="37"/>
        <v>0</v>
      </c>
    </row>
    <row r="57" spans="67:70" x14ac:dyDescent="0.3">
      <c r="BO57" s="7" t="str">
        <f t="shared" si="38"/>
        <v>Vandal</v>
      </c>
      <c r="BP57">
        <f t="shared" si="12"/>
        <v>23</v>
      </c>
      <c r="BQ57" t="str">
        <v>Warhammer</v>
      </c>
      <c r="BR57">
        <f t="shared" si="37"/>
        <v>11</v>
      </c>
    </row>
    <row r="58" spans="67:70" x14ac:dyDescent="0.3">
      <c r="BO58" s="7" t="str">
        <f t="shared" si="38"/>
        <v>Vandel</v>
      </c>
      <c r="BP58">
        <f t="shared" si="12"/>
        <v>23</v>
      </c>
      <c r="BR58">
        <f t="shared" si="37"/>
        <v>0</v>
      </c>
    </row>
    <row r="59" spans="67:70" x14ac:dyDescent="0.3">
      <c r="BO59" s="7" t="str">
        <f t="shared" si="38"/>
        <v>(blank)</v>
      </c>
      <c r="BP59">
        <f t="shared" si="12"/>
        <v>23</v>
      </c>
      <c r="BR59">
        <f t="shared" si="37"/>
        <v>0</v>
      </c>
    </row>
    <row r="60" spans="67:70" x14ac:dyDescent="0.3">
      <c r="BO60" s="7" t="str">
        <f t="shared" si="38"/>
        <v>Aid</v>
      </c>
      <c r="BP60">
        <f t="shared" si="12"/>
        <v>23</v>
      </c>
      <c r="BR60">
        <f t="shared" si="37"/>
        <v>0</v>
      </c>
    </row>
    <row r="61" spans="67:70" x14ac:dyDescent="0.3">
      <c r="BO61" s="7" t="str">
        <f t="shared" si="38"/>
        <v>Healing word</v>
      </c>
      <c r="BP61">
        <f t="shared" si="12"/>
        <v>23</v>
      </c>
      <c r="BR61">
        <f t="shared" si="37"/>
        <v>0</v>
      </c>
    </row>
    <row r="62" spans="67:70" x14ac:dyDescent="0.3">
      <c r="BO62" s="7" t="str">
        <f t="shared" si="38"/>
        <v>Prayer of healing</v>
      </c>
      <c r="BP62">
        <f t="shared" si="12"/>
        <v>23</v>
      </c>
      <c r="BR62">
        <f t="shared" si="37"/>
        <v>0</v>
      </c>
    </row>
    <row r="63" spans="67:70" x14ac:dyDescent="0.3">
      <c r="BO63" s="7" t="str">
        <f t="shared" si="38"/>
        <v>Flintlock pistol</v>
      </c>
      <c r="BP63">
        <f t="shared" si="12"/>
        <v>23</v>
      </c>
      <c r="BR63">
        <f t="shared" si="37"/>
        <v>0</v>
      </c>
    </row>
    <row r="64" spans="67:70" x14ac:dyDescent="0.3">
      <c r="BO64" s="7" t="str">
        <f t="shared" si="38"/>
        <v>Random rock</v>
      </c>
      <c r="BP64">
        <f t="shared" si="12"/>
        <v>23</v>
      </c>
      <c r="BR64">
        <f t="shared" si="37"/>
        <v>0</v>
      </c>
    </row>
    <row r="65" spans="66:70" x14ac:dyDescent="0.3">
      <c r="BO65" s="7" t="str">
        <f t="shared" si="38"/>
        <v/>
      </c>
      <c r="BP65">
        <f t="shared" si="12"/>
        <v>23</v>
      </c>
      <c r="BR65">
        <f t="shared" si="37"/>
        <v>0</v>
      </c>
    </row>
    <row r="66" spans="66:70" x14ac:dyDescent="0.3">
      <c r="BO66" s="7" t="str">
        <f t="shared" si="38"/>
        <v/>
      </c>
      <c r="BP66">
        <f t="shared" si="12"/>
        <v>23</v>
      </c>
      <c r="BR66">
        <f t="shared" si="37"/>
        <v>0</v>
      </c>
    </row>
    <row r="67" spans="66:70" x14ac:dyDescent="0.3">
      <c r="BO67" s="7" t="str">
        <f t="shared" si="38"/>
        <v/>
      </c>
      <c r="BP67">
        <f t="shared" si="12"/>
        <v>23</v>
      </c>
      <c r="BR67">
        <f t="shared" si="37"/>
        <v>0</v>
      </c>
    </row>
    <row r="68" spans="66:70" x14ac:dyDescent="0.3">
      <c r="BO68" s="7" t="str">
        <f t="shared" si="38"/>
        <v/>
      </c>
      <c r="BP68">
        <f t="shared" si="12"/>
        <v>23</v>
      </c>
      <c r="BR68">
        <f t="shared" si="37"/>
        <v>0</v>
      </c>
    </row>
    <row r="69" spans="66:70" x14ac:dyDescent="0.3">
      <c r="BO69" s="7" t="str">
        <f t="shared" si="38"/>
        <v/>
      </c>
      <c r="BP69">
        <f t="shared" si="12"/>
        <v>23</v>
      </c>
      <c r="BR69">
        <f t="shared" si="37"/>
        <v>0</v>
      </c>
    </row>
    <row r="70" spans="66:70" x14ac:dyDescent="0.3">
      <c r="BO70" s="7" t="str">
        <f t="shared" si="38"/>
        <v/>
      </c>
      <c r="BP70">
        <f t="shared" si="12"/>
        <v>23</v>
      </c>
      <c r="BR70">
        <f t="shared" si="37"/>
        <v>0</v>
      </c>
    </row>
    <row r="71" spans="66:70" x14ac:dyDescent="0.3">
      <c r="BN71" t="s">
        <v>321</v>
      </c>
      <c r="BO71" t="str">
        <f>IF(OR(ISBLANK(BK7),(BK7)="Grand Total"),"",BK7)</f>
        <v>Bling knuckles</v>
      </c>
    </row>
    <row r="72" spans="66:70" x14ac:dyDescent="0.3">
      <c r="BO72" t="str">
        <f t="shared" ref="BO72:BO101" si="39">IF(OR(ISBLANK(BK8),(BK8)="Grand Total"),"",BK8)</f>
        <v>Brace-up</v>
      </c>
    </row>
    <row r="73" spans="66:70" x14ac:dyDescent="0.3">
      <c r="BO73" t="str">
        <f t="shared" si="39"/>
        <v>Claw</v>
      </c>
    </row>
    <row r="74" spans="66:70" x14ac:dyDescent="0.3">
      <c r="BO74" t="str">
        <f t="shared" si="39"/>
        <v>Climb</v>
      </c>
    </row>
    <row r="75" spans="66:70" x14ac:dyDescent="0.3">
      <c r="BO75" t="str">
        <f t="shared" si="39"/>
        <v>Daunting roar</v>
      </c>
    </row>
    <row r="76" spans="66:70" x14ac:dyDescent="0.3">
      <c r="BO76" t="str">
        <f t="shared" si="39"/>
        <v>Dig deep</v>
      </c>
    </row>
    <row r="77" spans="66:70" x14ac:dyDescent="0.3">
      <c r="BO77" t="str">
        <f t="shared" si="39"/>
        <v>Disengade</v>
      </c>
    </row>
    <row r="78" spans="66:70" x14ac:dyDescent="0.3">
      <c r="BO78" t="str">
        <f t="shared" si="39"/>
        <v>Disengaded</v>
      </c>
    </row>
    <row r="79" spans="66:70" x14ac:dyDescent="0.3">
      <c r="BO79" t="str">
        <f t="shared" si="39"/>
        <v>Divine smite</v>
      </c>
    </row>
    <row r="80" spans="66:70" x14ac:dyDescent="0.3">
      <c r="BO80" t="str">
        <f t="shared" si="39"/>
        <v>Graple</v>
      </c>
    </row>
    <row r="81" spans="67:67" x14ac:dyDescent="0.3">
      <c r="BO81" t="str">
        <f t="shared" si="39"/>
        <v>Greatclub</v>
      </c>
    </row>
    <row r="82" spans="67:67" x14ac:dyDescent="0.3">
      <c r="BO82" t="str">
        <f t="shared" si="39"/>
        <v>Healing word</v>
      </c>
    </row>
    <row r="83" spans="67:67" x14ac:dyDescent="0.3">
      <c r="BO83" t="str">
        <f t="shared" si="39"/>
        <v>Healing-word</v>
      </c>
    </row>
    <row r="84" spans="67:67" x14ac:dyDescent="0.3">
      <c r="BO84" t="str">
        <f t="shared" si="39"/>
        <v>Monk unarmed strike</v>
      </c>
    </row>
    <row r="85" spans="67:67" x14ac:dyDescent="0.3">
      <c r="BO85" t="str">
        <f t="shared" si="39"/>
        <v>One,Two, Floor</v>
      </c>
    </row>
    <row r="86" spans="67:67" x14ac:dyDescent="0.3">
      <c r="BO86" t="str">
        <f t="shared" si="39"/>
        <v>Pike</v>
      </c>
    </row>
    <row r="87" spans="67:67" x14ac:dyDescent="0.3">
      <c r="BO87" t="str">
        <f t="shared" si="39"/>
        <v>Rage</v>
      </c>
    </row>
    <row r="88" spans="67:67" x14ac:dyDescent="0.3">
      <c r="BO88" t="str">
        <f t="shared" si="39"/>
        <v>Shield of faith</v>
      </c>
    </row>
    <row r="89" spans="67:67" x14ac:dyDescent="0.3">
      <c r="BO89" t="str">
        <f t="shared" si="39"/>
        <v>Speak</v>
      </c>
    </row>
    <row r="90" spans="67:67" x14ac:dyDescent="0.3">
      <c r="BO90" t="str">
        <f t="shared" si="39"/>
        <v>Stick and move</v>
      </c>
    </row>
    <row r="91" spans="67:67" x14ac:dyDescent="0.3">
      <c r="BO91" t="str">
        <f t="shared" si="39"/>
        <v>(blank)</v>
      </c>
    </row>
    <row r="92" spans="67:67" x14ac:dyDescent="0.3">
      <c r="BO92" t="str">
        <f t="shared" si="39"/>
        <v>Candle</v>
      </c>
    </row>
    <row r="93" spans="67:67" x14ac:dyDescent="0.3">
      <c r="BO93" t="str">
        <f t="shared" si="39"/>
        <v>Aid</v>
      </c>
    </row>
    <row r="94" spans="67:67" x14ac:dyDescent="0.3">
      <c r="BO94" t="str">
        <f t="shared" si="39"/>
        <v>Prayer of healing</v>
      </c>
    </row>
    <row r="95" spans="67:67" x14ac:dyDescent="0.3">
      <c r="BO95" t="str">
        <f t="shared" si="39"/>
        <v>Knuckles</v>
      </c>
    </row>
    <row r="96" spans="67:67" x14ac:dyDescent="0.3">
      <c r="BO96" t="str">
        <f t="shared" si="39"/>
        <v>Warhammer</v>
      </c>
    </row>
    <row r="97" spans="67:67" x14ac:dyDescent="0.3">
      <c r="BO97" t="str">
        <f>IF(OR(ISBLANK(BK33),(BK33)="Grand Total"),"",BK33)</f>
        <v/>
      </c>
    </row>
    <row r="98" spans="67:67" x14ac:dyDescent="0.3">
      <c r="BO98" t="str">
        <f t="shared" si="39"/>
        <v/>
      </c>
    </row>
    <row r="99" spans="67:67" x14ac:dyDescent="0.3">
      <c r="BO99" t="str">
        <f t="shared" si="39"/>
        <v/>
      </c>
    </row>
    <row r="100" spans="67:67" x14ac:dyDescent="0.3">
      <c r="BO100" t="str">
        <f t="shared" si="39"/>
        <v/>
      </c>
    </row>
    <row r="101" spans="67:67" x14ac:dyDescent="0.3">
      <c r="BO101" t="str">
        <f t="shared" si="39"/>
        <v/>
      </c>
    </row>
  </sheetData>
  <sortState xmlns:xlrd2="http://schemas.microsoft.com/office/spreadsheetml/2017/richdata2" ref="DM6:DN11">
    <sortCondition descending="1" ref="DN11"/>
  </sortState>
  <pageMargins left="0.7" right="0.7" top="0.75" bottom="0.75" header="0.3" footer="0.3"/>
  <pageSetup orientation="portrait" r:id="rId32"/>
  <drawing r:id="rId3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093D4-2E52-45A4-A355-E53C367A7951}">
  <dimension ref="A1"/>
  <sheetViews>
    <sheetView showGridLines="0" showRowColHeaders="0" tabSelected="1" zoomScaleNormal="100" workbookViewId="0">
      <selection activeCell="U38" sqref="T38:U38"/>
    </sheetView>
  </sheetViews>
  <sheetFormatPr defaultRowHeight="14.4" x14ac:dyDescent="0.3"/>
  <cols>
    <col min="1" max="9" width="8.88671875" style="8"/>
    <col min="10" max="10" width="8.88671875" style="8" customWidth="1"/>
    <col min="11" max="23" width="8.88671875" style="8"/>
    <col min="24" max="24" width="10.6640625" style="8" customWidth="1"/>
    <col min="25" max="16384" width="8.88671875" style="8"/>
  </cols>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Props1.xml><?xml version="1.0" encoding="utf-8"?>
<ds:datastoreItem xmlns:ds="http://schemas.openxmlformats.org/officeDocument/2006/customXml" ds:itemID="{97A88E81-544F-498F-A242-4069F2B9D9A8}">
  <ds:schemaRefs/>
</ds:datastoreItem>
</file>

<file path=customXml/itemProps2.xml><?xml version="1.0" encoding="utf-8"?>
<ds:datastoreItem xmlns:ds="http://schemas.openxmlformats.org/officeDocument/2006/customXml" ds:itemID="{40D48DB8-D093-43E9-A437-D6E3488556CE}">
  <ds:schemaRefs/>
</ds:datastoreItem>
</file>

<file path=customXml/itemProps3.xml><?xml version="1.0" encoding="utf-8"?>
<ds:datastoreItem xmlns:ds="http://schemas.openxmlformats.org/officeDocument/2006/customXml" ds:itemID="{5BE237CF-EE08-484B-BBD3-EBC7E65A3F8F}">
  <ds:schemaRefs/>
</ds:datastoreItem>
</file>

<file path=customXml/itemProps4.xml><?xml version="1.0" encoding="utf-8"?>
<ds:datastoreItem xmlns:ds="http://schemas.openxmlformats.org/officeDocument/2006/customXml" ds:itemID="{F387FD21-6604-46AD-8F6B-1EF66135C51F}">
  <ds:schemaRefs/>
</ds:datastoreItem>
</file>

<file path=customXml/itemProps5.xml><?xml version="1.0" encoding="utf-8"?>
<ds:datastoreItem xmlns:ds="http://schemas.openxmlformats.org/officeDocument/2006/customXml" ds:itemID="{5D245920-98FC-42E8-88F0-3ECA312C145B}">
  <ds:schemaRefs>
    <ds:schemaRef ds:uri="http://schemas.microsoft.com/DataMashup"/>
  </ds:schemaRefs>
</ds:datastoreItem>
</file>

<file path=customXml/itemProps6.xml><?xml version="1.0" encoding="utf-8"?>
<ds:datastoreItem xmlns:ds="http://schemas.openxmlformats.org/officeDocument/2006/customXml" ds:itemID="{0F5A0CFA-63EC-450E-AAB2-A2DCCC4647E3}">
  <ds:schemaRefs/>
</ds:datastoreItem>
</file>

<file path=customXml/itemProps7.xml><?xml version="1.0" encoding="utf-8"?>
<ds:datastoreItem xmlns:ds="http://schemas.openxmlformats.org/officeDocument/2006/customXml" ds:itemID="{2E0A7622-D3E4-4B20-86FF-B9E5BBEB607B}">
  <ds:schemaRefs/>
</ds:datastoreItem>
</file>

<file path=customXml/itemProps8.xml><?xml version="1.0" encoding="utf-8"?>
<ds:datastoreItem xmlns:ds="http://schemas.openxmlformats.org/officeDocument/2006/customXml" ds:itemID="{8EDC5F71-0C6B-4665-BE58-C75B2DBD668D}">
  <ds:schemaRefs/>
</ds:datastoreItem>
</file>

<file path=customXml/itemProps9.xml><?xml version="1.0" encoding="utf-8"?>
<ds:datastoreItem xmlns:ds="http://schemas.openxmlformats.org/officeDocument/2006/customXml" ds:itemID="{8643E971-7A22-4444-9652-2063E08CF955}">
  <ds:schemaRefs/>
</ds:datastoreItem>
</file>

<file path=customXml/itemProps10.xml><?xml version="1.0" encoding="utf-8"?>
<ds:datastoreItem xmlns:ds="http://schemas.openxmlformats.org/officeDocument/2006/customXml" ds:itemID="{F24D6C10-E9ED-4186-B372-E7730323F19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7</vt:i4>
      </vt:variant>
    </vt:vector>
  </HeadingPairs>
  <TitlesOfParts>
    <vt:vector size="12" baseType="lpstr">
      <vt:lpstr>Data_Raw</vt:lpstr>
      <vt:lpstr>Data_Raw_workable</vt:lpstr>
      <vt:lpstr>Character_selector</vt:lpstr>
      <vt:lpstr>Combat2</vt:lpstr>
      <vt:lpstr>Sheet1</vt:lpstr>
      <vt:lpstr>Angatparul_TK</vt:lpstr>
      <vt:lpstr>Arthus_TK</vt:lpstr>
      <vt:lpstr>Bylo_TK</vt:lpstr>
      <vt:lpstr>Ciri_Ruple_TK</vt:lpstr>
      <vt:lpstr>Everyone_TK</vt:lpstr>
      <vt:lpstr>Sev_TK</vt:lpstr>
      <vt:lpstr>Venythria_TK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Adrian</dc:creator>
  <cp:lastModifiedBy>Adrian Bratseth</cp:lastModifiedBy>
  <dcterms:created xsi:type="dcterms:W3CDTF">2015-06-05T18:17:20Z</dcterms:created>
  <dcterms:modified xsi:type="dcterms:W3CDTF">2022-09-25T15:41:40Z</dcterms:modified>
</cp:coreProperties>
</file>