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C:\Ash AM Russell\University\2018 PhD\REVIEWS\Review 2 Endothelin-1\4 Data Extraction\"/>
    </mc:Choice>
  </mc:AlternateContent>
  <xr:revisionPtr revIDLastSave="0" documentId="13_ncr:1_{FA0BD748-4E4E-4403-9B20-88D4B500DE75}" xr6:coauthVersionLast="47" xr6:coauthVersionMax="47" xr10:uidLastSave="{00000000-0000-0000-0000-000000000000}"/>
  <bookViews>
    <workbookView xWindow="28680" yWindow="-4815" windowWidth="25440" windowHeight="15390" tabRatio="756" xr2:uid="{048E3D89-01AA-4C78-B68A-E284C4D7AA8A}"/>
  </bookViews>
  <sheets>
    <sheet name="Data Extraction Controls" sheetId="13" r:id="rId1"/>
    <sheet name="Data validation" sheetId="7" r:id="rId2"/>
    <sheet name="Data Dictionary"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G122" i="13" l="1" a="1"/>
  <c r="BG122" i="13" s="1"/>
  <c r="BD122" i="13" a="1"/>
  <c r="BD122" i="13" s="1"/>
  <c r="AX122" i="13"/>
  <c r="BE122" i="13" s="1" a="1"/>
  <c r="BE122" i="13" s="1"/>
  <c r="BF122" i="13" s="1" a="1"/>
  <c r="BF122" i="13" s="1"/>
  <c r="AW122" i="13"/>
  <c r="BC122" i="13" s="1" a="1"/>
  <c r="BC122" i="13" s="1"/>
  <c r="AI122" i="13" a="1"/>
  <c r="AI122" i="13" s="1"/>
  <c r="O122" i="13"/>
  <c r="AZ121" i="13"/>
  <c r="BG121" i="13" s="1" a="1"/>
  <c r="BG121" i="13" s="1"/>
  <c r="AY121" i="13"/>
  <c r="AX121" i="13"/>
  <c r="BE121" i="13" s="1" a="1"/>
  <c r="BE121" i="13" s="1"/>
  <c r="BF121" i="13" s="1" a="1"/>
  <c r="BF121" i="13" s="1"/>
  <c r="AW121" i="13"/>
  <c r="BC121" i="13" s="1" a="1"/>
  <c r="BC121" i="13" s="1"/>
  <c r="AI121" i="13" a="1"/>
  <c r="AI121" i="13" s="1"/>
  <c r="O121" i="13"/>
  <c r="BD121" i="13" l="1" a="1"/>
  <c r="BD121" i="13" s="1"/>
  <c r="AW113" i="13" l="1"/>
  <c r="AX113" i="13"/>
  <c r="AW114" i="13"/>
  <c r="BC114" i="13" s="1" a="1"/>
  <c r="BC114" i="13" s="1"/>
  <c r="AX114" i="13"/>
  <c r="AW115" i="13"/>
  <c r="BC115" i="13" s="1" a="1"/>
  <c r="BC115" i="13" s="1"/>
  <c r="AX115" i="13"/>
  <c r="BE115" i="13" s="1" a="1"/>
  <c r="BE115" i="13" s="1"/>
  <c r="BF115" i="13" s="1" a="1"/>
  <c r="BF115" i="13" s="1"/>
  <c r="AW116" i="13"/>
  <c r="BC116" i="13" s="1" a="1"/>
  <c r="BC116" i="13" s="1"/>
  <c r="AX116" i="13"/>
  <c r="BE116" i="13" s="1" a="1"/>
  <c r="BE116" i="13" s="1"/>
  <c r="BF116" i="13" s="1" a="1"/>
  <c r="BF116" i="13" s="1"/>
  <c r="BC113" i="13" a="1"/>
  <c r="BC113" i="13" s="1"/>
  <c r="AI48" i="13" a="1"/>
  <c r="AI48" i="13" s="1"/>
  <c r="AI49" i="13" a="1"/>
  <c r="AI49" i="13" s="1"/>
  <c r="AI50" i="13" a="1"/>
  <c r="AI50" i="13" s="1"/>
  <c r="AI51" i="13" a="1"/>
  <c r="AI51" i="13" s="1"/>
  <c r="AI52" i="13" a="1"/>
  <c r="AI52" i="13" s="1"/>
  <c r="AI53" i="13" a="1"/>
  <c r="AI53" i="13" s="1"/>
  <c r="AI54" i="13" a="1"/>
  <c r="AI54" i="13" s="1"/>
  <c r="AI55" i="13" a="1"/>
  <c r="AI55" i="13" s="1"/>
  <c r="AI56" i="13" a="1"/>
  <c r="AI56" i="13" s="1"/>
  <c r="AI57" i="13" a="1"/>
  <c r="AI57" i="13" s="1"/>
  <c r="AI58" i="13" a="1"/>
  <c r="AI58" i="13" s="1"/>
  <c r="AI59" i="13" a="1"/>
  <c r="AI59" i="13" s="1"/>
  <c r="AI60" i="13" a="1"/>
  <c r="AI60" i="13" s="1"/>
  <c r="AI61" i="13" a="1"/>
  <c r="AI61" i="13" s="1"/>
  <c r="AI62" i="13" a="1"/>
  <c r="AI62" i="13" s="1"/>
  <c r="AI63" i="13" a="1"/>
  <c r="AI63" i="13" s="1"/>
  <c r="AI64" i="13" a="1"/>
  <c r="AI64" i="13" s="1"/>
  <c r="AI65" i="13" a="1"/>
  <c r="AI65" i="13" s="1"/>
  <c r="AI66" i="13" a="1"/>
  <c r="AI66" i="13" s="1"/>
  <c r="AI67" i="13" a="1"/>
  <c r="AI67" i="13" s="1"/>
  <c r="AI68" i="13" a="1"/>
  <c r="AI68" i="13" s="1"/>
  <c r="AI69" i="13" a="1"/>
  <c r="AI69" i="13" s="1"/>
  <c r="AI70" i="13" a="1"/>
  <c r="AI70" i="13" s="1"/>
  <c r="AI71" i="13" a="1"/>
  <c r="AI71" i="13" s="1"/>
  <c r="AI72" i="13" a="1"/>
  <c r="AI72" i="13" s="1"/>
  <c r="AI73" i="13" a="1"/>
  <c r="AI73" i="13" s="1"/>
  <c r="AI74" i="13" a="1"/>
  <c r="AI74" i="13" s="1"/>
  <c r="AI75" i="13" a="1"/>
  <c r="AI75" i="13" s="1"/>
  <c r="AI76" i="13" a="1"/>
  <c r="AI76" i="13" s="1"/>
  <c r="AI77" i="13" a="1"/>
  <c r="AI77" i="13" s="1"/>
  <c r="AI78" i="13" a="1"/>
  <c r="AI78" i="13" s="1"/>
  <c r="AI79" i="13" a="1"/>
  <c r="AI79" i="13" s="1"/>
  <c r="AI80" i="13" a="1"/>
  <c r="AI80" i="13" s="1"/>
  <c r="AI81" i="13" a="1"/>
  <c r="AI81" i="13" s="1"/>
  <c r="AI82" i="13" a="1"/>
  <c r="AI82" i="13" s="1"/>
  <c r="AI83" i="13" a="1"/>
  <c r="AI83" i="13" s="1"/>
  <c r="AI84" i="13" a="1"/>
  <c r="AI84" i="13" s="1"/>
  <c r="AI85" i="13" a="1"/>
  <c r="AI85" i="13" s="1"/>
  <c r="AI86" i="13" a="1"/>
  <c r="AI86" i="13" s="1"/>
  <c r="AI87" i="13" a="1"/>
  <c r="AI87" i="13" s="1"/>
  <c r="AI88" i="13" a="1"/>
  <c r="AI88" i="13" s="1"/>
  <c r="AI89" i="13" a="1"/>
  <c r="AI89" i="13" s="1"/>
  <c r="AI90" i="13" a="1"/>
  <c r="AI90" i="13" s="1"/>
  <c r="AI91" i="13" a="1"/>
  <c r="AI91" i="13" s="1"/>
  <c r="AI92" i="13" a="1"/>
  <c r="AI92" i="13" s="1"/>
  <c r="AI93" i="13" a="1"/>
  <c r="AI93" i="13" s="1"/>
  <c r="AI94" i="13" a="1"/>
  <c r="AI94" i="13" s="1"/>
  <c r="AI95" i="13" a="1"/>
  <c r="AI95" i="13" s="1"/>
  <c r="AI96" i="13" a="1"/>
  <c r="AI96" i="13" s="1"/>
  <c r="AI97" i="13" a="1"/>
  <c r="AI97" i="13" s="1"/>
  <c r="AI98" i="13" a="1"/>
  <c r="AI98" i="13" s="1"/>
  <c r="AI99" i="13" a="1"/>
  <c r="AI99" i="13" s="1"/>
  <c r="AI100" i="13" a="1"/>
  <c r="AI100" i="13" s="1"/>
  <c r="AI101" i="13" a="1"/>
  <c r="AI101" i="13" s="1"/>
  <c r="AI102" i="13" a="1"/>
  <c r="AI102" i="13" s="1"/>
  <c r="AI103" i="13" a="1"/>
  <c r="AI103" i="13" s="1"/>
  <c r="AI104" i="13" a="1"/>
  <c r="AI104" i="13" s="1"/>
  <c r="AI105" i="13" a="1"/>
  <c r="AI105" i="13" s="1"/>
  <c r="AI106" i="13" a="1"/>
  <c r="AI106" i="13" s="1"/>
  <c r="AI107" i="13" a="1"/>
  <c r="AI107" i="13" s="1"/>
  <c r="AI108" i="13" a="1"/>
  <c r="AI108" i="13" s="1"/>
  <c r="AI109" i="13" a="1"/>
  <c r="AI109" i="13" s="1"/>
  <c r="AI110" i="13" a="1"/>
  <c r="AI110" i="13" s="1"/>
  <c r="AI111" i="13" a="1"/>
  <c r="AI111" i="13" s="1"/>
  <c r="AI113" i="13" a="1"/>
  <c r="AI113" i="13" s="1"/>
  <c r="AI114" i="13" a="1"/>
  <c r="AI114" i="13" s="1"/>
  <c r="AI115" i="13" a="1"/>
  <c r="AI115" i="13" s="1"/>
  <c r="AI116" i="13" a="1"/>
  <c r="AI116" i="13" s="1"/>
  <c r="AI117" i="13" a="1"/>
  <c r="AI117" i="13" s="1"/>
  <c r="AI118" i="13" a="1"/>
  <c r="AI118" i="13" s="1"/>
  <c r="AI119" i="13" a="1"/>
  <c r="AI119" i="13" s="1"/>
  <c r="AI120" i="13" a="1"/>
  <c r="AI120" i="13" s="1"/>
  <c r="AI123" i="13" a="1"/>
  <c r="AI123" i="13" s="1"/>
  <c r="AI124" i="13" a="1"/>
  <c r="AI124" i="13" s="1"/>
  <c r="AI125" i="13" a="1"/>
  <c r="AI125" i="13" s="1"/>
  <c r="AI126" i="13" a="1"/>
  <c r="AI126" i="13" s="1"/>
  <c r="AI127" i="13" a="1"/>
  <c r="AI127" i="13" s="1"/>
  <c r="AI128" i="13" a="1"/>
  <c r="AI128" i="13" s="1"/>
  <c r="AI129" i="13" a="1"/>
  <c r="AI129" i="13" s="1"/>
  <c r="AI130" i="13" a="1"/>
  <c r="AI130" i="13" s="1"/>
  <c r="AI131" i="13" a="1"/>
  <c r="AI131" i="13" s="1"/>
  <c r="AI132" i="13" a="1"/>
  <c r="AI132" i="13" s="1"/>
  <c r="AI133" i="13" a="1"/>
  <c r="AI133" i="13" s="1"/>
  <c r="AI134" i="13" a="1"/>
  <c r="AI134" i="13" s="1"/>
  <c r="AI135" i="13" a="1"/>
  <c r="AI135" i="13" s="1"/>
  <c r="AI136" i="13" a="1"/>
  <c r="AI136" i="13" s="1"/>
  <c r="AI137" i="13" a="1"/>
  <c r="AI137" i="13" s="1"/>
  <c r="AI138" i="13" a="1"/>
  <c r="AI138" i="13" s="1"/>
  <c r="AI139" i="13" a="1"/>
  <c r="AI139" i="13" s="1"/>
  <c r="AI140" i="13" a="1"/>
  <c r="AI140" i="13" s="1"/>
  <c r="AI141" i="13" a="1"/>
  <c r="AI141" i="13" s="1"/>
  <c r="AI142" i="13" a="1"/>
  <c r="AI142" i="13" s="1"/>
  <c r="AI143" i="13" a="1"/>
  <c r="AI143" i="13" s="1"/>
  <c r="AI144" i="13" a="1"/>
  <c r="AI144" i="13" s="1"/>
  <c r="AI145" i="13" a="1"/>
  <c r="AI145" i="13" s="1"/>
  <c r="AI146" i="13" a="1"/>
  <c r="AI146" i="13" s="1"/>
  <c r="AI147" i="13" a="1"/>
  <c r="AI147" i="13" s="1"/>
  <c r="AI148" i="13" a="1"/>
  <c r="AI148" i="13" s="1"/>
  <c r="AI149" i="13" a="1"/>
  <c r="AI149" i="13" s="1"/>
  <c r="AI150" i="13" a="1"/>
  <c r="AI150" i="13" s="1"/>
  <c r="AI151" i="13" a="1"/>
  <c r="AI151" i="13" s="1"/>
  <c r="AI152" i="13" a="1"/>
  <c r="AI152" i="13" s="1"/>
  <c r="AI153" i="13" a="1"/>
  <c r="AI153" i="13" s="1"/>
  <c r="AI154" i="13" a="1"/>
  <c r="AI154" i="13" s="1"/>
  <c r="AI155" i="13" a="1"/>
  <c r="AI155" i="13" s="1"/>
  <c r="AI156" i="13" a="1"/>
  <c r="AI156" i="13" s="1"/>
  <c r="AI157" i="13" a="1"/>
  <c r="AI157" i="13" s="1"/>
  <c r="AI158" i="13" a="1"/>
  <c r="AI158" i="13" s="1"/>
  <c r="AI159" i="13" a="1"/>
  <c r="AI159" i="13" s="1"/>
  <c r="AI165" i="13" a="1"/>
  <c r="AI165" i="13" s="1"/>
  <c r="AI166" i="13" a="1"/>
  <c r="AI166" i="13" s="1"/>
  <c r="AI167" i="13" a="1"/>
  <c r="AI167" i="13" s="1"/>
  <c r="AI168" i="13" a="1"/>
  <c r="AI168" i="13" s="1"/>
  <c r="AI169" i="13" a="1"/>
  <c r="AI169" i="13" s="1"/>
  <c r="AI170" i="13" a="1"/>
  <c r="AI170" i="13" s="1"/>
  <c r="AI171" i="13" a="1"/>
  <c r="AI171" i="13" s="1"/>
  <c r="AI172" i="13" a="1"/>
  <c r="AI172" i="13" s="1"/>
  <c r="AI173" i="13" a="1"/>
  <c r="AI173" i="13" s="1"/>
  <c r="AI174" i="13" a="1"/>
  <c r="AI174" i="13" s="1"/>
  <c r="AI175" i="13" a="1"/>
  <c r="AI175" i="13" s="1"/>
  <c r="AI176" i="13" a="1"/>
  <c r="AI176" i="13" s="1"/>
  <c r="AI177" i="13" a="1"/>
  <c r="AI177" i="13" s="1"/>
  <c r="AI178" i="13" a="1"/>
  <c r="AI178" i="13" s="1"/>
  <c r="AI179" i="13" a="1"/>
  <c r="AI179" i="13" s="1"/>
  <c r="AI180" i="13" a="1"/>
  <c r="AI180" i="13" s="1"/>
  <c r="AI181" i="13" a="1"/>
  <c r="AI181" i="13" s="1"/>
  <c r="AI182" i="13" a="1"/>
  <c r="AI182" i="13" s="1"/>
  <c r="AI183" i="13" a="1"/>
  <c r="AI183" i="13" s="1"/>
  <c r="AI184" i="13" a="1"/>
  <c r="AI184" i="13" s="1"/>
  <c r="AI185" i="13" a="1"/>
  <c r="AI185" i="13" s="1"/>
  <c r="AI186" i="13" a="1"/>
  <c r="AI186" i="13" s="1"/>
  <c r="AI188" i="13" a="1"/>
  <c r="AI188" i="13" s="1"/>
  <c r="AI189" i="13" a="1"/>
  <c r="AI189" i="13" s="1"/>
  <c r="AI190" i="13" a="1"/>
  <c r="AI190" i="13" s="1"/>
  <c r="AI191" i="13" a="1"/>
  <c r="AI191" i="13" s="1"/>
  <c r="AI192" i="13" a="1"/>
  <c r="AI192" i="13" s="1"/>
  <c r="AI194" i="13" a="1"/>
  <c r="AI194" i="13" s="1"/>
  <c r="AI195" i="13" a="1"/>
  <c r="AI195" i="13" s="1"/>
  <c r="AI196" i="13" a="1"/>
  <c r="AI196" i="13" s="1"/>
  <c r="AI197" i="13" a="1"/>
  <c r="AI197" i="13" s="1"/>
  <c r="AI198" i="13" a="1"/>
  <c r="AI198" i="13" s="1"/>
  <c r="AI199" i="13" a="1"/>
  <c r="AI199" i="13" s="1"/>
  <c r="AI200" i="13" a="1"/>
  <c r="AI200" i="13" s="1"/>
  <c r="AI201" i="13" a="1"/>
  <c r="AI201" i="13" s="1"/>
  <c r="AI202" i="13" a="1"/>
  <c r="AI202" i="13" s="1"/>
  <c r="AI203" i="13" a="1"/>
  <c r="AI203" i="13" s="1"/>
  <c r="AI204" i="13" a="1"/>
  <c r="AI204" i="13" s="1"/>
  <c r="AI207" i="13" a="1"/>
  <c r="AI207" i="13" s="1"/>
  <c r="AI208" i="13" a="1"/>
  <c r="AI208" i="13" s="1"/>
  <c r="AI209" i="13" a="1"/>
  <c r="AI209" i="13" s="1"/>
  <c r="AI210" i="13" a="1"/>
  <c r="AI210" i="13" s="1"/>
  <c r="AI211" i="13" a="1"/>
  <c r="AI211" i="13" s="1"/>
  <c r="AI212" i="13" a="1"/>
  <c r="AI212" i="13" s="1"/>
  <c r="AI213" i="13" a="1"/>
  <c r="AI213" i="13" s="1"/>
  <c r="AI214" i="13" a="1"/>
  <c r="AI214" i="13" s="1"/>
  <c r="AI215" i="13" a="1"/>
  <c r="AI215" i="13" s="1"/>
  <c r="AI216" i="13" a="1"/>
  <c r="AI216" i="13" s="1"/>
  <c r="AI217" i="13" a="1"/>
  <c r="AI217" i="13" s="1"/>
  <c r="AI218" i="13" a="1"/>
  <c r="AI218" i="13" s="1"/>
  <c r="AI219" i="13" a="1"/>
  <c r="AI219" i="13" s="1"/>
  <c r="AI220" i="13" a="1"/>
  <c r="AI220" i="13" s="1"/>
  <c r="AI221" i="13" a="1"/>
  <c r="AI221" i="13" s="1"/>
  <c r="AI222" i="13" a="1"/>
  <c r="AI222" i="13" s="1"/>
  <c r="AI223" i="13" a="1"/>
  <c r="AI223" i="13" s="1"/>
  <c r="AI224" i="13" a="1"/>
  <c r="AI224" i="13" s="1"/>
  <c r="AI2" i="13" a="1"/>
  <c r="AI2" i="13" s="1"/>
  <c r="AI3" i="13" a="1"/>
  <c r="AI3" i="13" s="1"/>
  <c r="AI4" i="13" a="1"/>
  <c r="AI4" i="13" s="1"/>
  <c r="AI5" i="13" a="1"/>
  <c r="AI5" i="13" s="1"/>
  <c r="AI6" i="13" a="1"/>
  <c r="AI6" i="13" s="1"/>
  <c r="AI7" i="13" a="1"/>
  <c r="AI7" i="13" s="1"/>
  <c r="AI8" i="13" a="1"/>
  <c r="AI8" i="13" s="1"/>
  <c r="AI9" i="13" a="1"/>
  <c r="AI9" i="13" s="1"/>
  <c r="AI10" i="13" a="1"/>
  <c r="AI10" i="13" s="1"/>
  <c r="AI11" i="13" a="1"/>
  <c r="AI11" i="13" s="1"/>
  <c r="AI12" i="13" a="1"/>
  <c r="AI12" i="13" s="1"/>
  <c r="AI13" i="13" a="1"/>
  <c r="AI13" i="13" s="1"/>
  <c r="AI14" i="13" a="1"/>
  <c r="AI14" i="13" s="1"/>
  <c r="AI15" i="13" a="1"/>
  <c r="AI15" i="13" s="1"/>
  <c r="AI16" i="13" a="1"/>
  <c r="AI16" i="13" s="1"/>
  <c r="AI17" i="13" a="1"/>
  <c r="AI17" i="13" s="1"/>
  <c r="AI18" i="13" a="1"/>
  <c r="AI18" i="13" s="1"/>
  <c r="AI19" i="13" a="1"/>
  <c r="AI19" i="13" s="1"/>
  <c r="AI20" i="13" a="1"/>
  <c r="AI20" i="13" s="1"/>
  <c r="AI21" i="13" a="1"/>
  <c r="AI21" i="13" s="1"/>
  <c r="AI22" i="13" a="1"/>
  <c r="AI22" i="13" s="1"/>
  <c r="AI23" i="13" a="1"/>
  <c r="AI23" i="13" s="1"/>
  <c r="AI24" i="13" a="1"/>
  <c r="AI24" i="13" s="1"/>
  <c r="AI25" i="13" a="1"/>
  <c r="AI25" i="13" s="1"/>
  <c r="AI26" i="13" a="1"/>
  <c r="AI26" i="13" s="1"/>
  <c r="AI27" i="13" a="1"/>
  <c r="AI27" i="13" s="1"/>
  <c r="AI28" i="13" a="1"/>
  <c r="AI28" i="13" s="1"/>
  <c r="AI29" i="13" a="1"/>
  <c r="AI29" i="13" s="1"/>
  <c r="AI30" i="13" a="1"/>
  <c r="AI30" i="13" s="1"/>
  <c r="AI31" i="13" a="1"/>
  <c r="AI31" i="13" s="1"/>
  <c r="AI32" i="13" a="1"/>
  <c r="AI32" i="13" s="1"/>
  <c r="AI33" i="13" a="1"/>
  <c r="AI33" i="13" s="1"/>
  <c r="AI34" i="13" a="1"/>
  <c r="AI34" i="13" s="1"/>
  <c r="AI35" i="13" a="1"/>
  <c r="AI35" i="13" s="1"/>
  <c r="AI38" i="13" a="1"/>
  <c r="AI38" i="13" s="1"/>
  <c r="AI39" i="13" a="1"/>
  <c r="AI39" i="13" s="1"/>
  <c r="AI40" i="13" a="1"/>
  <c r="AI40" i="13" s="1"/>
  <c r="AI41" i="13" a="1"/>
  <c r="AI41" i="13" s="1"/>
  <c r="AI42" i="13" a="1"/>
  <c r="AI42" i="13" s="1"/>
  <c r="AI43" i="13" a="1"/>
  <c r="AI43" i="13" s="1"/>
  <c r="AI44" i="13" a="1"/>
  <c r="AI44" i="13" s="1"/>
  <c r="AI45" i="13" a="1"/>
  <c r="AI45" i="13" s="1"/>
  <c r="AI46" i="13" a="1"/>
  <c r="AI46" i="13" s="1"/>
  <c r="AI47" i="13" a="1"/>
  <c r="AI47" i="13" s="1"/>
  <c r="BG224" i="13" a="1"/>
  <c r="BG224" i="13" s="1"/>
  <c r="BE224" i="13" a="1"/>
  <c r="BE224" i="13" s="1"/>
  <c r="BF224" i="13" s="1" a="1"/>
  <c r="BF224" i="13" s="1"/>
  <c r="BD224" i="13" a="1"/>
  <c r="BD224" i="13" s="1"/>
  <c r="BC224" i="13" a="1"/>
  <c r="BC224" i="13" s="1"/>
  <c r="O224" i="13"/>
  <c r="BG223" i="13" a="1"/>
  <c r="BG223" i="13" s="1"/>
  <c r="BE223" i="13" a="1"/>
  <c r="BE223" i="13" s="1"/>
  <c r="BF223" i="13" s="1" a="1"/>
  <c r="BF223" i="13" s="1"/>
  <c r="BD223" i="13" a="1"/>
  <c r="BD223" i="13" s="1"/>
  <c r="BC223" i="13" a="1"/>
  <c r="BC223" i="13" s="1"/>
  <c r="BG222" i="13" a="1"/>
  <c r="BG222" i="13" s="1"/>
  <c r="BE222" i="13" a="1"/>
  <c r="BE222" i="13" s="1"/>
  <c r="BF222" i="13" s="1" a="1"/>
  <c r="BF222" i="13" s="1"/>
  <c r="BD222" i="13" a="1"/>
  <c r="BD222" i="13" s="1"/>
  <c r="BC222" i="13" a="1"/>
  <c r="BC222" i="13" s="1"/>
  <c r="AJ222" i="13"/>
  <c r="BG221" i="13" a="1"/>
  <c r="BG221" i="13" s="1"/>
  <c r="BE221" i="13" a="1"/>
  <c r="BE221" i="13" s="1"/>
  <c r="BF221" i="13" s="1" a="1"/>
  <c r="BF221" i="13" s="1"/>
  <c r="BD221" i="13" a="1"/>
  <c r="BD221" i="13" s="1"/>
  <c r="BC221" i="13" a="1"/>
  <c r="BC221" i="13" s="1"/>
  <c r="AJ221" i="13"/>
  <c r="BG220" i="13" a="1"/>
  <c r="BG220" i="13" s="1"/>
  <c r="BE220" i="13" a="1"/>
  <c r="BE220" i="13" s="1"/>
  <c r="BF220" i="13" s="1" a="1"/>
  <c r="BF220" i="13" s="1"/>
  <c r="BD220" i="13" a="1"/>
  <c r="BD220" i="13" s="1"/>
  <c r="BC220" i="13" a="1"/>
  <c r="BC220" i="13" s="1"/>
  <c r="AJ220" i="13"/>
  <c r="BG219" i="13" a="1"/>
  <c r="BG219" i="13" s="1"/>
  <c r="BE219" i="13" a="1"/>
  <c r="BE219" i="13" s="1"/>
  <c r="BF219" i="13" s="1" a="1"/>
  <c r="BF219" i="13" s="1"/>
  <c r="BD219" i="13" a="1"/>
  <c r="BD219" i="13" s="1"/>
  <c r="BC219" i="13" a="1"/>
  <c r="BC219" i="13" s="1"/>
  <c r="AJ219" i="13"/>
  <c r="BG218" i="13" a="1"/>
  <c r="BG218" i="13" s="1"/>
  <c r="BE218" i="13" a="1"/>
  <c r="BE218" i="13" s="1"/>
  <c r="BF218" i="13" s="1" a="1"/>
  <c r="BF218" i="13" s="1"/>
  <c r="BD218" i="13" a="1"/>
  <c r="BD218" i="13" s="1"/>
  <c r="BC218" i="13" a="1"/>
  <c r="BC218" i="13" s="1"/>
  <c r="AJ218" i="13"/>
  <c r="BG217" i="13" a="1"/>
  <c r="BG217" i="13" s="1"/>
  <c r="BE217" i="13" a="1"/>
  <c r="BE217" i="13" s="1"/>
  <c r="BF217" i="13" s="1" a="1"/>
  <c r="BF217" i="13" s="1"/>
  <c r="BD217" i="13" a="1"/>
  <c r="BD217" i="13" s="1"/>
  <c r="BC217" i="13" a="1"/>
  <c r="BC217" i="13" s="1"/>
  <c r="AJ217" i="13"/>
  <c r="BG216" i="13" a="1"/>
  <c r="BG216" i="13" s="1"/>
  <c r="BE216" i="13" a="1"/>
  <c r="BE216" i="13" s="1"/>
  <c r="BF216" i="13" s="1" a="1"/>
  <c r="BF216" i="13" s="1"/>
  <c r="BD216" i="13" a="1"/>
  <c r="BD216" i="13" s="1"/>
  <c r="BC216" i="13" a="1"/>
  <c r="BC216" i="13" s="1"/>
  <c r="BG215" i="13" a="1"/>
  <c r="BG215" i="13" s="1"/>
  <c r="BE215" i="13" a="1"/>
  <c r="BE215" i="13" s="1"/>
  <c r="BF215" i="13" s="1" a="1"/>
  <c r="BF215" i="13" s="1"/>
  <c r="BD215" i="13" a="1"/>
  <c r="BD215" i="13" s="1"/>
  <c r="BC215" i="13" a="1"/>
  <c r="BC215" i="13" s="1"/>
  <c r="BG214" i="13" a="1"/>
  <c r="BG214" i="13" s="1"/>
  <c r="BE214" i="13" a="1"/>
  <c r="BE214" i="13" s="1"/>
  <c r="BF214" i="13" s="1" a="1"/>
  <c r="BF214" i="13" s="1"/>
  <c r="BD214" i="13" a="1"/>
  <c r="BD214" i="13" s="1"/>
  <c r="BC214" i="13" a="1"/>
  <c r="BC214" i="13" s="1"/>
  <c r="BG213" i="13" a="1"/>
  <c r="BG213" i="13" s="1"/>
  <c r="BD213" i="13" a="1"/>
  <c r="BD213" i="13" s="1"/>
  <c r="AX213" i="13"/>
  <c r="BE213" i="13" s="1" a="1"/>
  <c r="BE213" i="13" s="1"/>
  <c r="BF213" i="13" s="1" a="1"/>
  <c r="BF213" i="13" s="1"/>
  <c r="AW213" i="13"/>
  <c r="BC213" i="13" s="1" a="1"/>
  <c r="BC213" i="13" s="1"/>
  <c r="O213" i="13"/>
  <c r="L213" i="13"/>
  <c r="BG212" i="13" a="1"/>
  <c r="BG212" i="13" s="1"/>
  <c r="BE212" i="13" a="1"/>
  <c r="BE212" i="13" s="1"/>
  <c r="BF212" i="13" s="1" a="1"/>
  <c r="BF212" i="13" s="1"/>
  <c r="BD212" i="13" a="1"/>
  <c r="BD212" i="13" s="1"/>
  <c r="BC212" i="13" a="1"/>
  <c r="BC212" i="13" s="1"/>
  <c r="AJ212" i="13"/>
  <c r="O212" i="13"/>
  <c r="BG211" i="13" a="1"/>
  <c r="BG211" i="13" s="1"/>
  <c r="BE211" i="13" a="1"/>
  <c r="BE211" i="13" s="1"/>
  <c r="BF211" i="13" s="1" a="1"/>
  <c r="BF211" i="13" s="1"/>
  <c r="BD211" i="13" a="1"/>
  <c r="BD211" i="13" s="1"/>
  <c r="BC211" i="13" a="1"/>
  <c r="BC211" i="13" s="1"/>
  <c r="AJ211" i="13"/>
  <c r="O211" i="13"/>
  <c r="BG210" i="13" a="1"/>
  <c r="BG210" i="13" s="1"/>
  <c r="BD210" i="13" a="1"/>
  <c r="BD210" i="13" s="1"/>
  <c r="AX210" i="13"/>
  <c r="BE210" i="13" s="1" a="1"/>
  <c r="BE210" i="13" s="1"/>
  <c r="BF210" i="13" s="1" a="1"/>
  <c r="BF210" i="13" s="1"/>
  <c r="AW210" i="13"/>
  <c r="BC210" i="13" s="1" a="1"/>
  <c r="BC210" i="13" s="1"/>
  <c r="O210" i="13"/>
  <c r="BG209" i="13" a="1"/>
  <c r="BG209" i="13" s="1"/>
  <c r="BD209" i="13" a="1"/>
  <c r="BD209" i="13" s="1"/>
  <c r="AX209" i="13"/>
  <c r="BE209" i="13" s="1" a="1"/>
  <c r="BE209" i="13" s="1"/>
  <c r="BF209" i="13" s="1" a="1"/>
  <c r="BF209" i="13" s="1"/>
  <c r="AW209" i="13"/>
  <c r="BC209" i="13" s="1" a="1"/>
  <c r="BC209" i="13" s="1"/>
  <c r="O209" i="13"/>
  <c r="BG208" i="13" a="1"/>
  <c r="BG208" i="13" s="1"/>
  <c r="BD208" i="13" a="1"/>
  <c r="BD208" i="13" s="1"/>
  <c r="AX208" i="13"/>
  <c r="BE208" i="13" s="1" a="1"/>
  <c r="BE208" i="13" s="1"/>
  <c r="BF208" i="13" s="1" a="1"/>
  <c r="BF208" i="13" s="1"/>
  <c r="AW208" i="13"/>
  <c r="BC208" i="13" s="1" a="1"/>
  <c r="BC208" i="13" s="1"/>
  <c r="O208" i="13"/>
  <c r="BG207" i="13" a="1"/>
  <c r="BG207" i="13" s="1"/>
  <c r="BE207" i="13" a="1"/>
  <c r="BE207" i="13" s="1"/>
  <c r="BF207" i="13" s="1" a="1"/>
  <c r="BF207" i="13" s="1"/>
  <c r="BD207" i="13" a="1"/>
  <c r="BD207" i="13" s="1"/>
  <c r="BC207" i="13" a="1"/>
  <c r="BC207" i="13" s="1"/>
  <c r="O207" i="13"/>
  <c r="BG206" i="13" a="1"/>
  <c r="BG206" i="13" s="1"/>
  <c r="BD206" i="13" a="1"/>
  <c r="BD206" i="13" s="1"/>
  <c r="AX206" i="13"/>
  <c r="BE206" i="13" s="1" a="1"/>
  <c r="BE206" i="13" s="1"/>
  <c r="BF206" i="13" s="1" a="1"/>
  <c r="BF206" i="13" s="1"/>
  <c r="AW206" i="13"/>
  <c r="BC206" i="13" s="1" a="1"/>
  <c r="BC206" i="13" s="1"/>
  <c r="AH206" i="13"/>
  <c r="AJ206" i="13" s="1"/>
  <c r="O206" i="13"/>
  <c r="BG205" i="13" a="1"/>
  <c r="BG205" i="13" s="1"/>
  <c r="BD205" i="13" a="1"/>
  <c r="BD205" i="13" s="1"/>
  <c r="AX205" i="13"/>
  <c r="BE205" i="13" s="1" a="1"/>
  <c r="BE205" i="13" s="1"/>
  <c r="BF205" i="13" s="1" a="1"/>
  <c r="BF205" i="13" s="1"/>
  <c r="AW205" i="13"/>
  <c r="BC205" i="13" s="1" a="1"/>
  <c r="BC205" i="13" s="1"/>
  <c r="AH205" i="13"/>
  <c r="AJ205" i="13" s="1"/>
  <c r="O205" i="13"/>
  <c r="BG204" i="13" a="1"/>
  <c r="BG204" i="13" s="1"/>
  <c r="BE204" i="13" a="1"/>
  <c r="BE204" i="13" s="1"/>
  <c r="BF204" i="13" s="1" a="1"/>
  <c r="BF204" i="13" s="1"/>
  <c r="BD204" i="13" a="1"/>
  <c r="BD204" i="13" s="1"/>
  <c r="BC204" i="13" a="1"/>
  <c r="BC204" i="13" s="1"/>
  <c r="L204" i="13"/>
  <c r="BG203" i="13" a="1"/>
  <c r="BG203" i="13" s="1"/>
  <c r="BE203" i="13" a="1"/>
  <c r="BE203" i="13" s="1"/>
  <c r="BF203" i="13" s="1" a="1"/>
  <c r="BF203" i="13" s="1"/>
  <c r="BD203" i="13" a="1"/>
  <c r="BD203" i="13" s="1"/>
  <c r="BC203" i="13" a="1"/>
  <c r="BC203" i="13" s="1"/>
  <c r="O203" i="13"/>
  <c r="L203" i="13"/>
  <c r="BG202" i="13" a="1"/>
  <c r="BG202" i="13" s="1"/>
  <c r="BE202" i="13" a="1"/>
  <c r="BE202" i="13" s="1"/>
  <c r="BF202" i="13" s="1" a="1"/>
  <c r="BF202" i="13" s="1"/>
  <c r="BD202" i="13" a="1"/>
  <c r="BD202" i="13" s="1"/>
  <c r="BC202" i="13" a="1"/>
  <c r="BC202" i="13" s="1"/>
  <c r="O202" i="13"/>
  <c r="L202" i="13"/>
  <c r="BG201" i="13" a="1"/>
  <c r="BG201" i="13" s="1"/>
  <c r="BE201" i="13" a="1"/>
  <c r="BE201" i="13" s="1"/>
  <c r="BF201" i="13" s="1" a="1"/>
  <c r="BF201" i="13" s="1"/>
  <c r="BD201" i="13" a="1"/>
  <c r="BD201" i="13" s="1"/>
  <c r="BC201" i="13" a="1"/>
  <c r="BC201" i="13" s="1"/>
  <c r="O201" i="13"/>
  <c r="BG200" i="13" a="1"/>
  <c r="BG200" i="13" s="1"/>
  <c r="BE200" i="13" a="1"/>
  <c r="BE200" i="13" s="1"/>
  <c r="BF200" i="13" s="1" a="1"/>
  <c r="BF200" i="13" s="1"/>
  <c r="BD200" i="13" a="1"/>
  <c r="BD200" i="13" s="1"/>
  <c r="BC200" i="13" a="1"/>
  <c r="BC200" i="13" s="1"/>
  <c r="L200" i="13"/>
  <c r="BG199" i="13" a="1"/>
  <c r="BG199" i="13" s="1"/>
  <c r="BE199" i="13" a="1"/>
  <c r="BE199" i="13" s="1"/>
  <c r="BF199" i="13" s="1" a="1"/>
  <c r="BF199" i="13" s="1"/>
  <c r="BD199" i="13" a="1"/>
  <c r="BD199" i="13" s="1"/>
  <c r="BC199" i="13" a="1"/>
  <c r="BC199" i="13" s="1"/>
  <c r="L199" i="13"/>
  <c r="BG198" i="13" a="1"/>
  <c r="BG198" i="13" s="1"/>
  <c r="BE198" i="13" a="1"/>
  <c r="BE198" i="13" s="1"/>
  <c r="BF198" i="13" s="1" a="1"/>
  <c r="BF198" i="13" s="1"/>
  <c r="BD198" i="13" a="1"/>
  <c r="BD198" i="13" s="1"/>
  <c r="BC198" i="13" a="1"/>
  <c r="BC198" i="13" s="1"/>
  <c r="BG197" i="13" a="1"/>
  <c r="BG197" i="13" s="1"/>
  <c r="BE197" i="13" a="1"/>
  <c r="BE197" i="13" s="1"/>
  <c r="BF197" i="13" s="1" a="1"/>
  <c r="BF197" i="13" s="1"/>
  <c r="BD197" i="13" a="1"/>
  <c r="BD197" i="13" s="1"/>
  <c r="BC197" i="13" a="1"/>
  <c r="BC197" i="13" s="1"/>
  <c r="BG196" i="13" a="1"/>
  <c r="BG196" i="13" s="1"/>
  <c r="BE196" i="13" a="1"/>
  <c r="BE196" i="13" s="1"/>
  <c r="BF196" i="13" s="1" a="1"/>
  <c r="BF196" i="13" s="1"/>
  <c r="BD196" i="13" a="1"/>
  <c r="BD196" i="13" s="1"/>
  <c r="BC196" i="13" a="1"/>
  <c r="BC196" i="13" s="1"/>
  <c r="BG195" i="13" a="1"/>
  <c r="BG195" i="13" s="1"/>
  <c r="BE195" i="13" a="1"/>
  <c r="BE195" i="13" s="1"/>
  <c r="BF195" i="13" s="1" a="1"/>
  <c r="BF195" i="13" s="1"/>
  <c r="BD195" i="13" a="1"/>
  <c r="BD195" i="13" s="1"/>
  <c r="BC195" i="13" a="1"/>
  <c r="BC195" i="13" s="1"/>
  <c r="BG194" i="13" a="1"/>
  <c r="BG194" i="13" s="1"/>
  <c r="BD194" i="13" a="1"/>
  <c r="BD194" i="13" s="1"/>
  <c r="AX194" i="13"/>
  <c r="BE194" i="13" s="1" a="1"/>
  <c r="BE194" i="13" s="1"/>
  <c r="BF194" i="13" s="1" a="1"/>
  <c r="BF194" i="13" s="1"/>
  <c r="AW194" i="13"/>
  <c r="BC194" i="13" s="1" a="1"/>
  <c r="BC194" i="13" s="1"/>
  <c r="AJ194" i="13"/>
  <c r="O194" i="13"/>
  <c r="BG193" i="13" a="1"/>
  <c r="BG193" i="13" s="1"/>
  <c r="BD193" i="13" a="1"/>
  <c r="BD193" i="13" s="1"/>
  <c r="AX193" i="13"/>
  <c r="BE193" i="13" s="1" a="1"/>
  <c r="BE193" i="13" s="1"/>
  <c r="BF193" i="13" s="1" a="1"/>
  <c r="BF193" i="13" s="1"/>
  <c r="AW193" i="13"/>
  <c r="BC193" i="13" s="1" a="1"/>
  <c r="BC193" i="13" s="1"/>
  <c r="AF193" i="13"/>
  <c r="AI193" i="13" s="1" a="1"/>
  <c r="AI193" i="13" s="1"/>
  <c r="O193" i="13"/>
  <c r="BG192" i="13" a="1"/>
  <c r="BG192" i="13" s="1"/>
  <c r="BD192" i="13" a="1"/>
  <c r="BD192" i="13" s="1"/>
  <c r="AX192" i="13"/>
  <c r="BE192" i="13" s="1" a="1"/>
  <c r="BE192" i="13" s="1"/>
  <c r="BF192" i="13" s="1" a="1"/>
  <c r="BF192" i="13" s="1"/>
  <c r="AW192" i="13"/>
  <c r="BC192" i="13" s="1" a="1"/>
  <c r="BC192" i="13" s="1"/>
  <c r="O192" i="13"/>
  <c r="BG191" i="13" a="1"/>
  <c r="BG191" i="13" s="1"/>
  <c r="BE191" i="13" a="1"/>
  <c r="BE191" i="13" s="1"/>
  <c r="BF191" i="13" s="1" a="1"/>
  <c r="BF191" i="13" s="1"/>
  <c r="BD191" i="13" a="1"/>
  <c r="BD191" i="13" s="1"/>
  <c r="BC191" i="13" a="1"/>
  <c r="BC191" i="13" s="1"/>
  <c r="O191" i="13"/>
  <c r="BG190" i="13" a="1"/>
  <c r="BG190" i="13" s="1"/>
  <c r="BE190" i="13" a="1"/>
  <c r="BE190" i="13" s="1"/>
  <c r="BF190" i="13" s="1" a="1"/>
  <c r="BF190" i="13" s="1"/>
  <c r="BD190" i="13" a="1"/>
  <c r="BD190" i="13" s="1"/>
  <c r="BC190" i="13" a="1"/>
  <c r="BC190" i="13" s="1"/>
  <c r="O190" i="13"/>
  <c r="BG189" i="13" a="1"/>
  <c r="BG189" i="13" s="1"/>
  <c r="BE189" i="13" a="1"/>
  <c r="BE189" i="13" s="1"/>
  <c r="BF189" i="13" s="1" a="1"/>
  <c r="BF189" i="13" s="1"/>
  <c r="BD189" i="13" a="1"/>
  <c r="BD189" i="13" s="1"/>
  <c r="BC189" i="13" a="1"/>
  <c r="BC189" i="13" s="1"/>
  <c r="O189" i="13"/>
  <c r="BG188" i="13" a="1"/>
  <c r="BG188" i="13" s="1"/>
  <c r="BE188" i="13" a="1"/>
  <c r="BE188" i="13" s="1"/>
  <c r="BF188" i="13" s="1" a="1"/>
  <c r="BF188" i="13" s="1"/>
  <c r="BD188" i="13" a="1"/>
  <c r="BD188" i="13" s="1"/>
  <c r="BC188" i="13" a="1"/>
  <c r="BC188" i="13" s="1"/>
  <c r="O188" i="13"/>
  <c r="BG187" i="13" a="1"/>
  <c r="BG187" i="13" s="1"/>
  <c r="BE187" i="13" a="1"/>
  <c r="BE187" i="13" s="1"/>
  <c r="BF187" i="13" s="1" a="1"/>
  <c r="BF187" i="13" s="1"/>
  <c r="BD187" i="13" a="1"/>
  <c r="BD187" i="13" s="1"/>
  <c r="BC187" i="13" a="1"/>
  <c r="BC187" i="13" s="1"/>
  <c r="AJ187" i="13"/>
  <c r="AH187" i="13"/>
  <c r="AI187" i="13" s="1" a="1"/>
  <c r="AI187" i="13" s="1"/>
  <c r="O187" i="13"/>
  <c r="BG186" i="13" a="1"/>
  <c r="BG186" i="13" s="1"/>
  <c r="BE186" i="13" a="1"/>
  <c r="BE186" i="13" s="1"/>
  <c r="BF186" i="13" s="1" a="1"/>
  <c r="BF186" i="13" s="1"/>
  <c r="BD186" i="13" a="1"/>
  <c r="BD186" i="13" s="1"/>
  <c r="BC186" i="13" a="1"/>
  <c r="BC186" i="13" s="1"/>
  <c r="O186" i="13"/>
  <c r="L186" i="13"/>
  <c r="BG185" i="13" a="1"/>
  <c r="BG185" i="13" s="1"/>
  <c r="BE185" i="13" a="1"/>
  <c r="BE185" i="13" s="1"/>
  <c r="BF185" i="13" s="1" a="1"/>
  <c r="BF185" i="13" s="1"/>
  <c r="BD185" i="13" a="1"/>
  <c r="BD185" i="13" s="1"/>
  <c r="BC185" i="13" a="1"/>
  <c r="BC185" i="13" s="1"/>
  <c r="BG184" i="13" a="1"/>
  <c r="BG184" i="13" s="1"/>
  <c r="BE184" i="13" a="1"/>
  <c r="BE184" i="13" s="1"/>
  <c r="BF184" i="13" s="1" a="1"/>
  <c r="BF184" i="13" s="1"/>
  <c r="BD184" i="13" a="1"/>
  <c r="BD184" i="13" s="1"/>
  <c r="BC184" i="13" a="1"/>
  <c r="BC184" i="13" s="1"/>
  <c r="BG183" i="13" a="1"/>
  <c r="BG183" i="13" s="1"/>
  <c r="BE183" i="13" a="1"/>
  <c r="BE183" i="13" s="1"/>
  <c r="BF183" i="13" s="1" a="1"/>
  <c r="BF183" i="13" s="1"/>
  <c r="BD183" i="13" a="1"/>
  <c r="BD183" i="13" s="1"/>
  <c r="BC183" i="13" a="1"/>
  <c r="BC183" i="13" s="1"/>
  <c r="O183" i="13"/>
  <c r="BG182" i="13" a="1"/>
  <c r="BG182" i="13" s="1"/>
  <c r="BE182" i="13" a="1"/>
  <c r="BE182" i="13" s="1"/>
  <c r="BF182" i="13" s="1" a="1"/>
  <c r="BF182" i="13" s="1"/>
  <c r="BD182" i="13" a="1"/>
  <c r="BD182" i="13" s="1"/>
  <c r="BC182" i="13" a="1"/>
  <c r="BC182" i="13" s="1"/>
  <c r="O182" i="13"/>
  <c r="BG181" i="13" a="1"/>
  <c r="BG181" i="13" s="1"/>
  <c r="BE181" i="13" a="1"/>
  <c r="BE181" i="13" s="1"/>
  <c r="BF181" i="13" s="1" a="1"/>
  <c r="BF181" i="13" s="1"/>
  <c r="BD181" i="13" a="1"/>
  <c r="BD181" i="13" s="1"/>
  <c r="BC181" i="13" a="1"/>
  <c r="BC181" i="13" s="1"/>
  <c r="O181" i="13"/>
  <c r="BG180" i="13" a="1"/>
  <c r="BG180" i="13" s="1"/>
  <c r="BE180" i="13" a="1"/>
  <c r="BE180" i="13" s="1"/>
  <c r="BF180" i="13" s="1" a="1"/>
  <c r="BF180" i="13" s="1"/>
  <c r="BD180" i="13" a="1"/>
  <c r="BD180" i="13" s="1"/>
  <c r="BC180" i="13" a="1"/>
  <c r="BC180" i="13" s="1"/>
  <c r="O180" i="13"/>
  <c r="L180" i="13"/>
  <c r="BG179" i="13" a="1"/>
  <c r="BG179" i="13" s="1"/>
  <c r="BE179" i="13" a="1"/>
  <c r="BE179" i="13" s="1"/>
  <c r="BF179" i="13" s="1" a="1"/>
  <c r="BF179" i="13" s="1"/>
  <c r="BD179" i="13" a="1"/>
  <c r="BD179" i="13" s="1"/>
  <c r="BC179" i="13" a="1"/>
  <c r="BC179" i="13" s="1"/>
  <c r="L179" i="13"/>
  <c r="BG178" i="13" a="1"/>
  <c r="BG178" i="13" s="1"/>
  <c r="BD178" i="13" a="1"/>
  <c r="BD178" i="13" s="1"/>
  <c r="AX178" i="13"/>
  <c r="BE178" i="13" s="1" a="1"/>
  <c r="BE178" i="13" s="1"/>
  <c r="BF178" i="13" s="1" a="1"/>
  <c r="BF178" i="13" s="1"/>
  <c r="AW178" i="13"/>
  <c r="BC178" i="13" s="1" a="1"/>
  <c r="BC178" i="13" s="1"/>
  <c r="O178" i="13"/>
  <c r="BG177" i="13" a="1"/>
  <c r="BG177" i="13" s="1"/>
  <c r="BD177" i="13" a="1"/>
  <c r="BD177" i="13" s="1"/>
  <c r="AX177" i="13"/>
  <c r="BE177" i="13" s="1" a="1"/>
  <c r="BE177" i="13" s="1"/>
  <c r="BF177" i="13" s="1" a="1"/>
  <c r="BF177" i="13" s="1"/>
  <c r="AW177" i="13"/>
  <c r="BC177" i="13" s="1" a="1"/>
  <c r="BC177" i="13" s="1"/>
  <c r="O177" i="13"/>
  <c r="BG176" i="13" a="1"/>
  <c r="BG176" i="13" s="1"/>
  <c r="BD176" i="13" a="1"/>
  <c r="BD176" i="13" s="1"/>
  <c r="AX176" i="13"/>
  <c r="BE176" i="13" s="1" a="1"/>
  <c r="BE176" i="13" s="1"/>
  <c r="BF176" i="13" s="1" a="1"/>
  <c r="BF176" i="13" s="1"/>
  <c r="AW176" i="13"/>
  <c r="BC176" i="13" s="1" a="1"/>
  <c r="BC176" i="13" s="1"/>
  <c r="O176" i="13"/>
  <c r="BG175" i="13" a="1"/>
  <c r="BG175" i="13" s="1"/>
  <c r="BE175" i="13" a="1"/>
  <c r="BE175" i="13" s="1"/>
  <c r="BF175" i="13" s="1" a="1"/>
  <c r="BF175" i="13" s="1"/>
  <c r="BD175" i="13" a="1"/>
  <c r="BD175" i="13" s="1"/>
  <c r="BC175" i="13" a="1"/>
  <c r="BC175" i="13" s="1"/>
  <c r="O175" i="13"/>
  <c r="BG174" i="13" a="1"/>
  <c r="BG174" i="13" s="1"/>
  <c r="BE174" i="13" a="1"/>
  <c r="BE174" i="13" s="1"/>
  <c r="BF174" i="13" s="1" a="1"/>
  <c r="BF174" i="13" s="1"/>
  <c r="BD174" i="13" a="1"/>
  <c r="BD174" i="13" s="1"/>
  <c r="BC174" i="13" a="1"/>
  <c r="BC174" i="13" s="1"/>
  <c r="O174" i="13"/>
  <c r="BG173" i="13" a="1"/>
  <c r="BG173" i="13" s="1"/>
  <c r="BE173" i="13" a="1"/>
  <c r="BE173" i="13" s="1"/>
  <c r="BF173" i="13" s="1" a="1"/>
  <c r="BF173" i="13" s="1"/>
  <c r="BD173" i="13" a="1"/>
  <c r="BD173" i="13" s="1"/>
  <c r="BC173" i="13" a="1"/>
  <c r="BC173" i="13" s="1"/>
  <c r="O173" i="13"/>
  <c r="BG172" i="13" a="1"/>
  <c r="BG172" i="13" s="1"/>
  <c r="BE172" i="13" a="1"/>
  <c r="BE172" i="13" s="1"/>
  <c r="BF172" i="13" s="1" a="1"/>
  <c r="BF172" i="13" s="1"/>
  <c r="BD172" i="13" a="1"/>
  <c r="BD172" i="13" s="1"/>
  <c r="BC172" i="13" a="1"/>
  <c r="BC172" i="13" s="1"/>
  <c r="O172" i="13"/>
  <c r="BG171" i="13" a="1"/>
  <c r="BG171" i="13" s="1"/>
  <c r="BE171" i="13" a="1"/>
  <c r="BE171" i="13" s="1"/>
  <c r="BF171" i="13" s="1" a="1"/>
  <c r="BF171" i="13" s="1"/>
  <c r="BD171" i="13" a="1"/>
  <c r="BD171" i="13" s="1"/>
  <c r="BC171" i="13" a="1"/>
  <c r="BC171" i="13" s="1"/>
  <c r="O171" i="13"/>
  <c r="BG170" i="13" a="1"/>
  <c r="BG170" i="13" s="1"/>
  <c r="BE170" i="13" a="1"/>
  <c r="BE170" i="13" s="1"/>
  <c r="BF170" i="13" s="1" a="1"/>
  <c r="BF170" i="13" s="1"/>
  <c r="BD170" i="13" a="1"/>
  <c r="BD170" i="13" s="1"/>
  <c r="BC170" i="13" a="1"/>
  <c r="BC170" i="13" s="1"/>
  <c r="O170" i="13"/>
  <c r="BG169" i="13" a="1"/>
  <c r="BG169" i="13" s="1"/>
  <c r="BE169" i="13" a="1"/>
  <c r="BE169" i="13" s="1"/>
  <c r="BF169" i="13" s="1" a="1"/>
  <c r="BF169" i="13" s="1"/>
  <c r="BD169" i="13" a="1"/>
  <c r="BD169" i="13" s="1"/>
  <c r="BC169" i="13" a="1"/>
  <c r="BC169" i="13" s="1"/>
  <c r="L169" i="13"/>
  <c r="BG168" i="13" a="1"/>
  <c r="BG168" i="13" s="1"/>
  <c r="BE168" i="13" a="1"/>
  <c r="BE168" i="13" s="1"/>
  <c r="BF168" i="13" s="1" a="1"/>
  <c r="BF168" i="13" s="1"/>
  <c r="BD168" i="13" a="1"/>
  <c r="BD168" i="13" s="1"/>
  <c r="BC168" i="13" a="1"/>
  <c r="BC168" i="13" s="1"/>
  <c r="BG167" i="13" a="1"/>
  <c r="BG167" i="13" s="1"/>
  <c r="BE167" i="13" a="1"/>
  <c r="BE167" i="13" s="1"/>
  <c r="BF167" i="13" s="1" a="1"/>
  <c r="BF167" i="13" s="1"/>
  <c r="BD167" i="13" a="1"/>
  <c r="BD167" i="13" s="1"/>
  <c r="AW167" i="13"/>
  <c r="BC167" i="13" s="1" a="1"/>
  <c r="BC167" i="13" s="1"/>
  <c r="BG166" i="13" a="1"/>
  <c r="BG166" i="13" s="1"/>
  <c r="BE166" i="13" a="1"/>
  <c r="BE166" i="13" s="1"/>
  <c r="BF166" i="13" s="1" a="1"/>
  <c r="BF166" i="13" s="1"/>
  <c r="BD166" i="13" a="1"/>
  <c r="BD166" i="13" s="1"/>
  <c r="BC166" i="13" a="1"/>
  <c r="BC166" i="13" s="1"/>
  <c r="O166" i="13"/>
  <c r="BG165" i="13" a="1"/>
  <c r="BG165" i="13" s="1"/>
  <c r="BE165" i="13" a="1"/>
  <c r="BE165" i="13" s="1"/>
  <c r="BF165" i="13" s="1" a="1"/>
  <c r="BF165" i="13" s="1"/>
  <c r="BD165" i="13" a="1"/>
  <c r="BD165" i="13" s="1"/>
  <c r="BC165" i="13" a="1"/>
  <c r="BC165" i="13" s="1"/>
  <c r="O165" i="13"/>
  <c r="BG164" i="13" a="1"/>
  <c r="BG164" i="13" s="1"/>
  <c r="BE164" i="13" a="1"/>
  <c r="BE164" i="13" s="1"/>
  <c r="BF164" i="13" s="1" a="1"/>
  <c r="BF164" i="13" s="1"/>
  <c r="BD164" i="13" a="1"/>
  <c r="BD164" i="13" s="1"/>
  <c r="BC164" i="13" a="1"/>
  <c r="BC164" i="13" s="1"/>
  <c r="AH164" i="13"/>
  <c r="AF164" i="13"/>
  <c r="O164" i="13"/>
  <c r="BG163" i="13" a="1"/>
  <c r="BG163" i="13" s="1"/>
  <c r="BE163" i="13" a="1"/>
  <c r="BE163" i="13" s="1"/>
  <c r="BF163" i="13" s="1" a="1"/>
  <c r="BF163" i="13" s="1"/>
  <c r="BD163" i="13" a="1"/>
  <c r="BD163" i="13" s="1"/>
  <c r="BC163" i="13" a="1"/>
  <c r="BC163" i="13" s="1"/>
  <c r="AH163" i="13"/>
  <c r="AF163" i="13"/>
  <c r="O163" i="13"/>
  <c r="BG162" i="13" a="1"/>
  <c r="BG162" i="13" s="1"/>
  <c r="BE162" i="13" a="1"/>
  <c r="BE162" i="13" s="1"/>
  <c r="BF162" i="13" s="1" a="1"/>
  <c r="BF162" i="13" s="1"/>
  <c r="BD162" i="13" a="1"/>
  <c r="BD162" i="13" s="1"/>
  <c r="BC162" i="13" a="1"/>
  <c r="BC162" i="13" s="1"/>
  <c r="AH162" i="13"/>
  <c r="AF162" i="13"/>
  <c r="O162" i="13"/>
  <c r="BG161" i="13" a="1"/>
  <c r="BG161" i="13" s="1"/>
  <c r="BE161" i="13" a="1"/>
  <c r="BE161" i="13" s="1"/>
  <c r="BF161" i="13" s="1" a="1"/>
  <c r="BF161" i="13" s="1"/>
  <c r="BD161" i="13" a="1"/>
  <c r="BD161" i="13" s="1"/>
  <c r="BC161" i="13" a="1"/>
  <c r="BC161" i="13" s="1"/>
  <c r="AH161" i="13"/>
  <c r="AI161" i="13" s="1" a="1"/>
  <c r="AI161" i="13" s="1"/>
  <c r="O161" i="13"/>
  <c r="L161" i="13"/>
  <c r="BG160" i="13" a="1"/>
  <c r="BG160" i="13" s="1"/>
  <c r="BE160" i="13" a="1"/>
  <c r="BE160" i="13" s="1"/>
  <c r="BF160" i="13" s="1" a="1"/>
  <c r="BF160" i="13" s="1"/>
  <c r="BD160" i="13" a="1"/>
  <c r="BD160" i="13" s="1"/>
  <c r="BC160" i="13" a="1"/>
  <c r="BC160" i="13" s="1"/>
  <c r="AH160" i="13"/>
  <c r="AI160" i="13" s="1" a="1"/>
  <c r="AI160" i="13" s="1"/>
  <c r="O160" i="13"/>
  <c r="BG159" i="13" a="1"/>
  <c r="BG159" i="13" s="1"/>
  <c r="BE159" i="13" a="1"/>
  <c r="BE159" i="13" s="1"/>
  <c r="BF159" i="13" s="1" a="1"/>
  <c r="BF159" i="13" s="1"/>
  <c r="BD159" i="13" a="1"/>
  <c r="BD159" i="13" s="1"/>
  <c r="BC159" i="13" a="1"/>
  <c r="BC159" i="13" s="1"/>
  <c r="O159" i="13"/>
  <c r="BG158" i="13" a="1"/>
  <c r="BG158" i="13" s="1"/>
  <c r="BE158" i="13" a="1"/>
  <c r="BE158" i="13" s="1"/>
  <c r="BF158" i="13" s="1" a="1"/>
  <c r="BF158" i="13" s="1"/>
  <c r="BD158" i="13" a="1"/>
  <c r="BD158" i="13" s="1"/>
  <c r="BC158" i="13" a="1"/>
  <c r="BC158" i="13" s="1"/>
  <c r="O158" i="13"/>
  <c r="BG157" i="13" a="1"/>
  <c r="BG157" i="13" s="1"/>
  <c r="BE157" i="13" a="1"/>
  <c r="BE157" i="13" s="1"/>
  <c r="BF157" i="13" s="1" a="1"/>
  <c r="BF157" i="13" s="1"/>
  <c r="AY157" i="13"/>
  <c r="BD157" i="13" s="1" a="1"/>
  <c r="BD157" i="13" s="1"/>
  <c r="AW157" i="13"/>
  <c r="BC157" i="13" s="1" a="1"/>
  <c r="BC157" i="13" s="1"/>
  <c r="O157" i="13"/>
  <c r="BG156" i="13" a="1"/>
  <c r="BG156" i="13" s="1"/>
  <c r="BD156" i="13" a="1"/>
  <c r="BD156" i="13" s="1"/>
  <c r="AX156" i="13"/>
  <c r="BE156" i="13" s="1" a="1"/>
  <c r="BE156" i="13" s="1"/>
  <c r="BF156" i="13" s="1" a="1"/>
  <c r="BF156" i="13" s="1"/>
  <c r="AW156" i="13"/>
  <c r="BC156" i="13" s="1" a="1"/>
  <c r="BC156" i="13" s="1"/>
  <c r="O156" i="13"/>
  <c r="BG155" i="13" a="1"/>
  <c r="BG155" i="13" s="1"/>
  <c r="BE155" i="13" a="1"/>
  <c r="BE155" i="13" s="1"/>
  <c r="BF155" i="13" s="1" a="1"/>
  <c r="BF155" i="13" s="1"/>
  <c r="BD155" i="13" a="1"/>
  <c r="BD155" i="13" s="1"/>
  <c r="BC155" i="13" a="1"/>
  <c r="BC155" i="13" s="1"/>
  <c r="O155" i="13"/>
  <c r="BG154" i="13" a="1"/>
  <c r="BG154" i="13" s="1"/>
  <c r="BE154" i="13" a="1"/>
  <c r="BE154" i="13" s="1"/>
  <c r="BF154" i="13" s="1" a="1"/>
  <c r="BF154" i="13" s="1"/>
  <c r="BD154" i="13" a="1"/>
  <c r="BD154" i="13" s="1"/>
  <c r="BC154" i="13" a="1"/>
  <c r="BC154" i="13" s="1"/>
  <c r="O154" i="13"/>
  <c r="BG153" i="13" a="1"/>
  <c r="BG153" i="13" s="1"/>
  <c r="BE153" i="13" a="1"/>
  <c r="BE153" i="13" s="1"/>
  <c r="BF153" i="13" s="1" a="1"/>
  <c r="BF153" i="13" s="1"/>
  <c r="BD153" i="13" a="1"/>
  <c r="BD153" i="13" s="1"/>
  <c r="BC153" i="13" a="1"/>
  <c r="BC153" i="13" s="1"/>
  <c r="O153" i="13"/>
  <c r="BG152" i="13" a="1"/>
  <c r="BG152" i="13" s="1"/>
  <c r="BE152" i="13" a="1"/>
  <c r="BE152" i="13" s="1"/>
  <c r="BF152" i="13" s="1" a="1"/>
  <c r="BF152" i="13" s="1"/>
  <c r="BD152" i="13" a="1"/>
  <c r="BD152" i="13" s="1"/>
  <c r="BC152" i="13" a="1"/>
  <c r="BC152" i="13" s="1"/>
  <c r="O152" i="13"/>
  <c r="BG151" i="13" a="1"/>
  <c r="BG151" i="13" s="1"/>
  <c r="BE151" i="13" a="1"/>
  <c r="BE151" i="13" s="1"/>
  <c r="BF151" i="13" s="1" a="1"/>
  <c r="BF151" i="13" s="1"/>
  <c r="BD151" i="13" a="1"/>
  <c r="BD151" i="13" s="1"/>
  <c r="BC151" i="13" a="1"/>
  <c r="BC151" i="13" s="1"/>
  <c r="O151" i="13"/>
  <c r="BG150" i="13" a="1"/>
  <c r="BG150" i="13" s="1"/>
  <c r="BE150" i="13" a="1"/>
  <c r="BE150" i="13" s="1"/>
  <c r="BF150" i="13" s="1" a="1"/>
  <c r="BF150" i="13" s="1"/>
  <c r="BD150" i="13" a="1"/>
  <c r="BD150" i="13" s="1"/>
  <c r="BC150" i="13" a="1"/>
  <c r="BC150" i="13" s="1"/>
  <c r="O150" i="13"/>
  <c r="BG149" i="13" a="1"/>
  <c r="BG149" i="13" s="1"/>
  <c r="BE149" i="13" a="1"/>
  <c r="BE149" i="13" s="1"/>
  <c r="BF149" i="13" s="1" a="1"/>
  <c r="BF149" i="13" s="1"/>
  <c r="BD149" i="13" a="1"/>
  <c r="BD149" i="13" s="1"/>
  <c r="BC149" i="13" a="1"/>
  <c r="BC149" i="13" s="1"/>
  <c r="O149" i="13"/>
  <c r="BG148" i="13" a="1"/>
  <c r="BG148" i="13" s="1"/>
  <c r="BE148" i="13" a="1"/>
  <c r="BE148" i="13" s="1"/>
  <c r="BF148" i="13" s="1" a="1"/>
  <c r="BF148" i="13" s="1"/>
  <c r="BD148" i="13" a="1"/>
  <c r="BD148" i="13" s="1"/>
  <c r="BC148" i="13" a="1"/>
  <c r="BC148" i="13" s="1"/>
  <c r="BG147" i="13" a="1"/>
  <c r="BG147" i="13" s="1"/>
  <c r="BE147" i="13" a="1"/>
  <c r="BE147" i="13" s="1"/>
  <c r="BF147" i="13" s="1" a="1"/>
  <c r="BF147" i="13" s="1"/>
  <c r="BD147" i="13" a="1"/>
  <c r="BD147" i="13" s="1"/>
  <c r="BC147" i="13" a="1"/>
  <c r="BC147" i="13" s="1"/>
  <c r="BG146" i="13" a="1"/>
  <c r="BG146" i="13" s="1"/>
  <c r="BE146" i="13" a="1"/>
  <c r="BE146" i="13" s="1"/>
  <c r="BF146" i="13" s="1" a="1"/>
  <c r="BF146" i="13" s="1"/>
  <c r="BD146" i="13" a="1"/>
  <c r="BD146" i="13" s="1"/>
  <c r="BC146" i="13" a="1"/>
  <c r="BC146" i="13" s="1"/>
  <c r="BG145" i="13" a="1"/>
  <c r="BG145" i="13" s="1"/>
  <c r="BE145" i="13" a="1"/>
  <c r="BE145" i="13" s="1"/>
  <c r="BF145" i="13" s="1" a="1"/>
  <c r="BF145" i="13" s="1"/>
  <c r="BD145" i="13" a="1"/>
  <c r="BD145" i="13" s="1"/>
  <c r="BC145" i="13" a="1"/>
  <c r="BC145" i="13" s="1"/>
  <c r="BG144" i="13" a="1"/>
  <c r="BG144" i="13" s="1"/>
  <c r="BE144" i="13" a="1"/>
  <c r="BE144" i="13" s="1"/>
  <c r="BF144" i="13" s="1" a="1"/>
  <c r="BF144" i="13" s="1"/>
  <c r="BD144" i="13" a="1"/>
  <c r="BD144" i="13" s="1"/>
  <c r="BC144" i="13" a="1"/>
  <c r="BC144" i="13" s="1"/>
  <c r="BG143" i="13" a="1"/>
  <c r="BG143" i="13" s="1"/>
  <c r="BE143" i="13" a="1"/>
  <c r="BE143" i="13" s="1"/>
  <c r="BF143" i="13" s="1" a="1"/>
  <c r="BF143" i="13" s="1"/>
  <c r="BD143" i="13" a="1"/>
  <c r="BD143" i="13" s="1"/>
  <c r="BC143" i="13" a="1"/>
  <c r="BC143" i="13" s="1"/>
  <c r="BG142" i="13" a="1"/>
  <c r="BG142" i="13" s="1"/>
  <c r="BE142" i="13" a="1"/>
  <c r="BE142" i="13" s="1"/>
  <c r="BF142" i="13" s="1" a="1"/>
  <c r="BF142" i="13" s="1"/>
  <c r="BD142" i="13" a="1"/>
  <c r="BD142" i="13" s="1"/>
  <c r="BC142" i="13" a="1"/>
  <c r="BC142" i="13" s="1"/>
  <c r="BG141" i="13" a="1"/>
  <c r="BG141" i="13" s="1"/>
  <c r="BE141" i="13" a="1"/>
  <c r="BE141" i="13" s="1"/>
  <c r="BF141" i="13" s="1" a="1"/>
  <c r="BF141" i="13" s="1"/>
  <c r="BD141" i="13" a="1"/>
  <c r="BD141" i="13" s="1"/>
  <c r="BC141" i="13" a="1"/>
  <c r="BC141" i="13" s="1"/>
  <c r="BG140" i="13" a="1"/>
  <c r="BG140" i="13" s="1"/>
  <c r="BE140" i="13" a="1"/>
  <c r="BE140" i="13" s="1"/>
  <c r="BF140" i="13" s="1" a="1"/>
  <c r="BF140" i="13" s="1"/>
  <c r="BD140" i="13" a="1"/>
  <c r="BD140" i="13" s="1"/>
  <c r="BC140" i="13" a="1"/>
  <c r="BC140" i="13" s="1"/>
  <c r="BG139" i="13" a="1"/>
  <c r="BG139" i="13" s="1"/>
  <c r="BE139" i="13" a="1"/>
  <c r="BE139" i="13" s="1"/>
  <c r="BF139" i="13" s="1" a="1"/>
  <c r="BF139" i="13" s="1"/>
  <c r="BD139" i="13" a="1"/>
  <c r="BD139" i="13" s="1"/>
  <c r="BC139" i="13" a="1"/>
  <c r="BC139" i="13" s="1"/>
  <c r="BG138" i="13" a="1"/>
  <c r="BG138" i="13" s="1"/>
  <c r="BE138" i="13" a="1"/>
  <c r="BE138" i="13" s="1"/>
  <c r="BF138" i="13" s="1" a="1"/>
  <c r="BF138" i="13" s="1"/>
  <c r="BD138" i="13" a="1"/>
  <c r="BD138" i="13" s="1"/>
  <c r="BC138" i="13" a="1"/>
  <c r="BC138" i="13" s="1"/>
  <c r="BG137" i="13" a="1"/>
  <c r="BG137" i="13" s="1"/>
  <c r="BE137" i="13" a="1"/>
  <c r="BE137" i="13" s="1"/>
  <c r="BF137" i="13" s="1" a="1"/>
  <c r="BF137" i="13" s="1"/>
  <c r="BD137" i="13" a="1"/>
  <c r="BD137" i="13" s="1"/>
  <c r="BC137" i="13" a="1"/>
  <c r="BC137" i="13" s="1"/>
  <c r="O137" i="13"/>
  <c r="BG136" i="13" a="1"/>
  <c r="BG136" i="13" s="1"/>
  <c r="BE136" i="13" a="1"/>
  <c r="BE136" i="13" s="1"/>
  <c r="BF136" i="13" s="1" a="1"/>
  <c r="BF136" i="13" s="1"/>
  <c r="BD136" i="13" a="1"/>
  <c r="BD136" i="13" s="1"/>
  <c r="BC136" i="13" a="1"/>
  <c r="BC136" i="13" s="1"/>
  <c r="O136" i="13"/>
  <c r="BG135" i="13" a="1"/>
  <c r="BG135" i="13" s="1"/>
  <c r="BE135" i="13" a="1"/>
  <c r="BE135" i="13" s="1"/>
  <c r="BF135" i="13" s="1" a="1"/>
  <c r="BF135" i="13" s="1"/>
  <c r="BD135" i="13" a="1"/>
  <c r="BD135" i="13" s="1"/>
  <c r="BC135" i="13" a="1"/>
  <c r="BC135" i="13" s="1"/>
  <c r="O135" i="13"/>
  <c r="BG134" i="13" a="1"/>
  <c r="BG134" i="13" s="1"/>
  <c r="BE134" i="13" a="1"/>
  <c r="BE134" i="13" s="1"/>
  <c r="BF134" i="13" s="1" a="1"/>
  <c r="BF134" i="13" s="1"/>
  <c r="BD134" i="13" a="1"/>
  <c r="BD134" i="13" s="1"/>
  <c r="BC134" i="13" a="1"/>
  <c r="BC134" i="13" s="1"/>
  <c r="O134" i="13"/>
  <c r="AZ133" i="13"/>
  <c r="BG133" i="13" s="1" a="1"/>
  <c r="BG133" i="13" s="1"/>
  <c r="AY133" i="13"/>
  <c r="AX133" i="13"/>
  <c r="BE133" i="13" s="1" a="1"/>
  <c r="BE133" i="13" s="1"/>
  <c r="BF133" i="13" s="1" a="1"/>
  <c r="BF133" i="13" s="1"/>
  <c r="AW133" i="13"/>
  <c r="BC133" i="13" s="1" a="1"/>
  <c r="BC133" i="13" s="1"/>
  <c r="O133" i="13"/>
  <c r="AZ132" i="13"/>
  <c r="AY132" i="13"/>
  <c r="AX132" i="13"/>
  <c r="BE132" i="13" s="1" a="1"/>
  <c r="BE132" i="13" s="1"/>
  <c r="BF132" i="13" s="1" a="1"/>
  <c r="BF132" i="13" s="1"/>
  <c r="AW132" i="13"/>
  <c r="BC132" i="13" s="1" a="1"/>
  <c r="BC132" i="13" s="1"/>
  <c r="O132" i="13"/>
  <c r="BG131" i="13" a="1"/>
  <c r="BG131" i="13" s="1"/>
  <c r="BE131" i="13" a="1"/>
  <c r="BE131" i="13" s="1"/>
  <c r="BF131" i="13" s="1" a="1"/>
  <c r="BF131" i="13" s="1"/>
  <c r="BD131" i="13" a="1"/>
  <c r="BD131" i="13" s="1"/>
  <c r="BC131" i="13" a="1"/>
  <c r="BC131" i="13" s="1"/>
  <c r="O131" i="13"/>
  <c r="BG130" i="13" a="1"/>
  <c r="BG130" i="13" s="1"/>
  <c r="BE130" i="13" a="1"/>
  <c r="BE130" i="13" s="1"/>
  <c r="BF130" i="13" s="1" a="1"/>
  <c r="BF130" i="13" s="1"/>
  <c r="BD130" i="13" a="1"/>
  <c r="BD130" i="13" s="1"/>
  <c r="BC130" i="13" a="1"/>
  <c r="BC130" i="13" s="1"/>
  <c r="O130" i="13"/>
  <c r="L130" i="13"/>
  <c r="BG129" i="13" a="1"/>
  <c r="BG129" i="13" s="1"/>
  <c r="BE129" i="13" a="1"/>
  <c r="BE129" i="13" s="1"/>
  <c r="BF129" i="13" s="1" a="1"/>
  <c r="BF129" i="13" s="1"/>
  <c r="BD129" i="13" a="1"/>
  <c r="BD129" i="13" s="1"/>
  <c r="BC129" i="13" a="1"/>
  <c r="BC129" i="13" s="1"/>
  <c r="O129" i="13"/>
  <c r="BG128" i="13" a="1"/>
  <c r="BG128" i="13" s="1"/>
  <c r="BE128" i="13" a="1"/>
  <c r="BE128" i="13" s="1"/>
  <c r="BF128" i="13" s="1" a="1"/>
  <c r="BF128" i="13" s="1"/>
  <c r="BD128" i="13" a="1"/>
  <c r="BD128" i="13" s="1"/>
  <c r="BC128" i="13" a="1"/>
  <c r="BC128" i="13" s="1"/>
  <c r="O128" i="13"/>
  <c r="L128" i="13"/>
  <c r="BG127" i="13" a="1"/>
  <c r="BG127" i="13" s="1"/>
  <c r="BE127" i="13" a="1"/>
  <c r="BE127" i="13" s="1"/>
  <c r="BF127" i="13" s="1" a="1"/>
  <c r="BF127" i="13" s="1"/>
  <c r="BD127" i="13" a="1"/>
  <c r="BD127" i="13" s="1"/>
  <c r="BC127" i="13" a="1"/>
  <c r="BC127" i="13" s="1"/>
  <c r="O127" i="13"/>
  <c r="L127" i="13"/>
  <c r="BG126" i="13" a="1"/>
  <c r="BG126" i="13" s="1"/>
  <c r="BE126" i="13" a="1"/>
  <c r="BE126" i="13" s="1"/>
  <c r="BF126" i="13" s="1" a="1"/>
  <c r="BF126" i="13" s="1"/>
  <c r="BD126" i="13" a="1"/>
  <c r="BD126" i="13" s="1"/>
  <c r="BC126" i="13" a="1"/>
  <c r="BC126" i="13" s="1"/>
  <c r="O126" i="13"/>
  <c r="L126" i="13"/>
  <c r="BG125" i="13" a="1"/>
  <c r="BG125" i="13" s="1"/>
  <c r="BE125" i="13" a="1"/>
  <c r="BE125" i="13" s="1"/>
  <c r="BF125" i="13" s="1" a="1"/>
  <c r="BF125" i="13" s="1"/>
  <c r="BD125" i="13" a="1"/>
  <c r="BD125" i="13" s="1"/>
  <c r="BC125" i="13" a="1"/>
  <c r="BC125" i="13" s="1"/>
  <c r="O125" i="13"/>
  <c r="L125" i="13"/>
  <c r="BG124" i="13" a="1"/>
  <c r="BG124" i="13" s="1"/>
  <c r="BD124" i="13" a="1"/>
  <c r="BD124" i="13" s="1"/>
  <c r="AX124" i="13"/>
  <c r="BE124" i="13" s="1" a="1"/>
  <c r="BE124" i="13" s="1"/>
  <c r="BF124" i="13" s="1" a="1"/>
  <c r="BF124" i="13" s="1"/>
  <c r="AW124" i="13"/>
  <c r="BC124" i="13" s="1" a="1"/>
  <c r="BC124" i="13" s="1"/>
  <c r="O124" i="13"/>
  <c r="BG123" i="13" a="1"/>
  <c r="BG123" i="13" s="1"/>
  <c r="BD123" i="13" a="1"/>
  <c r="BD123" i="13" s="1"/>
  <c r="AX123" i="13"/>
  <c r="BE123" i="13" s="1" a="1"/>
  <c r="BE123" i="13" s="1"/>
  <c r="BF123" i="13" s="1" a="1"/>
  <c r="BF123" i="13" s="1"/>
  <c r="AW123" i="13"/>
  <c r="BC123" i="13" s="1" a="1"/>
  <c r="BC123" i="13" s="1"/>
  <c r="O123" i="13"/>
  <c r="BG120" i="13" a="1"/>
  <c r="BG120" i="13" s="1"/>
  <c r="BE120" i="13" a="1"/>
  <c r="BE120" i="13" s="1"/>
  <c r="BF120" i="13" s="1" a="1"/>
  <c r="BF120" i="13" s="1"/>
  <c r="BD120" i="13" a="1"/>
  <c r="BD120" i="13" s="1"/>
  <c r="BC120" i="13" a="1"/>
  <c r="BC120" i="13" s="1"/>
  <c r="L120" i="13"/>
  <c r="BG119" i="13" a="1"/>
  <c r="BG119" i="13" s="1"/>
  <c r="BE119" i="13" a="1"/>
  <c r="BE119" i="13" s="1"/>
  <c r="BF119" i="13" s="1" a="1"/>
  <c r="BF119" i="13" s="1"/>
  <c r="BD119" i="13" a="1"/>
  <c r="BD119" i="13" s="1"/>
  <c r="BC119" i="13" a="1"/>
  <c r="BC119" i="13" s="1"/>
  <c r="L119" i="13"/>
  <c r="BG118" i="13" a="1"/>
  <c r="BG118" i="13" s="1"/>
  <c r="BE118" i="13" a="1"/>
  <c r="BE118" i="13" s="1"/>
  <c r="BF118" i="13" s="1" a="1"/>
  <c r="BF118" i="13" s="1"/>
  <c r="BD118" i="13" a="1"/>
  <c r="BD118" i="13" s="1"/>
  <c r="BC118" i="13" a="1"/>
  <c r="BC118" i="13" s="1"/>
  <c r="O118" i="13"/>
  <c r="L118" i="13"/>
  <c r="BG117" i="13" a="1"/>
  <c r="BG117" i="13" s="1"/>
  <c r="BE117" i="13" a="1"/>
  <c r="BE117" i="13" s="1"/>
  <c r="BF117" i="13" s="1" a="1"/>
  <c r="BF117" i="13" s="1"/>
  <c r="BD117" i="13" a="1"/>
  <c r="BD117" i="13" s="1"/>
  <c r="BC117" i="13" a="1"/>
  <c r="BC117" i="13" s="1"/>
  <c r="O117" i="13"/>
  <c r="L117" i="13"/>
  <c r="BG116" i="13" a="1"/>
  <c r="BG116" i="13" s="1"/>
  <c r="BD116" i="13" a="1"/>
  <c r="BD116" i="13" s="1"/>
  <c r="O116" i="13"/>
  <c r="L116" i="13"/>
  <c r="BG115" i="13" a="1"/>
  <c r="BG115" i="13" s="1"/>
  <c r="BD115" i="13" a="1"/>
  <c r="BD115" i="13" s="1"/>
  <c r="O115" i="13"/>
  <c r="L115" i="13"/>
  <c r="BG114" i="13" a="1"/>
  <c r="BG114" i="13" s="1"/>
  <c r="BD114" i="13" a="1"/>
  <c r="BD114" i="13" s="1"/>
  <c r="BE114" i="13" a="1"/>
  <c r="BE114" i="13" s="1"/>
  <c r="BF114" i="13" s="1" a="1"/>
  <c r="BF114" i="13" s="1"/>
  <c r="O114" i="13"/>
  <c r="L114" i="13"/>
  <c r="BG113" i="13" a="1"/>
  <c r="BG113" i="13" s="1"/>
  <c r="BD113" i="13" a="1"/>
  <c r="BD113" i="13" s="1"/>
  <c r="BE113" i="13" a="1"/>
  <c r="BE113" i="13" s="1"/>
  <c r="BF113" i="13" s="1" a="1"/>
  <c r="BF113" i="13" s="1"/>
  <c r="O113" i="13"/>
  <c r="L113" i="13"/>
  <c r="BG112" i="13" a="1"/>
  <c r="BG112" i="13" s="1"/>
  <c r="BE112" i="13" a="1"/>
  <c r="BE112" i="13" s="1"/>
  <c r="BF112" i="13" s="1" a="1"/>
  <c r="BF112" i="13" s="1"/>
  <c r="BD112" i="13" a="1"/>
  <c r="BD112" i="13" s="1"/>
  <c r="BC112" i="13" a="1"/>
  <c r="BC112" i="13" s="1"/>
  <c r="AH112" i="13"/>
  <c r="AF112" i="13"/>
  <c r="O112" i="13"/>
  <c r="AZ111" i="13"/>
  <c r="AY111" i="13"/>
  <c r="AX111" i="13"/>
  <c r="BE111" i="13" s="1" a="1"/>
  <c r="BE111" i="13" s="1"/>
  <c r="BF111" i="13" s="1" a="1"/>
  <c r="BF111" i="13" s="1"/>
  <c r="AW111" i="13"/>
  <c r="BC111" i="13" s="1" a="1"/>
  <c r="BC111" i="13" s="1"/>
  <c r="O111" i="13"/>
  <c r="BG110" i="13" a="1"/>
  <c r="BG110" i="13" s="1"/>
  <c r="BE110" i="13" a="1"/>
  <c r="BE110" i="13" s="1"/>
  <c r="BF110" i="13" s="1" a="1"/>
  <c r="BF110" i="13" s="1"/>
  <c r="BD110" i="13" a="1"/>
  <c r="BD110" i="13" s="1"/>
  <c r="BC110" i="13" a="1"/>
  <c r="BC110" i="13" s="1"/>
  <c r="O110" i="13"/>
  <c r="BG109" i="13" a="1"/>
  <c r="BG109" i="13" s="1"/>
  <c r="BE109" i="13" a="1"/>
  <c r="BE109" i="13" s="1"/>
  <c r="BF109" i="13" s="1" a="1"/>
  <c r="BF109" i="13" s="1"/>
  <c r="BD109" i="13" a="1"/>
  <c r="BD109" i="13" s="1"/>
  <c r="BC109" i="13" a="1"/>
  <c r="BC109" i="13" s="1"/>
  <c r="BG108" i="13" a="1"/>
  <c r="BG108" i="13" s="1"/>
  <c r="BE108" i="13" a="1"/>
  <c r="BE108" i="13" s="1"/>
  <c r="BF108" i="13" s="1" a="1"/>
  <c r="BF108" i="13" s="1"/>
  <c r="BD108" i="13" a="1"/>
  <c r="BD108" i="13" s="1"/>
  <c r="BC108" i="13" a="1"/>
  <c r="BC108" i="13" s="1"/>
  <c r="O108" i="13"/>
  <c r="L108" i="13"/>
  <c r="BG107" i="13" a="1"/>
  <c r="BG107" i="13" s="1"/>
  <c r="BE107" i="13" a="1"/>
  <c r="BE107" i="13" s="1"/>
  <c r="BF107" i="13" s="1" a="1"/>
  <c r="BF107" i="13" s="1"/>
  <c r="BD107" i="13" a="1"/>
  <c r="BD107" i="13" s="1"/>
  <c r="BC107" i="13" a="1"/>
  <c r="BC107" i="13" s="1"/>
  <c r="O107" i="13"/>
  <c r="BG106" i="13" a="1"/>
  <c r="BG106" i="13" s="1"/>
  <c r="BE106" i="13" a="1"/>
  <c r="BE106" i="13" s="1"/>
  <c r="BF106" i="13" s="1" a="1"/>
  <c r="BF106" i="13" s="1"/>
  <c r="BD106" i="13" a="1"/>
  <c r="BD106" i="13" s="1"/>
  <c r="BC106" i="13" a="1"/>
  <c r="BC106" i="13" s="1"/>
  <c r="O106" i="13"/>
  <c r="BG105" i="13" a="1"/>
  <c r="BG105" i="13" s="1"/>
  <c r="BE105" i="13" a="1"/>
  <c r="BE105" i="13" s="1"/>
  <c r="BF105" i="13" s="1" a="1"/>
  <c r="BF105" i="13" s="1"/>
  <c r="BD105" i="13" a="1"/>
  <c r="BD105" i="13" s="1"/>
  <c r="BC105" i="13" a="1"/>
  <c r="BC105" i="13" s="1"/>
  <c r="L105" i="13"/>
  <c r="BG104" i="13" a="1"/>
  <c r="BG104" i="13" s="1"/>
  <c r="BE104" i="13" a="1"/>
  <c r="BE104" i="13" s="1"/>
  <c r="BF104" i="13" s="1" a="1"/>
  <c r="BF104" i="13" s="1"/>
  <c r="BD104" i="13" a="1"/>
  <c r="BD104" i="13" s="1"/>
  <c r="BC104" i="13" a="1"/>
  <c r="BC104" i="13" s="1"/>
  <c r="BG103" i="13" a="1"/>
  <c r="BG103" i="13" s="1"/>
  <c r="BE103" i="13" a="1"/>
  <c r="BE103" i="13" s="1"/>
  <c r="BF103" i="13" s="1" a="1"/>
  <c r="BF103" i="13" s="1"/>
  <c r="BD103" i="13" a="1"/>
  <c r="BD103" i="13" s="1"/>
  <c r="BC103" i="13" a="1"/>
  <c r="BC103" i="13" s="1"/>
  <c r="O103" i="13"/>
  <c r="BG102" i="13" a="1"/>
  <c r="BG102" i="13" s="1"/>
  <c r="BE102" i="13" a="1"/>
  <c r="BE102" i="13" s="1"/>
  <c r="BF102" i="13" s="1" a="1"/>
  <c r="BF102" i="13" s="1"/>
  <c r="BD102" i="13" a="1"/>
  <c r="BD102" i="13" s="1"/>
  <c r="BC102" i="13" a="1"/>
  <c r="BC102" i="13" s="1"/>
  <c r="BG101" i="13" a="1"/>
  <c r="BG101" i="13" s="1"/>
  <c r="BE101" i="13" a="1"/>
  <c r="BE101" i="13" s="1"/>
  <c r="BF101" i="13" s="1" a="1"/>
  <c r="BF101" i="13" s="1"/>
  <c r="BD101" i="13" a="1"/>
  <c r="BD101" i="13" s="1"/>
  <c r="BC101" i="13" a="1"/>
  <c r="BC101" i="13" s="1"/>
  <c r="O101" i="13"/>
  <c r="BG100" i="13" a="1"/>
  <c r="BG100" i="13" s="1"/>
  <c r="BE100" i="13" a="1"/>
  <c r="BE100" i="13" s="1"/>
  <c r="BF100" i="13" s="1" a="1"/>
  <c r="BF100" i="13" s="1"/>
  <c r="BD100" i="13" a="1"/>
  <c r="BD100" i="13" s="1"/>
  <c r="BC100" i="13" a="1"/>
  <c r="BC100" i="13" s="1"/>
  <c r="O100" i="13"/>
  <c r="BG99" i="13" a="1"/>
  <c r="BG99" i="13" s="1"/>
  <c r="BE99" i="13" a="1"/>
  <c r="BE99" i="13" s="1"/>
  <c r="BF99" i="13" s="1" a="1"/>
  <c r="BF99" i="13" s="1"/>
  <c r="BD99" i="13" a="1"/>
  <c r="BD99" i="13" s="1"/>
  <c r="BC99" i="13" a="1"/>
  <c r="BC99" i="13" s="1"/>
  <c r="O99" i="13"/>
  <c r="BG98" i="13" a="1"/>
  <c r="BG98" i="13" s="1"/>
  <c r="BE98" i="13" a="1"/>
  <c r="BE98" i="13" s="1"/>
  <c r="BF98" i="13" s="1" a="1"/>
  <c r="BF98" i="13" s="1"/>
  <c r="BD98" i="13" a="1"/>
  <c r="BD98" i="13" s="1"/>
  <c r="BC98" i="13" a="1"/>
  <c r="BC98" i="13" s="1"/>
  <c r="O98" i="13"/>
  <c r="BG97" i="13" a="1"/>
  <c r="BG97" i="13" s="1"/>
  <c r="BE97" i="13" a="1"/>
  <c r="BE97" i="13" s="1"/>
  <c r="BF97" i="13" s="1" a="1"/>
  <c r="BF97" i="13" s="1"/>
  <c r="BD97" i="13" a="1"/>
  <c r="BD97" i="13" s="1"/>
  <c r="BC97" i="13" a="1"/>
  <c r="BC97" i="13" s="1"/>
  <c r="O97" i="13"/>
  <c r="BG96" i="13" a="1"/>
  <c r="BG96" i="13" s="1"/>
  <c r="BE96" i="13" a="1"/>
  <c r="BE96" i="13" s="1"/>
  <c r="BF96" i="13" s="1" a="1"/>
  <c r="BF96" i="13" s="1"/>
  <c r="BD96" i="13" a="1"/>
  <c r="BD96" i="13" s="1"/>
  <c r="BC96" i="13" a="1"/>
  <c r="BC96" i="13" s="1"/>
  <c r="O96" i="13"/>
  <c r="L96" i="13"/>
  <c r="BG95" i="13" a="1"/>
  <c r="BG95" i="13" s="1"/>
  <c r="BE95" i="13" a="1"/>
  <c r="BE95" i="13" s="1"/>
  <c r="BF95" i="13" s="1" a="1"/>
  <c r="BF95" i="13" s="1"/>
  <c r="BD95" i="13" a="1"/>
  <c r="BD95" i="13" s="1"/>
  <c r="BC95" i="13" a="1"/>
  <c r="BC95" i="13" s="1"/>
  <c r="O95" i="13"/>
  <c r="L95" i="13"/>
  <c r="BG94" i="13" a="1"/>
  <c r="BG94" i="13" s="1"/>
  <c r="BE94" i="13" a="1"/>
  <c r="BE94" i="13" s="1"/>
  <c r="BF94" i="13" s="1" a="1"/>
  <c r="BF94" i="13" s="1"/>
  <c r="BD94" i="13" a="1"/>
  <c r="BD94" i="13" s="1"/>
  <c r="BC94" i="13" a="1"/>
  <c r="BC94" i="13" s="1"/>
  <c r="O94" i="13"/>
  <c r="BG93" i="13" a="1"/>
  <c r="BG93" i="13" s="1"/>
  <c r="BE93" i="13" a="1"/>
  <c r="BE93" i="13" s="1"/>
  <c r="BF93" i="13" s="1" a="1"/>
  <c r="BF93" i="13" s="1"/>
  <c r="BD93" i="13" a="1"/>
  <c r="BD93" i="13" s="1"/>
  <c r="BC93" i="13" a="1"/>
  <c r="BC93" i="13" s="1"/>
  <c r="BG92" i="13" a="1"/>
  <c r="BG92" i="13" s="1"/>
  <c r="BE92" i="13" a="1"/>
  <c r="BE92" i="13" s="1"/>
  <c r="BF92" i="13" s="1" a="1"/>
  <c r="BF92" i="13" s="1"/>
  <c r="BD92" i="13" a="1"/>
  <c r="BD92" i="13" s="1"/>
  <c r="BC92" i="13" a="1"/>
  <c r="BC92" i="13" s="1"/>
  <c r="O92" i="13"/>
  <c r="BG91" i="13" a="1"/>
  <c r="BG91" i="13" s="1"/>
  <c r="BE91" i="13" a="1"/>
  <c r="BE91" i="13" s="1"/>
  <c r="BF91" i="13" s="1" a="1"/>
  <c r="BF91" i="13" s="1"/>
  <c r="BD91" i="13" a="1"/>
  <c r="BD91" i="13" s="1"/>
  <c r="BC91" i="13" a="1"/>
  <c r="BC91" i="13" s="1"/>
  <c r="O91" i="13"/>
  <c r="AZ90" i="13"/>
  <c r="BG90" i="13" s="1" a="1"/>
  <c r="BG90" i="13" s="1"/>
  <c r="AY90" i="13"/>
  <c r="AX90" i="13"/>
  <c r="BE90" i="13" s="1" a="1"/>
  <c r="BE90" i="13" s="1"/>
  <c r="BF90" i="13" s="1" a="1"/>
  <c r="BF90" i="13" s="1"/>
  <c r="AW90" i="13"/>
  <c r="BC90" i="13" s="1" a="1"/>
  <c r="BC90" i="13" s="1"/>
  <c r="O90" i="13"/>
  <c r="L90" i="13"/>
  <c r="AZ89" i="13"/>
  <c r="BG89" i="13" s="1" a="1"/>
  <c r="BG89" i="13" s="1"/>
  <c r="AY89" i="13"/>
  <c r="AX89" i="13"/>
  <c r="BE89" i="13" s="1" a="1"/>
  <c r="BE89" i="13" s="1"/>
  <c r="BF89" i="13" s="1" a="1"/>
  <c r="BF89" i="13" s="1"/>
  <c r="AW89" i="13"/>
  <c r="BC89" i="13" s="1" a="1"/>
  <c r="BC89" i="13" s="1"/>
  <c r="O89" i="13"/>
  <c r="L89" i="13"/>
  <c r="AZ88" i="13"/>
  <c r="BG88" i="13" s="1" a="1"/>
  <c r="BG88" i="13" s="1"/>
  <c r="AY88" i="13"/>
  <c r="AX88" i="13"/>
  <c r="BE88" i="13" s="1" a="1"/>
  <c r="BE88" i="13" s="1"/>
  <c r="BF88" i="13" s="1" a="1"/>
  <c r="BF88" i="13" s="1"/>
  <c r="AW88" i="13"/>
  <c r="BC88" i="13" s="1" a="1"/>
  <c r="BC88" i="13" s="1"/>
  <c r="O88" i="13"/>
  <c r="BG87" i="13" a="1"/>
  <c r="BG87" i="13" s="1"/>
  <c r="BE87" i="13" a="1"/>
  <c r="BE87" i="13" s="1"/>
  <c r="BF87" i="13" s="1" a="1"/>
  <c r="BF87" i="13" s="1"/>
  <c r="BD87" i="13" a="1"/>
  <c r="BD87" i="13" s="1"/>
  <c r="BC87" i="13" a="1"/>
  <c r="BC87" i="13" s="1"/>
  <c r="BG86" i="13" a="1"/>
  <c r="BG86" i="13" s="1"/>
  <c r="BE86" i="13" a="1"/>
  <c r="BE86" i="13" s="1"/>
  <c r="BF86" i="13" s="1" a="1"/>
  <c r="BF86" i="13" s="1"/>
  <c r="BD86" i="13" a="1"/>
  <c r="BD86" i="13" s="1"/>
  <c r="BC86" i="13" a="1"/>
  <c r="BC86" i="13" s="1"/>
  <c r="BG85" i="13" a="1"/>
  <c r="BG85" i="13" s="1"/>
  <c r="BE85" i="13" a="1"/>
  <c r="BE85" i="13" s="1"/>
  <c r="BF85" i="13" s="1" a="1"/>
  <c r="BF85" i="13" s="1"/>
  <c r="BD85" i="13" a="1"/>
  <c r="BD85" i="13" s="1"/>
  <c r="BC85" i="13" a="1"/>
  <c r="BC85" i="13" s="1"/>
  <c r="O85" i="13"/>
  <c r="BG84" i="13" a="1"/>
  <c r="BG84" i="13" s="1"/>
  <c r="BE84" i="13" a="1"/>
  <c r="BE84" i="13" s="1"/>
  <c r="BF84" i="13" s="1" a="1"/>
  <c r="BF84" i="13" s="1"/>
  <c r="BD84" i="13" a="1"/>
  <c r="BD84" i="13" s="1"/>
  <c r="BC84" i="13" a="1"/>
  <c r="BC84" i="13" s="1"/>
  <c r="O84" i="13"/>
  <c r="BG83" i="13" a="1"/>
  <c r="BG83" i="13" s="1"/>
  <c r="BE83" i="13" a="1"/>
  <c r="BE83" i="13" s="1"/>
  <c r="BF83" i="13" s="1" a="1"/>
  <c r="BF83" i="13" s="1"/>
  <c r="BD83" i="13" a="1"/>
  <c r="BD83" i="13" s="1"/>
  <c r="BC83" i="13" a="1"/>
  <c r="BC83" i="13" s="1"/>
  <c r="O83" i="13"/>
  <c r="BG82" i="13" a="1"/>
  <c r="BG82" i="13" s="1"/>
  <c r="BE82" i="13" a="1"/>
  <c r="BE82" i="13" s="1"/>
  <c r="BF82" i="13" s="1" a="1"/>
  <c r="BF82" i="13" s="1"/>
  <c r="BD82" i="13" a="1"/>
  <c r="BD82" i="13" s="1"/>
  <c r="BC82" i="13" a="1"/>
  <c r="BC82" i="13" s="1"/>
  <c r="BG81" i="13" a="1"/>
  <c r="BG81" i="13" s="1"/>
  <c r="BE81" i="13" a="1"/>
  <c r="BE81" i="13" s="1"/>
  <c r="BF81" i="13" s="1" a="1"/>
  <c r="BF81" i="13" s="1"/>
  <c r="BD81" i="13" a="1"/>
  <c r="BD81" i="13" s="1"/>
  <c r="BC81" i="13" a="1"/>
  <c r="BC81" i="13" s="1"/>
  <c r="O81" i="13"/>
  <c r="BG80" i="13" a="1"/>
  <c r="BG80" i="13" s="1"/>
  <c r="BE80" i="13" a="1"/>
  <c r="BE80" i="13" s="1"/>
  <c r="BF80" i="13" s="1" a="1"/>
  <c r="BF80" i="13" s="1"/>
  <c r="BD80" i="13" a="1"/>
  <c r="BD80" i="13" s="1"/>
  <c r="BC80" i="13" a="1"/>
  <c r="BC80" i="13" s="1"/>
  <c r="O80" i="13"/>
  <c r="BG79" i="13" a="1"/>
  <c r="BG79" i="13" s="1"/>
  <c r="BE79" i="13" a="1"/>
  <c r="BE79" i="13" s="1"/>
  <c r="BF79" i="13" s="1" a="1"/>
  <c r="BF79" i="13" s="1"/>
  <c r="BD79" i="13" a="1"/>
  <c r="BD79" i="13" s="1"/>
  <c r="BC79" i="13" a="1"/>
  <c r="BC79" i="13" s="1"/>
  <c r="O79" i="13"/>
  <c r="BG78" i="13" a="1"/>
  <c r="BG78" i="13" s="1"/>
  <c r="BE78" i="13" a="1"/>
  <c r="BE78" i="13" s="1"/>
  <c r="BF78" i="13" s="1" a="1"/>
  <c r="BF78" i="13" s="1"/>
  <c r="BD78" i="13" a="1"/>
  <c r="BD78" i="13" s="1"/>
  <c r="BC78" i="13" a="1"/>
  <c r="BC78" i="13" s="1"/>
  <c r="O78" i="13"/>
  <c r="BG77" i="13" a="1"/>
  <c r="BG77" i="13" s="1"/>
  <c r="BE77" i="13" a="1"/>
  <c r="BE77" i="13" s="1"/>
  <c r="BF77" i="13" s="1" a="1"/>
  <c r="BF77" i="13" s="1"/>
  <c r="BD77" i="13" a="1"/>
  <c r="BD77" i="13" s="1"/>
  <c r="BC77" i="13" a="1"/>
  <c r="BC77" i="13" s="1"/>
  <c r="BG76" i="13" a="1"/>
  <c r="BG76" i="13" s="1"/>
  <c r="BE76" i="13" a="1"/>
  <c r="BE76" i="13" s="1"/>
  <c r="BF76" i="13" s="1" a="1"/>
  <c r="BF76" i="13" s="1"/>
  <c r="BD76" i="13" a="1"/>
  <c r="BD76" i="13" s="1"/>
  <c r="BC76" i="13" a="1"/>
  <c r="BC76" i="13" s="1"/>
  <c r="BG75" i="13" a="1"/>
  <c r="BG75" i="13" s="1"/>
  <c r="BE75" i="13" a="1"/>
  <c r="BE75" i="13" s="1"/>
  <c r="BF75" i="13" s="1" a="1"/>
  <c r="BF75" i="13" s="1"/>
  <c r="BD75" i="13" a="1"/>
  <c r="BD75" i="13" s="1"/>
  <c r="BC75" i="13" a="1"/>
  <c r="BC75" i="13" s="1"/>
  <c r="AZ74" i="13"/>
  <c r="BG74" i="13" s="1" a="1"/>
  <c r="BG74" i="13" s="1"/>
  <c r="AY74" i="13"/>
  <c r="AX74" i="13"/>
  <c r="BE74" i="13" s="1" a="1"/>
  <c r="BE74" i="13" s="1"/>
  <c r="BF74" i="13" s="1" a="1"/>
  <c r="BF74" i="13" s="1"/>
  <c r="AW74" i="13"/>
  <c r="BC74" i="13" s="1" a="1"/>
  <c r="BC74" i="13" s="1"/>
  <c r="O74" i="13"/>
  <c r="BG73" i="13" a="1"/>
  <c r="BG73" i="13" s="1"/>
  <c r="BE73" i="13" a="1"/>
  <c r="BE73" i="13" s="1"/>
  <c r="BF73" i="13" s="1" a="1"/>
  <c r="BF73" i="13" s="1"/>
  <c r="BD73" i="13" a="1"/>
  <c r="BD73" i="13" s="1"/>
  <c r="BC73" i="13" a="1"/>
  <c r="BC73" i="13" s="1"/>
  <c r="L73" i="13"/>
  <c r="BG72" i="13" a="1"/>
  <c r="BG72" i="13" s="1"/>
  <c r="BE72" i="13" a="1"/>
  <c r="BE72" i="13" s="1"/>
  <c r="BF72" i="13" s="1" a="1"/>
  <c r="BF72" i="13" s="1"/>
  <c r="BD72" i="13" a="1"/>
  <c r="BD72" i="13" s="1"/>
  <c r="BC72" i="13" a="1"/>
  <c r="BC72" i="13" s="1"/>
  <c r="BG71" i="13" a="1"/>
  <c r="BG71" i="13" s="1"/>
  <c r="BE71" i="13" a="1"/>
  <c r="BE71" i="13" s="1"/>
  <c r="BF71" i="13" s="1" a="1"/>
  <c r="BF71" i="13" s="1"/>
  <c r="BD71" i="13" a="1"/>
  <c r="BD71" i="13" s="1"/>
  <c r="BC71" i="13" a="1"/>
  <c r="BC71" i="13" s="1"/>
  <c r="L71" i="13"/>
  <c r="BG70" i="13" a="1"/>
  <c r="BG70" i="13" s="1"/>
  <c r="BE70" i="13" a="1"/>
  <c r="BE70" i="13" s="1"/>
  <c r="BF70" i="13" s="1" a="1"/>
  <c r="BF70" i="13" s="1"/>
  <c r="BD70" i="13" a="1"/>
  <c r="BD70" i="13" s="1"/>
  <c r="BC70" i="13" a="1"/>
  <c r="BC70" i="13" s="1"/>
  <c r="L70" i="13"/>
  <c r="BG69" i="13" a="1"/>
  <c r="BG69" i="13" s="1"/>
  <c r="BE69" i="13" a="1"/>
  <c r="BE69" i="13" s="1"/>
  <c r="BF69" i="13" s="1" a="1"/>
  <c r="BF69" i="13" s="1"/>
  <c r="BD69" i="13" a="1"/>
  <c r="BD69" i="13" s="1"/>
  <c r="BC69" i="13" a="1"/>
  <c r="BC69" i="13" s="1"/>
  <c r="BG68" i="13" a="1"/>
  <c r="BG68" i="13" s="1"/>
  <c r="BE68" i="13" a="1"/>
  <c r="BE68" i="13" s="1"/>
  <c r="BF68" i="13" s="1" a="1"/>
  <c r="BF68" i="13" s="1"/>
  <c r="BD68" i="13" a="1"/>
  <c r="BD68" i="13" s="1"/>
  <c r="BC68" i="13" a="1"/>
  <c r="BC68" i="13" s="1"/>
  <c r="BG67" i="13" a="1"/>
  <c r="BG67" i="13" s="1"/>
  <c r="BE67" i="13" a="1"/>
  <c r="BE67" i="13" s="1"/>
  <c r="BF67" i="13" s="1" a="1"/>
  <c r="BF67" i="13" s="1"/>
  <c r="BD67" i="13" a="1"/>
  <c r="BD67" i="13" s="1"/>
  <c r="BC67" i="13" a="1"/>
  <c r="BC67" i="13" s="1"/>
  <c r="O67" i="13"/>
  <c r="AZ66" i="13"/>
  <c r="AY66" i="13"/>
  <c r="AX66" i="13"/>
  <c r="BE66" i="13" s="1" a="1"/>
  <c r="BE66" i="13" s="1"/>
  <c r="BF66" i="13" s="1" a="1"/>
  <c r="BF66" i="13" s="1"/>
  <c r="AW66" i="13"/>
  <c r="BC66" i="13" s="1" a="1"/>
  <c r="BC66" i="13" s="1"/>
  <c r="O66" i="13"/>
  <c r="AZ65" i="13"/>
  <c r="BG65" i="13" s="1" a="1"/>
  <c r="BG65" i="13" s="1"/>
  <c r="AY65" i="13"/>
  <c r="AX65" i="13"/>
  <c r="BE65" i="13" s="1" a="1"/>
  <c r="BE65" i="13" s="1"/>
  <c r="BF65" i="13" s="1" a="1"/>
  <c r="BF65" i="13" s="1"/>
  <c r="AW65" i="13"/>
  <c r="BC65" i="13" s="1" a="1"/>
  <c r="BC65" i="13" s="1"/>
  <c r="O65" i="13"/>
  <c r="BG64" i="13" a="1"/>
  <c r="BG64" i="13" s="1"/>
  <c r="BE64" i="13" a="1"/>
  <c r="BE64" i="13" s="1"/>
  <c r="BF64" i="13" s="1" a="1"/>
  <c r="BF64" i="13" s="1"/>
  <c r="BD64" i="13" a="1"/>
  <c r="BD64" i="13" s="1"/>
  <c r="BC64" i="13" a="1"/>
  <c r="BC64" i="13" s="1"/>
  <c r="L64" i="13"/>
  <c r="BG63" i="13" a="1"/>
  <c r="BG63" i="13" s="1"/>
  <c r="BE63" i="13" a="1"/>
  <c r="BE63" i="13" s="1"/>
  <c r="BF63" i="13" s="1" a="1"/>
  <c r="BF63" i="13" s="1"/>
  <c r="BD63" i="13" a="1"/>
  <c r="BD63" i="13" s="1"/>
  <c r="BC63" i="13" a="1"/>
  <c r="BC63" i="13" s="1"/>
  <c r="L63" i="13"/>
  <c r="BG62" i="13" a="1"/>
  <c r="BG62" i="13" s="1"/>
  <c r="BE62" i="13" a="1"/>
  <c r="BE62" i="13" s="1"/>
  <c r="BF62" i="13" s="1" a="1"/>
  <c r="BF62" i="13" s="1"/>
  <c r="BD62" i="13" a="1"/>
  <c r="BD62" i="13" s="1"/>
  <c r="BC62" i="13" a="1"/>
  <c r="BC62" i="13" s="1"/>
  <c r="L62" i="13"/>
  <c r="BG61" i="13" a="1"/>
  <c r="BG61" i="13" s="1"/>
  <c r="BE61" i="13" a="1"/>
  <c r="BE61" i="13" s="1"/>
  <c r="BF61" i="13" s="1" a="1"/>
  <c r="BF61" i="13" s="1"/>
  <c r="BD61" i="13" a="1"/>
  <c r="BD61" i="13" s="1"/>
  <c r="BC61" i="13" a="1"/>
  <c r="BC61" i="13" s="1"/>
  <c r="BG60" i="13" a="1"/>
  <c r="BG60" i="13" s="1"/>
  <c r="BE60" i="13" a="1"/>
  <c r="BE60" i="13" s="1"/>
  <c r="BF60" i="13" s="1" a="1"/>
  <c r="BF60" i="13" s="1"/>
  <c r="BD60" i="13" a="1"/>
  <c r="BD60" i="13" s="1"/>
  <c r="BC60" i="13" a="1"/>
  <c r="BC60" i="13" s="1"/>
  <c r="BG59" i="13" a="1"/>
  <c r="BG59" i="13" s="1"/>
  <c r="BE59" i="13" a="1"/>
  <c r="BE59" i="13" s="1"/>
  <c r="BF59" i="13" s="1" a="1"/>
  <c r="BF59" i="13" s="1"/>
  <c r="BD59" i="13" a="1"/>
  <c r="BD59" i="13" s="1"/>
  <c r="BC59" i="13" a="1"/>
  <c r="BC59" i="13" s="1"/>
  <c r="O59" i="13"/>
  <c r="BG58" i="13" a="1"/>
  <c r="BG58" i="13" s="1"/>
  <c r="BE58" i="13" a="1"/>
  <c r="BE58" i="13" s="1"/>
  <c r="BF58" i="13" s="1" a="1"/>
  <c r="BF58" i="13" s="1"/>
  <c r="BD58" i="13" a="1"/>
  <c r="BD58" i="13" s="1"/>
  <c r="BC58" i="13" a="1"/>
  <c r="BC58" i="13" s="1"/>
  <c r="BG57" i="13" a="1"/>
  <c r="BG57" i="13" s="1"/>
  <c r="BE57" i="13" a="1"/>
  <c r="BE57" i="13" s="1"/>
  <c r="BF57" i="13" s="1" a="1"/>
  <c r="BF57" i="13" s="1"/>
  <c r="BD57" i="13" a="1"/>
  <c r="BD57" i="13" s="1"/>
  <c r="BC57" i="13" a="1"/>
  <c r="BC57" i="13" s="1"/>
  <c r="BG56" i="13" a="1"/>
  <c r="BG56" i="13" s="1"/>
  <c r="BE56" i="13" a="1"/>
  <c r="BE56" i="13" s="1"/>
  <c r="BF56" i="13" s="1" a="1"/>
  <c r="BF56" i="13" s="1"/>
  <c r="BD56" i="13" a="1"/>
  <c r="BD56" i="13" s="1"/>
  <c r="BC56" i="13" a="1"/>
  <c r="BC56" i="13" s="1"/>
  <c r="BG55" i="13" a="1"/>
  <c r="BG55" i="13" s="1"/>
  <c r="BE55" i="13" a="1"/>
  <c r="BE55" i="13" s="1"/>
  <c r="BF55" i="13" s="1" a="1"/>
  <c r="BF55" i="13" s="1"/>
  <c r="BD55" i="13" a="1"/>
  <c r="BD55" i="13" s="1"/>
  <c r="BC55" i="13" a="1"/>
  <c r="BC55" i="13" s="1"/>
  <c r="O55" i="13"/>
  <c r="BG54" i="13" a="1"/>
  <c r="BG54" i="13" s="1"/>
  <c r="BE54" i="13" a="1"/>
  <c r="BE54" i="13" s="1"/>
  <c r="BF54" i="13" s="1" a="1"/>
  <c r="BF54" i="13" s="1"/>
  <c r="BD54" i="13" a="1"/>
  <c r="BD54" i="13" s="1"/>
  <c r="BC54" i="13" a="1"/>
  <c r="BC54" i="13" s="1"/>
  <c r="O54" i="13"/>
  <c r="BG53" i="13" a="1"/>
  <c r="BG53" i="13" s="1"/>
  <c r="BE53" i="13" a="1"/>
  <c r="BE53" i="13" s="1"/>
  <c r="BF53" i="13" s="1" a="1"/>
  <c r="BF53" i="13" s="1"/>
  <c r="BD53" i="13" a="1"/>
  <c r="BD53" i="13" s="1"/>
  <c r="BC53" i="13" a="1"/>
  <c r="BC53" i="13" s="1"/>
  <c r="O53" i="13"/>
  <c r="BG52" i="13" a="1"/>
  <c r="BG52" i="13" s="1"/>
  <c r="BE52" i="13" a="1"/>
  <c r="BE52" i="13" s="1"/>
  <c r="BF52" i="13" s="1" a="1"/>
  <c r="BF52" i="13" s="1"/>
  <c r="BD52" i="13" a="1"/>
  <c r="BD52" i="13" s="1"/>
  <c r="BC52" i="13" a="1"/>
  <c r="BC52" i="13" s="1"/>
  <c r="BG51" i="13" a="1"/>
  <c r="BG51" i="13" s="1"/>
  <c r="BE51" i="13" a="1"/>
  <c r="BE51" i="13" s="1"/>
  <c r="BF51" i="13" s="1" a="1"/>
  <c r="BF51" i="13" s="1"/>
  <c r="BD51" i="13" a="1"/>
  <c r="BD51" i="13" s="1"/>
  <c r="BC51" i="13" a="1"/>
  <c r="BC51" i="13" s="1"/>
  <c r="O51" i="13"/>
  <c r="BG50" i="13" a="1"/>
  <c r="BG50" i="13" s="1"/>
  <c r="BE50" i="13" a="1"/>
  <c r="BE50" i="13" s="1"/>
  <c r="BF50" i="13" s="1" a="1"/>
  <c r="BF50" i="13" s="1"/>
  <c r="BD50" i="13" a="1"/>
  <c r="BD50" i="13" s="1"/>
  <c r="BC50" i="13" a="1"/>
  <c r="BC50" i="13" s="1"/>
  <c r="O50" i="13"/>
  <c r="BG49" i="13" a="1"/>
  <c r="BG49" i="13" s="1"/>
  <c r="BE49" i="13" a="1"/>
  <c r="BE49" i="13" s="1"/>
  <c r="BF49" i="13" s="1" a="1"/>
  <c r="BF49" i="13" s="1"/>
  <c r="BD49" i="13" a="1"/>
  <c r="BD49" i="13" s="1"/>
  <c r="BC49" i="13" a="1"/>
  <c r="BC49" i="13" s="1"/>
  <c r="BG48" i="13" a="1"/>
  <c r="BG48" i="13" s="1"/>
  <c r="BE48" i="13" a="1"/>
  <c r="BE48" i="13" s="1"/>
  <c r="BF48" i="13" s="1" a="1"/>
  <c r="BF48" i="13" s="1"/>
  <c r="BD48" i="13" a="1"/>
  <c r="BD48" i="13" s="1"/>
  <c r="BC48" i="13" a="1"/>
  <c r="BC48" i="13" s="1"/>
  <c r="O48" i="13"/>
  <c r="BG47" i="13" a="1"/>
  <c r="BG47" i="13" s="1"/>
  <c r="BE47" i="13" a="1"/>
  <c r="BE47" i="13" s="1"/>
  <c r="BF47" i="13" s="1" a="1"/>
  <c r="BF47" i="13" s="1"/>
  <c r="BD47" i="13" a="1"/>
  <c r="BD47" i="13" s="1"/>
  <c r="BC47" i="13" a="1"/>
  <c r="BC47" i="13" s="1"/>
  <c r="O47" i="13"/>
  <c r="BG46" i="13" a="1"/>
  <c r="BG46" i="13" s="1"/>
  <c r="BE46" i="13" a="1"/>
  <c r="BE46" i="13" s="1"/>
  <c r="BF46" i="13" s="1" a="1"/>
  <c r="BF46" i="13" s="1"/>
  <c r="BD46" i="13" a="1"/>
  <c r="BD46" i="13" s="1"/>
  <c r="BC46" i="13" a="1"/>
  <c r="BC46" i="13" s="1"/>
  <c r="O46" i="13"/>
  <c r="BG45" i="13" a="1"/>
  <c r="BG45" i="13" s="1"/>
  <c r="BE45" i="13" a="1"/>
  <c r="BE45" i="13" s="1"/>
  <c r="BF45" i="13" s="1" a="1"/>
  <c r="BF45" i="13" s="1"/>
  <c r="BD45" i="13" a="1"/>
  <c r="BD45" i="13" s="1"/>
  <c r="BC45" i="13" a="1"/>
  <c r="BC45" i="13" s="1"/>
  <c r="O45" i="13"/>
  <c r="BG44" i="13" a="1"/>
  <c r="BG44" i="13" s="1"/>
  <c r="BE44" i="13" a="1"/>
  <c r="BE44" i="13" s="1"/>
  <c r="BF44" i="13" s="1" a="1"/>
  <c r="BF44" i="13" s="1"/>
  <c r="BD44" i="13" a="1"/>
  <c r="BD44" i="13" s="1"/>
  <c r="BC44" i="13" a="1"/>
  <c r="BC44" i="13" s="1"/>
  <c r="BG43" i="13" a="1"/>
  <c r="BG43" i="13" s="1"/>
  <c r="BE43" i="13" a="1"/>
  <c r="BE43" i="13" s="1"/>
  <c r="BF43" i="13" s="1" a="1"/>
  <c r="BF43" i="13" s="1"/>
  <c r="BD43" i="13" a="1"/>
  <c r="BD43" i="13" s="1"/>
  <c r="BC43" i="13" a="1"/>
  <c r="BC43" i="13" s="1"/>
  <c r="BG42" i="13" a="1"/>
  <c r="BG42" i="13" s="1"/>
  <c r="BE42" i="13" a="1"/>
  <c r="BE42" i="13" s="1"/>
  <c r="BF42" i="13" s="1" a="1"/>
  <c r="BF42" i="13" s="1"/>
  <c r="BD42" i="13" a="1"/>
  <c r="BD42" i="13" s="1"/>
  <c r="BC42" i="13" a="1"/>
  <c r="BC42" i="13" s="1"/>
  <c r="BG41" i="13" a="1"/>
  <c r="BG41" i="13" s="1"/>
  <c r="BE41" i="13" a="1"/>
  <c r="BE41" i="13" s="1"/>
  <c r="BF41" i="13" s="1" a="1"/>
  <c r="BF41" i="13" s="1"/>
  <c r="BD41" i="13" a="1"/>
  <c r="BD41" i="13" s="1"/>
  <c r="BC41" i="13" a="1"/>
  <c r="BC41" i="13" s="1"/>
  <c r="BG40" i="13" a="1"/>
  <c r="BG40" i="13" s="1"/>
  <c r="BE40" i="13" a="1"/>
  <c r="BE40" i="13" s="1"/>
  <c r="BF40" i="13" s="1" a="1"/>
  <c r="BF40" i="13" s="1"/>
  <c r="BD40" i="13" a="1"/>
  <c r="BD40" i="13" s="1"/>
  <c r="BC40" i="13" a="1"/>
  <c r="BC40" i="13" s="1"/>
  <c r="L40" i="13"/>
  <c r="BG39" i="13" a="1"/>
  <c r="BG39" i="13" s="1"/>
  <c r="BE39" i="13" a="1"/>
  <c r="BE39" i="13" s="1"/>
  <c r="BF39" i="13" s="1" a="1"/>
  <c r="BF39" i="13" s="1"/>
  <c r="BD39" i="13" a="1"/>
  <c r="BD39" i="13" s="1"/>
  <c r="BC39" i="13" a="1"/>
  <c r="BC39" i="13" s="1"/>
  <c r="L39" i="13"/>
  <c r="BG38" i="13" a="1"/>
  <c r="BG38" i="13" s="1"/>
  <c r="BE38" i="13" a="1"/>
  <c r="BE38" i="13" s="1"/>
  <c r="BF38" i="13" s="1" a="1"/>
  <c r="BF38" i="13" s="1"/>
  <c r="BD38" i="13" a="1"/>
  <c r="BD38" i="13" s="1"/>
  <c r="BC38" i="13" a="1"/>
  <c r="BC38" i="13" s="1"/>
  <c r="O38" i="13"/>
  <c r="BG37" i="13" a="1"/>
  <c r="BG37" i="13" s="1"/>
  <c r="BE37" i="13" a="1"/>
  <c r="BE37" i="13" s="1"/>
  <c r="BF37" i="13" s="1" a="1"/>
  <c r="BF37" i="13" s="1"/>
  <c r="BD37" i="13" a="1"/>
  <c r="BD37" i="13" s="1"/>
  <c r="BC37" i="13" a="1"/>
  <c r="BC37" i="13" s="1"/>
  <c r="AH37" i="13"/>
  <c r="AF37" i="13"/>
  <c r="O37" i="13"/>
  <c r="L37" i="13"/>
  <c r="BG36" i="13" a="1"/>
  <c r="BG36" i="13" s="1"/>
  <c r="BE36" i="13" a="1"/>
  <c r="BE36" i="13" s="1"/>
  <c r="BF36" i="13" s="1" a="1"/>
  <c r="BF36" i="13" s="1"/>
  <c r="BD36" i="13" a="1"/>
  <c r="BD36" i="13" s="1"/>
  <c r="BC36" i="13" a="1"/>
  <c r="BC36" i="13" s="1"/>
  <c r="AH36" i="13"/>
  <c r="AF36" i="13"/>
  <c r="O36" i="13"/>
  <c r="L36" i="13"/>
  <c r="BG35" i="13" a="1"/>
  <c r="BG35" i="13" s="1"/>
  <c r="BE35" i="13" a="1"/>
  <c r="BE35" i="13" s="1"/>
  <c r="BF35" i="13" s="1" a="1"/>
  <c r="BF35" i="13" s="1"/>
  <c r="BD35" i="13" a="1"/>
  <c r="BD35" i="13" s="1"/>
  <c r="BC35" i="13" a="1"/>
  <c r="BC35" i="13" s="1"/>
  <c r="O35" i="13"/>
  <c r="BG34" i="13" a="1"/>
  <c r="BG34" i="13" s="1"/>
  <c r="BE34" i="13" a="1"/>
  <c r="BE34" i="13" s="1"/>
  <c r="BF34" i="13" s="1" a="1"/>
  <c r="BF34" i="13" s="1"/>
  <c r="BD34" i="13" a="1"/>
  <c r="BD34" i="13" s="1"/>
  <c r="BC34" i="13" a="1"/>
  <c r="BC34" i="13" s="1"/>
  <c r="O34" i="13"/>
  <c r="BG33" i="13" a="1"/>
  <c r="BG33" i="13" s="1"/>
  <c r="BE33" i="13" a="1"/>
  <c r="BE33" i="13" s="1"/>
  <c r="BF33" i="13" s="1" a="1"/>
  <c r="BF33" i="13" s="1"/>
  <c r="BD33" i="13" a="1"/>
  <c r="BD33" i="13" s="1"/>
  <c r="BC33" i="13" a="1"/>
  <c r="BC33" i="13" s="1"/>
  <c r="O33" i="13"/>
  <c r="BG32" i="13" a="1"/>
  <c r="BG32" i="13" s="1"/>
  <c r="BE32" i="13" a="1"/>
  <c r="BE32" i="13" s="1"/>
  <c r="BF32" i="13" s="1" a="1"/>
  <c r="BF32" i="13" s="1"/>
  <c r="BD32" i="13" a="1"/>
  <c r="BD32" i="13" s="1"/>
  <c r="BC32" i="13" a="1"/>
  <c r="BC32" i="13" s="1"/>
  <c r="O32" i="13"/>
  <c r="BG31" i="13" a="1"/>
  <c r="BG31" i="13" s="1"/>
  <c r="BE31" i="13" a="1"/>
  <c r="BE31" i="13" s="1"/>
  <c r="BF31" i="13" s="1" a="1"/>
  <c r="BF31" i="13" s="1"/>
  <c r="BD31" i="13" a="1"/>
  <c r="BD31" i="13" s="1"/>
  <c r="BC31" i="13" a="1"/>
  <c r="BC31" i="13" s="1"/>
  <c r="O31" i="13"/>
  <c r="L31" i="13"/>
  <c r="BG30" i="13" a="1"/>
  <c r="BG30" i="13" s="1"/>
  <c r="BE30" i="13" a="1"/>
  <c r="BE30" i="13" s="1"/>
  <c r="BF30" i="13" s="1" a="1"/>
  <c r="BF30" i="13" s="1"/>
  <c r="BD30" i="13" a="1"/>
  <c r="BD30" i="13" s="1"/>
  <c r="BC30" i="13" a="1"/>
  <c r="BC30" i="13" s="1"/>
  <c r="O30" i="13"/>
  <c r="L30" i="13"/>
  <c r="BG29" i="13" a="1"/>
  <c r="BG29" i="13" s="1"/>
  <c r="BE29" i="13" a="1"/>
  <c r="BE29" i="13" s="1"/>
  <c r="BF29" i="13" s="1" a="1"/>
  <c r="BF29" i="13" s="1"/>
  <c r="BD29" i="13" a="1"/>
  <c r="BD29" i="13" s="1"/>
  <c r="BC29" i="13" a="1"/>
  <c r="BC29" i="13" s="1"/>
  <c r="BG28" i="13" a="1"/>
  <c r="BG28" i="13" s="1"/>
  <c r="BE28" i="13" a="1"/>
  <c r="BE28" i="13" s="1"/>
  <c r="BF28" i="13" s="1" a="1"/>
  <c r="BF28" i="13" s="1"/>
  <c r="BD28" i="13" a="1"/>
  <c r="BD28" i="13" s="1"/>
  <c r="BC28" i="13" a="1"/>
  <c r="BC28" i="13" s="1"/>
  <c r="BG27" i="13" a="1"/>
  <c r="BG27" i="13" s="1"/>
  <c r="BE27" i="13" a="1"/>
  <c r="BE27" i="13" s="1"/>
  <c r="BF27" i="13" s="1" a="1"/>
  <c r="BF27" i="13" s="1"/>
  <c r="BD27" i="13" a="1"/>
  <c r="BD27" i="13" s="1"/>
  <c r="BC27" i="13" a="1"/>
  <c r="BC27" i="13" s="1"/>
  <c r="BG26" i="13" a="1"/>
  <c r="BG26" i="13" s="1"/>
  <c r="BE26" i="13" a="1"/>
  <c r="BE26" i="13" s="1"/>
  <c r="BF26" i="13" s="1" a="1"/>
  <c r="BF26" i="13" s="1"/>
  <c r="BD26" i="13" a="1"/>
  <c r="BD26" i="13" s="1"/>
  <c r="BC26" i="13" a="1"/>
  <c r="BC26" i="13" s="1"/>
  <c r="O26" i="13"/>
  <c r="BG25" i="13" a="1"/>
  <c r="BG25" i="13" s="1"/>
  <c r="BE25" i="13" a="1"/>
  <c r="BE25" i="13" s="1"/>
  <c r="BF25" i="13" s="1" a="1"/>
  <c r="BF25" i="13" s="1"/>
  <c r="BD25" i="13" a="1"/>
  <c r="BD25" i="13" s="1"/>
  <c r="BC25" i="13" a="1"/>
  <c r="BC25" i="13" s="1"/>
  <c r="O25" i="13"/>
  <c r="BG24" i="13" a="1"/>
  <c r="BG24" i="13" s="1"/>
  <c r="BE24" i="13" a="1"/>
  <c r="BE24" i="13" s="1"/>
  <c r="BF24" i="13" s="1" a="1"/>
  <c r="BF24" i="13" s="1"/>
  <c r="BD24" i="13" a="1"/>
  <c r="BD24" i="13" s="1"/>
  <c r="BC24" i="13" a="1"/>
  <c r="BC24" i="13" s="1"/>
  <c r="O24" i="13"/>
  <c r="BG23" i="13" a="1"/>
  <c r="BG23" i="13" s="1"/>
  <c r="BE23" i="13" a="1"/>
  <c r="BE23" i="13" s="1"/>
  <c r="BF23" i="13" s="1" a="1"/>
  <c r="BF23" i="13" s="1"/>
  <c r="BD23" i="13" a="1"/>
  <c r="BD23" i="13" s="1"/>
  <c r="BC23" i="13" a="1"/>
  <c r="BC23" i="13" s="1"/>
  <c r="O23" i="13"/>
  <c r="BG22" i="13" a="1"/>
  <c r="BG22" i="13" s="1"/>
  <c r="BE22" i="13" a="1"/>
  <c r="BE22" i="13" s="1"/>
  <c r="BF22" i="13" s="1" a="1"/>
  <c r="BF22" i="13" s="1"/>
  <c r="BD22" i="13" a="1"/>
  <c r="BD22" i="13" s="1"/>
  <c r="BC22" i="13" a="1"/>
  <c r="BC22" i="13" s="1"/>
  <c r="O22" i="13"/>
  <c r="BG21" i="13" a="1"/>
  <c r="BG21" i="13" s="1"/>
  <c r="BE21" i="13" a="1"/>
  <c r="BE21" i="13" s="1"/>
  <c r="BF21" i="13" s="1" a="1"/>
  <c r="BF21" i="13" s="1"/>
  <c r="BD21" i="13" a="1"/>
  <c r="BD21" i="13" s="1"/>
  <c r="BC21" i="13" a="1"/>
  <c r="BC21" i="13" s="1"/>
  <c r="O21" i="13"/>
  <c r="AZ20" i="13"/>
  <c r="AY20" i="13"/>
  <c r="AX20" i="13"/>
  <c r="BE20" i="13" s="1" a="1"/>
  <c r="BE20" i="13" s="1"/>
  <c r="BF20" i="13" s="1" a="1"/>
  <c r="BF20" i="13" s="1"/>
  <c r="AW20" i="13"/>
  <c r="BC20" i="13" s="1" a="1"/>
  <c r="BC20" i="13" s="1"/>
  <c r="O20" i="13"/>
  <c r="AZ19" i="13"/>
  <c r="AY19" i="13"/>
  <c r="AX19" i="13"/>
  <c r="BE19" i="13" s="1" a="1"/>
  <c r="BE19" i="13" s="1"/>
  <c r="BF19" i="13" s="1" a="1"/>
  <c r="BF19" i="13" s="1"/>
  <c r="AW19" i="13"/>
  <c r="BC19" i="13" s="1" a="1"/>
  <c r="BC19" i="13" s="1"/>
  <c r="O19" i="13"/>
  <c r="AZ18" i="13"/>
  <c r="BG18" i="13" s="1" a="1"/>
  <c r="BG18" i="13" s="1"/>
  <c r="AY18" i="13"/>
  <c r="AX18" i="13"/>
  <c r="BE18" i="13" s="1" a="1"/>
  <c r="BE18" i="13" s="1"/>
  <c r="BF18" i="13" s="1" a="1"/>
  <c r="BF18" i="13" s="1"/>
  <c r="AW18" i="13"/>
  <c r="BC18" i="13" s="1" a="1"/>
  <c r="BC18" i="13" s="1"/>
  <c r="O18" i="13"/>
  <c r="AZ17" i="13"/>
  <c r="BG17" i="13" s="1" a="1"/>
  <c r="BG17" i="13" s="1"/>
  <c r="AY17" i="13"/>
  <c r="AX17" i="13"/>
  <c r="BE17" i="13" s="1" a="1"/>
  <c r="BE17" i="13" s="1"/>
  <c r="BF17" i="13" s="1" a="1"/>
  <c r="BF17" i="13" s="1"/>
  <c r="AW17" i="13"/>
  <c r="BC17" i="13" s="1" a="1"/>
  <c r="BC17" i="13" s="1"/>
  <c r="O17" i="13"/>
  <c r="BG16" i="13" a="1"/>
  <c r="BG16" i="13" s="1"/>
  <c r="BE16" i="13" a="1"/>
  <c r="BE16" i="13" s="1"/>
  <c r="BF16" i="13" s="1" a="1"/>
  <c r="BF16" i="13" s="1"/>
  <c r="BD16" i="13" a="1"/>
  <c r="BD16" i="13" s="1"/>
  <c r="BC16" i="13" a="1"/>
  <c r="BC16" i="13" s="1"/>
  <c r="O16" i="13"/>
  <c r="BG15" i="13" a="1"/>
  <c r="BG15" i="13" s="1"/>
  <c r="BE15" i="13" a="1"/>
  <c r="BE15" i="13" s="1"/>
  <c r="BF15" i="13" s="1" a="1"/>
  <c r="BF15" i="13" s="1"/>
  <c r="BD15" i="13" a="1"/>
  <c r="BD15" i="13" s="1"/>
  <c r="BC15" i="13" a="1"/>
  <c r="BC15" i="13" s="1"/>
  <c r="O15" i="13"/>
  <c r="BG14" i="13" a="1"/>
  <c r="BG14" i="13" s="1"/>
  <c r="BE14" i="13" a="1"/>
  <c r="BE14" i="13" s="1"/>
  <c r="BF14" i="13" s="1" a="1"/>
  <c r="BF14" i="13" s="1"/>
  <c r="BD14" i="13" a="1"/>
  <c r="BD14" i="13" s="1"/>
  <c r="BC14" i="13" a="1"/>
  <c r="BC14" i="13" s="1"/>
  <c r="O14" i="13"/>
  <c r="BG13" i="13" a="1"/>
  <c r="BG13" i="13" s="1"/>
  <c r="BE13" i="13" a="1"/>
  <c r="BE13" i="13" s="1"/>
  <c r="BF13" i="13" s="1" a="1"/>
  <c r="BF13" i="13" s="1"/>
  <c r="BD13" i="13" a="1"/>
  <c r="BD13" i="13" s="1"/>
  <c r="BC13" i="13" a="1"/>
  <c r="BC13" i="13" s="1"/>
  <c r="O13" i="13"/>
  <c r="BG12" i="13" a="1"/>
  <c r="BG12" i="13" s="1"/>
  <c r="BE12" i="13" a="1"/>
  <c r="BE12" i="13" s="1"/>
  <c r="BF12" i="13" s="1" a="1"/>
  <c r="BF12" i="13" s="1"/>
  <c r="BD12" i="13" a="1"/>
  <c r="BD12" i="13" s="1"/>
  <c r="BC12" i="13" a="1"/>
  <c r="BC12" i="13" s="1"/>
  <c r="O12" i="13"/>
  <c r="BG11" i="13" a="1"/>
  <c r="BG11" i="13" s="1"/>
  <c r="BE11" i="13" a="1"/>
  <c r="BE11" i="13" s="1"/>
  <c r="BF11" i="13" s="1" a="1"/>
  <c r="BF11" i="13" s="1"/>
  <c r="BD11" i="13" a="1"/>
  <c r="BD11" i="13" s="1"/>
  <c r="BC11" i="13" a="1"/>
  <c r="BC11" i="13" s="1"/>
  <c r="L11" i="13"/>
  <c r="BG10" i="13" a="1"/>
  <c r="BG10" i="13" s="1"/>
  <c r="BE10" i="13" a="1"/>
  <c r="BE10" i="13" s="1"/>
  <c r="BF10" i="13" s="1" a="1"/>
  <c r="BF10" i="13" s="1"/>
  <c r="BD10" i="13" a="1"/>
  <c r="BD10" i="13" s="1"/>
  <c r="BC10" i="13" a="1"/>
  <c r="BC10" i="13" s="1"/>
  <c r="O10" i="13"/>
  <c r="BG9" i="13" a="1"/>
  <c r="BG9" i="13" s="1"/>
  <c r="BE9" i="13" a="1"/>
  <c r="BE9" i="13" s="1"/>
  <c r="BF9" i="13" s="1" a="1"/>
  <c r="BF9" i="13" s="1"/>
  <c r="BD9" i="13" a="1"/>
  <c r="BD9" i="13" s="1"/>
  <c r="BC9" i="13" a="1"/>
  <c r="BC9" i="13" s="1"/>
  <c r="O9" i="13"/>
  <c r="BG8" i="13" a="1"/>
  <c r="BG8" i="13" s="1"/>
  <c r="BE8" i="13" a="1"/>
  <c r="BE8" i="13" s="1"/>
  <c r="BF8" i="13" s="1" a="1"/>
  <c r="BF8" i="13" s="1"/>
  <c r="BD8" i="13" a="1"/>
  <c r="BD8" i="13" s="1"/>
  <c r="BC8" i="13" a="1"/>
  <c r="BC8" i="13" s="1"/>
  <c r="O8" i="13"/>
  <c r="BG7" i="13" a="1"/>
  <c r="BG7" i="13" s="1"/>
  <c r="BE7" i="13" a="1"/>
  <c r="BE7" i="13" s="1"/>
  <c r="BF7" i="13" s="1" a="1"/>
  <c r="BF7" i="13" s="1"/>
  <c r="BD7" i="13" a="1"/>
  <c r="BD7" i="13" s="1"/>
  <c r="BC7" i="13" a="1"/>
  <c r="BC7" i="13" s="1"/>
  <c r="O7" i="13"/>
  <c r="BG6" i="13" a="1"/>
  <c r="BG6" i="13" s="1"/>
  <c r="BE6" i="13" a="1"/>
  <c r="BE6" i="13" s="1"/>
  <c r="BF6" i="13" s="1" a="1"/>
  <c r="BF6" i="13" s="1"/>
  <c r="BD6" i="13" a="1"/>
  <c r="BD6" i="13" s="1"/>
  <c r="BC6" i="13" a="1"/>
  <c r="BC6" i="13" s="1"/>
  <c r="O6" i="13"/>
  <c r="BG5" i="13" a="1"/>
  <c r="BG5" i="13" s="1"/>
  <c r="BE5" i="13" a="1"/>
  <c r="BE5" i="13" s="1"/>
  <c r="BF5" i="13" s="1" a="1"/>
  <c r="BF5" i="13" s="1"/>
  <c r="BD5" i="13" a="1"/>
  <c r="BD5" i="13" s="1"/>
  <c r="BC5" i="13" a="1"/>
  <c r="BC5" i="13" s="1"/>
  <c r="O5" i="13"/>
  <c r="BG4" i="13" a="1"/>
  <c r="BG4" i="13" s="1"/>
  <c r="BE4" i="13" a="1"/>
  <c r="BE4" i="13" s="1"/>
  <c r="BF4" i="13" s="1" a="1"/>
  <c r="BF4" i="13" s="1"/>
  <c r="BD4" i="13" a="1"/>
  <c r="BD4" i="13" s="1"/>
  <c r="BC4" i="13" a="1"/>
  <c r="BC4" i="13" s="1"/>
  <c r="O4" i="13"/>
  <c r="BG3" i="13" a="1"/>
  <c r="BG3" i="13" s="1"/>
  <c r="BE3" i="13" a="1"/>
  <c r="BE3" i="13" s="1"/>
  <c r="BF3" i="13" s="1" a="1"/>
  <c r="BF3" i="13" s="1"/>
  <c r="BD3" i="13" a="1"/>
  <c r="BD3" i="13" s="1"/>
  <c r="BC3" i="13" a="1"/>
  <c r="BC3" i="13" s="1"/>
  <c r="BG2" i="13" a="1"/>
  <c r="BG2" i="13" s="1"/>
  <c r="BE2" i="13" a="1"/>
  <c r="BE2" i="13" s="1"/>
  <c r="BF2" i="13" s="1" a="1"/>
  <c r="BF2" i="13" s="1"/>
  <c r="BD2" i="13" a="1"/>
  <c r="BD2" i="13" s="1"/>
  <c r="BC2" i="13" a="1"/>
  <c r="BC2" i="13" s="1"/>
  <c r="O2" i="13"/>
  <c r="AI164" i="13" l="1" a="1"/>
  <c r="AI164" i="13" s="1"/>
  <c r="AI112" i="13" a="1"/>
  <c r="AI112" i="13" s="1"/>
  <c r="AI162" i="13" a="1"/>
  <c r="AI162" i="13" s="1"/>
  <c r="AI163" i="13" a="1"/>
  <c r="AI163" i="13" s="1"/>
  <c r="AI205" i="13" a="1"/>
  <c r="AI205" i="13" s="1"/>
  <c r="AI36" i="13" a="1"/>
  <c r="AI36" i="13" s="1"/>
  <c r="AI37" i="13" a="1"/>
  <c r="AI37" i="13" s="1"/>
  <c r="AI206" i="13" a="1"/>
  <c r="AI206" i="13" s="1"/>
  <c r="BD90" i="13" a="1"/>
  <c r="BD90" i="13" s="1"/>
  <c r="BD74" i="13" a="1"/>
  <c r="BD74" i="13" s="1"/>
  <c r="BD19" i="13" a="1"/>
  <c r="BD19" i="13" s="1"/>
  <c r="BG19" i="13" a="1"/>
  <c r="BG19" i="13" s="1"/>
  <c r="BD65" i="13" a="1"/>
  <c r="BD65" i="13" s="1"/>
  <c r="BD20" i="13" a="1"/>
  <c r="BD20" i="13" s="1"/>
  <c r="BD17" i="13" a="1"/>
  <c r="BD17" i="13" s="1"/>
  <c r="BD18" i="13" a="1"/>
  <c r="BD18" i="13" s="1"/>
  <c r="BD132" i="13" a="1"/>
  <c r="BD132" i="13" s="1"/>
  <c r="BD111" i="13" a="1"/>
  <c r="BD111" i="13" s="1"/>
  <c r="BD88" i="13" a="1"/>
  <c r="BD88" i="13" s="1"/>
  <c r="BD89" i="13" a="1"/>
  <c r="BD89" i="13" s="1"/>
  <c r="BG20" i="13" a="1"/>
  <c r="BG20" i="13" s="1"/>
  <c r="BG66" i="13" a="1"/>
  <c r="BG66" i="13" s="1"/>
  <c r="BD66" i="13" a="1"/>
  <c r="BD66" i="13" s="1"/>
  <c r="BG111" i="13" a="1"/>
  <c r="BG111" i="13" s="1"/>
  <c r="BG132" i="13" a="1"/>
  <c r="BG132" i="13" s="1"/>
  <c r="BD133" i="13" a="1"/>
  <c r="BD133"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tc={6A597DF8-CB84-414B-AAE5-6EC35B773E2E}</author>
    <author>tc={064713CE-CCE3-4C08-9F7B-9320204A4CCF}</author>
    <author>tc={38E995C2-D8A9-4C75-B75F-84492A3207A7}</author>
    <author>tc={C4D24233-67AA-4F9B-99D5-2A7429BDC471}</author>
    <author>tc={95A2BA25-D82C-4B16-8179-6C1FC19137C5}</author>
    <author>tc={1A4166AC-4DBB-4D40-BC47-622B0E21B15D}</author>
    <author>tc={32EC4B2C-65DE-465F-A781-580DDCA660E9}</author>
    <author>tc={B2CA5202-36E8-4564-9733-83C8B99373DA}</author>
    <author>tc={8B515184-B01A-4B6F-B544-FB149BB93844}</author>
    <author>tc={19E121AD-91D4-4EBF-8B65-813CD5362E74}</author>
    <author>tc={8A6CDD7D-7CDD-418E-97D7-56B5C8316CD9}</author>
    <author>tc={C8AD39B1-FBB6-49F0-B43E-AACA13C378A5}</author>
    <author>tc={2AC5B25A-E0C6-434C-9DC3-A9B421D8CE85}</author>
    <author>tc={0A3C1B2B-5460-4090-9512-F4B51A249F50}</author>
    <author>tc={77A71117-A981-4F98-895D-6EABEF2DFF06}</author>
    <author>tc={0CD713B4-F4CA-4624-ABCF-ABB2C4319D1C}</author>
    <author>tc={F01B3D5E-4421-44EF-A185-6F56E1B13EE9}</author>
    <author>tc={61321BE3-7119-4A78-BE85-8D0157981EB0}</author>
    <author>tc={35A54D03-44E9-402B-B009-899A33F8190B}</author>
    <author>tc={6F135352-E211-461E-8D85-BF51151F7B24}</author>
    <author>tc={0A04737E-1CBC-468E-90AC-307B5C88574F}</author>
    <author>tc={142E3EB7-1AE0-437C-BD2D-D6BAA66D67BD}</author>
    <author>tc={0EA2EB6F-468C-412A-8E30-BFAE9AB2082A}</author>
    <author>tc={950525DD-4E51-4C9F-816F-DE03F9BC01CE}</author>
    <author>tc={CE846273-E05E-4D96-8C52-40C606DA25A8}</author>
    <author>tc={57C28954-9A3E-408D-A8A0-35C381C93BEA}</author>
    <author>tc={87557F4C-CEBF-4697-AF78-2BFFB875E1CC}</author>
    <author>tc={2F675A94-3C07-40BC-B7DF-C84CFE369852}</author>
    <author>tc={97AF9433-C106-40E4-A420-066F70288634}</author>
    <author>tc={FE6716CE-4ABD-4A5E-BD08-06874D2056ED}</author>
    <author>tc={87BA1287-DC7D-4DA3-8630-38EF7873BD5F}</author>
    <author>tc={0912EF30-A45A-46E2-8E79-1FA23C1CDB80}</author>
    <author>tc={329FAAED-ED68-4AD7-AFCC-8545C72B2A7F}</author>
    <author>tc={E43E1E77-15E6-4B4D-A6D3-F5F393A65918}</author>
    <author>tc={FD92EF5E-DDBD-434C-992D-CD0A7894D12F}</author>
    <author>tc={2C4E910C-DEEF-4945-8AE7-08FA45609E56}</author>
    <author>tc={9338458A-2D07-4379-9BFC-2AC83D871339}</author>
    <author>tc={01D30EB1-FD13-469C-8159-41187483CB15}</author>
    <author>tc={65B7C6C8-9528-4CFA-A5A9-C246B3FEFFF7}</author>
    <author>tc={9140D48F-84B0-493B-9AEB-157B544F972A}</author>
    <author>tc={78677349-DD6A-4292-AF42-FBCD0931028C}</author>
    <author>tc={62DA0E5B-D251-43C2-B7B5-E1AEC6B07BFF}</author>
    <author>tc={56FD7652-43C5-44F7-AEAE-6B6AFB90B161}</author>
    <author>tc={B58A4A55-067C-4437-881A-6AA2CFE2A4EC}</author>
    <author>tc={3434B894-F95A-4E35-95B5-2762FDDD6A9F}</author>
    <author>tc={C8F70BA6-0FF8-488B-9168-64AD2BC99FA1}</author>
    <author>tc={900250C6-BB45-42CF-8F4B-07A7CBFFDE2D}</author>
    <author>tc={E9D44430-E4BC-405A-9D00-D89737601DC7}</author>
    <author>tc={D6E93331-4955-4A28-836D-649055A8A726}</author>
    <author>tc={92F8E595-4AF9-4DD6-B3A5-E64FED222A21}</author>
    <author>tc={5837EE88-9CA3-4A5B-A2B1-6B633B20486F}</author>
    <author>tc={960F8045-091D-436B-B249-9966A5C909D6}</author>
    <author>tc={56149095-8C38-4469-B7F7-75D20F2AB6F4}</author>
    <author>tc={72C17F8C-CE36-429B-BD1A-C196E621B690}</author>
    <author>tc={C9F035E7-EE94-4615-8C54-43CBB28BC11C}</author>
    <author>tc={8D116AB4-658F-4A9F-9232-A98E189F85D6}</author>
    <author>tc={7DBF065A-C5D1-4CDD-8E15-24FBEC360AFC}</author>
    <author>tc={D599A6BD-4874-48B5-99B4-E7D403C52D69}</author>
    <author>tc={39AD6F2E-1780-44D9-A9B8-A7D1F45EDA8D}</author>
    <author>tc={CC8E8437-0DCD-4B12-BC3E-CDE6FA5EB8C5}</author>
    <author>tc={B7DBAAFC-C394-40CF-92FE-919FD15F194E}</author>
    <author>tc={43CB4BD4-F7E3-4566-9D72-32FFA38A0D1F}</author>
    <author>tc={879FD053-E962-43B0-A04B-6E67F6F9D2E9}</author>
    <author>tc={37E6B6B4-6780-4F38-A16C-A6B08EFC54C6}</author>
    <author>tc={D4278603-0B11-421A-84D9-E8FD5CA6733B}</author>
    <author>tc={05C48F02-D260-40E2-95ED-7F117A7E01D0}</author>
    <author>tc={5F803ED3-4D1E-4630-9D62-F824895C38E0}</author>
    <author>tc={432D2128-C126-4645-AE33-07C9C7E87BF1}</author>
    <author>tc={131B1A0A-115C-4262-845E-3B4FE5E95C76}</author>
    <author>tc={62D616EA-7B91-430D-BFC1-23B33131EDFB}</author>
    <author>tc={AA9193E8-2C10-42F2-B810-C22F4446B78F}</author>
    <author>tc={AB4BA89E-52D4-47B9-B3E8-E14B941F7CFF}</author>
    <author>tc={34C0A82A-49C1-4BC9-8A66-07AED7E34600}</author>
    <author>tc={67EFD8FE-93DF-4E92-B7D5-B997288C5791}</author>
    <author>tc={9E2DDADC-647B-4C27-836C-8F41493264D2}</author>
    <author>tc={E9748E9A-4AC7-4BDD-8DDD-0E9E8DD23031}</author>
    <author>tc={69FCC51C-645E-46BB-92C2-47641953D5FE}</author>
    <author>tc={F3F7CFAA-2690-446F-9059-75757F60DE58}</author>
    <author>tc={B896DDB5-1473-43E5-9C13-7A307E17E6FA}</author>
    <author>tc={989F814F-AF0B-4D74-BC21-B8C859C654AB}</author>
    <author>tc={061769BF-9A25-4196-AE08-B77DE65B7480}</author>
    <author>tc={326A52B8-D250-4D93-AAD5-3925390E5A4C}</author>
    <author>tc={05A168AA-1FBF-4728-BBC4-470972B23F76}</author>
    <author>tc={6320B21A-7CE0-42D5-87DD-7AA93479C560}</author>
    <author>tc={B1C62B1F-A902-4B70-9C35-71C0CAE057D8}</author>
    <author>tc={A7240C3C-F656-4358-8C7F-C1D4B09D92CC}</author>
    <author>tc={8899E835-4073-42F4-B2CE-CA072C11FA37}</author>
    <author>tc={BEF60010-A786-4EFF-8F43-D9725D191DE5}</author>
    <author>tc={9A71998D-7C77-4930-9EDF-0D067A3F5167}</author>
    <author>tc={3A96D40D-9EA2-4B00-834F-C08BD5CB94FF}</author>
    <author>tc={65AECA4B-D2D5-4CA8-B0F7-A7391300F607}</author>
    <author>tc={81C7BA5E-9DA9-4CD7-9952-E5E0337E5F74}</author>
    <author>tc={B521BF61-846B-4491-9141-C87766F3C8C3}</author>
    <author>tc={1C1AFAE8-632A-4DD1-8A31-A62BF4AB4E2B}</author>
    <author>tc={9796BA9E-7FB7-44C4-AF7B-569DC1577DD6}</author>
    <author>tc={DA646DA2-EC72-4C0D-8E46-663B78EB5565}</author>
    <author>tc={39F51103-47DA-49EB-8928-E3E9C3A5E374}</author>
    <author>tc={64E9C24B-E225-48C7-A6C7-9935C4429F5D}</author>
    <author>tc={CD1C0A24-3B99-41C9-80E7-1FF37FCF2AB1}</author>
    <author>tc={FBD91A66-84D4-4A00-A17D-98E61013F904}</author>
    <author>tc={888A6560-8806-430D-A70A-D270ACEEDECA}</author>
    <author>tc={2CA45BE0-BA60-4C36-B057-274750FE7EAC}</author>
    <author>tc={B13E92AA-E923-436B-A7B9-BFC126B4DBFB}</author>
    <author>tc={D05CFE47-33EB-488C-A2E1-887AA30653B0}</author>
    <author>tc={E9355B59-4172-4E9D-B137-4E8234F5182F}</author>
    <author>tc={387C0AB3-0B73-425C-A811-D761D62598CC}</author>
    <author>tc={E1BEC842-4CD3-4EF3-A2F6-82454D4AD1AF}</author>
    <author>tc={0800C959-39F4-41F8-B0D9-6936C4D47ACD}</author>
    <author>tc={C32A0D2E-1978-4A49-9F51-A2179312D78A}</author>
    <author>tc={1DD919C6-E246-4A63-8344-5488BF83C62E}</author>
    <author>tc={AD35180D-3C73-47B0-A796-D0703EF4EA76}</author>
    <author>tc={F77842E8-55D6-4153-A4F4-B6EBBE3360CA}</author>
    <author>tc={B7B38F61-36DC-41A3-A002-6F6C916EDD46}</author>
    <author>tc={6B2A694E-5C33-4D16-83A1-A95E9BCDC663}</author>
    <author>tc={BB4CA10A-CB0B-49EA-A945-466A3A301572}</author>
    <author>tc={736C32A5-BB3D-49AB-A069-EEC4B5BD2D6A}</author>
    <author>tc={8CCD57C6-D95D-4611-80E1-54BA11C28BF1}</author>
    <author>tc={E4EBE2CB-A9DA-408A-821B-5C0FEACBF157}</author>
    <author>tc={6BE5B710-3816-4B8C-A1AF-371BB47121AA}</author>
    <author>tc={53ED1307-4BD0-46B0-89BA-19F5AFC24971}</author>
    <author>tc={231113B4-231E-4E20-9A77-117AB831706C}</author>
    <author>tc={082869CF-7F69-494C-8C08-7DC1A4E00161}</author>
    <author>tc={9FE0E966-1872-47FA-8BAD-DAF8492CC3F9}</author>
    <author>tc={064610D5-0513-4123-9D90-7D576E24D6CB}</author>
    <author>tc={12AD5BFD-E26C-4839-AE0A-02993C79AC4D}</author>
    <author>tc={BA01D5C4-B96B-405D-936E-5878652EFAAB}</author>
    <author>tc={10FCA1FE-CFE9-43DC-8888-AE845615E468}</author>
    <author>tc={7D556307-F7E0-4A30-9FAF-8586BC72B4C4}</author>
    <author>tc={2291EE6B-83CC-4C8C-A8D7-10DAB68AFA85}</author>
    <author>tc={2014B8D5-FA3D-4A78-975F-4CE277803295}</author>
    <author>tc={EA5ECCC0-0AFD-4F4E-B6F5-61E5E2FB13A6}</author>
    <author>tc={B252E961-7A92-44D5-BF8C-2D4EFCEB2F97}</author>
    <author>tc={F6BCA1AE-DA53-49D6-A75E-D5ECCD33BE41}</author>
    <author>tc={C97D6184-A7E4-46CB-BC40-4CFFD3F58DFE}</author>
    <author>tc={1ED03C45-13A5-4198-9093-5C5AA0647235}</author>
    <author>tc={34580135-8D40-46EB-8153-AA6FFA705027}</author>
    <author>tc={B60D1720-8327-48CB-BF59-33CB1F013255}</author>
    <author>tc={85DF76E0-5AD8-4213-9809-B90681B84CC5}</author>
    <author>tc={4ADD1B88-37B2-4B2D-A7C2-513D6BFA6D82}</author>
    <author>tc={AA2E5AD0-FC2B-44E4-AB52-389F3125BB2F}</author>
    <author>tc={16C363C0-E593-49A3-831E-39BDE9E2F190}</author>
    <author>tc={B9D74641-BDC0-4808-BBF6-369262ACC244}</author>
    <author>tc={B19D7A70-4DC5-48D9-8D69-5C7CA0845084}</author>
    <author>tc={F241AC8D-0959-4220-A22D-9087FD44F2F3}</author>
    <author>tc={FD84108F-F707-49A6-A15D-AFCA332DF1AC}</author>
    <author>tc={4BEE5743-8B49-4AD8-82DA-8B5EAA1A9C37}</author>
    <author>tc={7EA655B5-FE1A-44E9-9A02-5ADEB6A27479}</author>
    <author>tc={9C6B0FDA-C555-4833-86E9-AED4A95CF359}</author>
    <author>tc={C630C83D-CE15-4E72-A621-E58E48B6B868}</author>
    <author>tc={34E1DCC5-8616-4456-BD39-A3B014762361}</author>
    <author>tc={396BDC4D-1A71-4C4B-BB6F-CA130A0ED55A}</author>
    <author>tc={1C5D98AE-7663-4579-9758-ABDDA0EE9032}</author>
    <author>tc={3BEC9387-93A2-4C90-9493-0FFDECF23915}</author>
    <author>tc={17A4F167-4A0E-47BB-871F-2DCD251F54C6}</author>
    <author>tc={5B05241B-5FE5-491F-8D4D-D0EF140FFAF4}</author>
    <author>tc={6F744B07-B1FF-4CC3-AEAC-BDE5BAEFAA9D}</author>
    <author>tc={C249651F-61F4-4DE7-9844-08902D27561E}</author>
    <author>tc={79AD4C9B-C54C-4A75-A3FB-734A50296CC0}</author>
    <author>tc={64FA8702-BE7C-400E-864C-F2785A838DD4}</author>
    <author>tc={6CBB266D-735B-41AD-BEB9-2D2841B06C6F}</author>
    <author>tc={1FCA4BBC-3762-4A2E-9829-A33578A4ECA4}</author>
    <author>tc={0FE606A1-CAC7-4F28-9B5F-3A139669042F}</author>
    <author>tc={45A71820-3374-456C-8A10-F5E38BBBC88C}</author>
    <author>tc={4B905E88-0121-4B80-90E6-D937E289B48C}</author>
    <author>tc={4295F7DD-E9D9-4CB2-B20F-197D77ABEC0B}</author>
    <author>tc={6C8B31FB-51DD-4CDE-AFD5-E90C45E1E75F}</author>
    <author>tc={6975C2C2-3E8C-49C9-A707-7F94D86F516E}</author>
    <author>tc={83A71B2A-FF5F-4E88-8C84-3734F5E6B0B6}</author>
    <author>tc={2E128222-1A34-4729-AF9E-5EC8E6FD7818}</author>
    <author>tc={EE70EB8D-BE94-430B-8A68-0A83E529B589}</author>
    <author>tc={F1BC73CD-DF79-45F8-BFB0-67E3D65813C4}</author>
    <author>tc={97B36D14-6B5A-4077-9276-5A43D4BF2D96}</author>
    <author>tc={AD58C4A5-8FF6-4D7D-84E3-352A99F3394C}</author>
    <author>tc={5E19F217-9EB6-4951-BCD8-9538BD8344B8}</author>
    <author>tc={221C5D83-0B14-46A7-A35A-7440C39B23EC}</author>
    <author>tc={27006FBF-127F-4545-9D22-F602FEAC8C45}</author>
    <author>tc={CC9CE15A-5FC4-418E-BEBB-B65993736926}</author>
    <author>tc={9860C7CD-00ED-4EE8-A3C3-5A1A14C767BB}</author>
    <author>tc={3DDEADB3-7E1C-45DD-9CF9-20339F4290E8}</author>
    <author>tc={39D1E6BC-6334-4128-A064-562CF2233C9D}</author>
    <author>tc={01ED5685-5586-44CF-81E5-A73DE3C230DE}</author>
    <author>tc={A7CA0517-58EC-4EA8-BD83-DCEA52099C53}</author>
    <author>tc={921BA6E4-0B21-4FC4-A2CB-F079671DE65B}</author>
    <author>tc={487FDBA9-523E-4E06-BC50-47B6B9D3F901}</author>
    <author>tc={E139467B-8C33-4DDD-93FD-92B7DB035C5A}</author>
    <author>tc={A48D936A-8FB4-4D9E-86AF-C2025DF60AE4}</author>
    <author>tc={CCD74041-0A35-4761-9B6A-E05D9E9933E9}</author>
    <author>tc={FF8BB97F-06AB-4DD8-961E-B774B0A0CDA9}</author>
    <author>tc={74578CFC-B587-4615-8A2F-2588734A9CD4}</author>
    <author>tc={99A5D56C-19FE-41F9-BB15-F2B8EFDDF129}</author>
    <author>tc={5BFE4B74-CA9D-425E-B3CE-7D66D9C00AE9}</author>
    <author>tc={EA8048F9-4671-4C8E-8D84-ABE75F74AA35}</author>
    <author>tc={7DA0E7B5-40C0-46EF-8741-38C14F466E39}</author>
    <author>tc={8B0D0C71-1E86-4816-B196-6E2A46D0E88E}</author>
    <author>tc={1905B77E-CACD-4C63-B397-80E65DFABE06}</author>
    <author>tc={63FA2B99-12AC-48F0-A800-1C305B0AB3DF}</author>
    <author>tc={6FAAB0DA-86B2-450C-9CEF-6551F658D580}</author>
    <author>tc={68DC7948-021C-43C1-8DC5-81B0CAED8421}</author>
    <author>tc={07A89C6F-9168-4658-BEA3-B28110179C7B}</author>
    <author>tc={4C106334-8A93-4BBE-8046-4F849DBC4283}</author>
    <author>tc={1D69DF9F-66B8-414D-8840-6B4D031AC515}</author>
    <author>tc={74BD0632-099B-4A23-A83E-6D40CD31DB9B}</author>
    <author>tc={A96BD04A-C7E3-4927-AE4E-E4630C4DEE4F}</author>
    <author>tc={668096DE-EAF6-4A2D-B48C-12F5C89F0A49}</author>
    <author>tc={6B0604B1-190A-4911-AF28-C07ABD490A27}</author>
    <author>tc={D777BB29-36AB-4DDE-B086-A3037E7C48D7}</author>
    <author>tc={06F5103A-DC09-4F7E-AFCC-4F7ABC0ACD11}</author>
    <author>tc={642932E9-FEDB-4204-A787-8A410752D75A}</author>
    <author>tc={ED82D917-92E5-4507-B3D7-F094A26D9559}</author>
    <author>tc={424BC9EA-CE03-42B3-97D4-DCB321874884}</author>
    <author>tc={D7B05779-25F0-4902-8B2A-D1110539AE8C}</author>
    <author>tc={98A932BB-37DE-49C6-A6E8-FF9CDA1B203C}</author>
    <author>tc={8E9A97A2-EF2C-447F-B148-32474C73EFFF}</author>
    <author>tc={ABD1619A-65E4-4BE3-98C0-85FB49FF280B}</author>
    <author>tc={C7E227ED-1EC6-41EB-B57F-7A9BF9F00180}</author>
    <author>tc={CE6C9F50-EAC4-454C-83C6-F46E3B07BBCB}</author>
    <author>tc={01124EA7-060C-4342-9F9B-F1CE45EBBADA}</author>
    <author>tc={7F57D15E-BE1C-4E0A-9D5A-5DB7E2D642B2}</author>
    <author>tc={E1D8B921-E65A-4401-9B76-285461FC3A11}</author>
    <author>tc={5C5312BC-77A9-4050-B8D1-191C1EA37BEC}</author>
    <author>tc={2DF5C98C-A08F-42E1-8FCD-1590DFDF9CB8}</author>
    <author>tc={FD5BBEB1-EB30-4CCF-B25C-447F78BB0AC8}</author>
    <author>tc={9C2EAA8B-FFA8-4D7C-8486-A328B893D41C}</author>
    <author>tc={A5735497-CF56-45D5-8ACC-A57737A91A94}</author>
    <author>tc={C1ED59CC-536F-483E-A87E-BD93802DB69C}</author>
    <author>tc={D5F5B70B-B086-41B3-9BCF-BB5D9F073409}</author>
    <author>tc={725A5F72-C2AB-4D55-92E7-B99DB4C41147}</author>
    <author>tc={FAC7D7A1-1EA9-4031-87DE-4DB2DAE593D0}</author>
    <author>tc={3DB41CA0-15B6-4FA1-8D9B-EEB53AB84038}</author>
    <author>tc={B294378F-9199-4716-8293-019C1F1DFA60}</author>
    <author>tc={861BDA6C-E8BD-4662-90DF-277A8E438373}</author>
    <author>tc={D9E0C40F-84D8-4A92-996C-153C28881053}</author>
    <author>tc={E2F3A5CF-B593-4A2F-A9A2-1C3D247A5A9B}</author>
    <author>tc={A2218E78-5968-433C-ABD7-00574A7A5EB8}</author>
    <author>tc={F720869A-D735-4F0F-B6B3-D1132E738BF9}</author>
    <author>tc={1F77608B-CD49-49F8-A468-96AFE043516A}</author>
    <author>tc={D0838DD0-677A-4BBF-88DD-51ED4B28AE04}</author>
    <author>tc={BA035F81-F8F6-4859-980F-3E78836329E7}</author>
    <author>tc={74D7DB5C-4CD9-4D40-86B7-821FC9D97A00}</author>
    <author>tc={44CF33D1-57F0-4177-8E30-5021617E335D}</author>
    <author>tc={208FF0F4-1F36-4D3D-92E9-3A7318221B5D}</author>
    <author>tc={8B4540CE-FB97-4B6E-A602-ECFC5CCEEA2F}</author>
    <author>tc={BCB443E4-92EB-4268-A08C-C10824955291}</author>
    <author>tc={08B296E1-0B0E-45F1-A9AE-33D474C64362}</author>
    <author>tc={F85018DD-FCD0-47E2-96C0-1B9D25F41A53}</author>
    <author>tc={BC59E6B3-AA85-4B97-96C6-44DC28A04EF1}</author>
    <author>tc={5BF46841-E0A2-4803-8FAE-05FD09F48E02}</author>
    <author>tc={7FF5E0EA-D5DF-4AB4-B1BC-198A77A90D50}</author>
    <author>tc={689424EE-B451-48E1-BDA1-E49F17549F8B}</author>
    <author>tc={4CB3AE49-0AEE-431F-9D58-F5B6CDF38B48}</author>
    <author>tc={5B816A53-B3CB-4865-8029-A6A45DA00112}</author>
    <author>tc={BC266DF3-05F1-4A52-B31F-3F1E84B67BB4}</author>
    <author>tc={B89408CC-90DF-4F35-8748-EC07A3EBD2E1}</author>
    <author>tc={283076D3-E510-47D1-86C4-1DC35099B5FE}</author>
    <author>tc={D270D376-3A24-43EE-B2AD-D9DA17F98ED6}</author>
    <author>tc={6D452C67-37F6-4518-9135-F1BAE2B397C2}</author>
    <author>tc={94CFABCB-D319-4284-8B7E-A023145765B9}</author>
    <author>tc={ADD08703-C833-491E-B30F-76CE9127CB55}</author>
    <author>tc={F9456EFA-1645-445C-A837-9EF174D1B987}</author>
    <author>tc={57C662D4-BA4C-499A-B31D-C4FBC8BAF3A1}</author>
    <author>tc={98347242-8E0C-4D31-AD89-81C6D88E31FA}</author>
    <author>tc={54498D17-5F4F-4161-BC18-727C99A6C040}</author>
    <author>tc={EC0F5368-98F9-4014-93E4-79A41177515E}</author>
    <author>tc={ACA26CEE-235E-4212-BAE0-E7DEDF207941}</author>
    <author>tc={98BE1ABA-A878-4336-B05F-50C6B392296F}</author>
    <author>tc={A2C1CEAC-6461-45CA-A627-56FA292498E4}</author>
    <author>tc={CEB95490-18B6-4C90-AFA0-B26C075A5156}</author>
    <author>tc={941C541A-AF92-4CD0-8DCE-CBB7334008C7}</author>
    <author>tc={4838CCD8-8849-4A3D-A001-9AE90914E20C}</author>
    <author>tc={4A92250D-6A39-4A37-9630-10EE5EDAD559}</author>
    <author>tc={476C1DA6-7475-45D7-8457-E6281735312A}</author>
    <author>tc={16170881-EB56-42C7-A0B7-F3554C7704B5}</author>
    <author>tc={1275C7DB-FE17-4842-BDC0-4888FB16946F}</author>
    <author>tc={1E85E6A9-0025-4D26-8849-4B4B747F5070}</author>
    <author>tc={74D627D5-C615-4D27-B3AC-20050D1CB058}</author>
    <author>tc={EB842ED9-9D9B-4A12-9D13-07440610DCB1}</author>
    <author>tc={914A5624-546C-4E64-9ED7-F5976259AE22}</author>
    <author>tc={7AD10CD0-2225-4894-A5AC-D5AA2E474982}</author>
    <author>tc={45B3E513-CD5D-48B9-BC53-550EB44710D8}</author>
    <author>tc={BE913830-744C-4C8D-959F-5C1B91768C56}</author>
    <author>tc={A46F5CFA-094B-4DB6-9720-6276DC83CDCD}</author>
    <author>tc={9FC4DA1E-F116-4C9D-A548-5A7B8C384440}</author>
    <author>tc={599232AC-124E-410E-9A95-B883C605DEB1}</author>
    <author>tc={17FE403D-43AF-46C3-80C0-D598860D60D6}</author>
    <author>tc={7BD0E66F-5CF2-4EE2-ABA5-05031C373BF6}</author>
    <author>tc={8D87C042-C0DF-45B4-A508-7D92009580B2}</author>
    <author>tc={BDF2E699-2F49-444D-A204-01013B2EAC25}</author>
    <author>tc={497D7FD1-1BC7-45FA-ABBA-F534589B3747}</author>
    <author>tc={A1B9080A-9DFE-46CD-BCA0-CEB79F309BA7}</author>
    <author>tc={38CDB6AA-431C-4F35-BA85-092DF3568A7B}</author>
    <author>tc={C14CC959-79FA-4430-915C-7494392B79D9}</author>
    <author>tc={BFE34CF6-E0FA-4227-961C-FDEFEC91D2DB}</author>
    <author>tc={41FF9AF4-FFFA-4CF3-BE02-E3DD168A9A3D}</author>
    <author>tc={D7ACC7F4-6B7C-4815-A20F-2BE5FA4D5B14}</author>
    <author>tc={069F1B3E-359F-49F3-8E40-702AEEB7C854}</author>
    <author>tc={34B22EAF-841C-4025-93C8-F24F21A769BB}</author>
    <author>tc={F9DCD168-C45E-4950-898E-14989C504EE2}</author>
    <author>tc={626553DF-580B-4188-95EC-ABE325E19AFB}</author>
    <author>tc={8B59D676-453B-4557-9A1B-5B3DBE0CBDFB}</author>
    <author>tc={C93DC220-BDB2-4791-B340-480212B5358A}</author>
    <author>tc={0EB682FC-B4B1-4E8E-9EEF-9C97617988C7}</author>
    <author>tc={EF947661-C9EE-4DF0-A31F-48D5AFCCC7C7}</author>
    <author>tc={1BA878CF-C633-4F36-A316-538F0B2A598D}</author>
    <author>tc={47B13146-13B9-4507-8CA6-0E4AD8A42291}</author>
    <author>tc={D231AF95-E503-42A0-977A-40E614082A3C}</author>
    <author>tc={8E2FCFBB-E4C2-4E74-8038-A45EDFC929C8}</author>
    <author>tc={D5A8A47E-844E-41C6-9563-490F98E7EDBF}</author>
    <author>tc={FBE074A0-99E6-4512-AC07-8E9BFD22C697}</author>
    <author>tc={C240D080-85D1-4C95-B3AB-B1DF9DE15210}</author>
    <author>tc={724341FF-77FE-47A4-B847-05229C0DD0F6}</author>
    <author>tc={C02BBA06-5118-4D35-AD3E-BEB92D8B8000}</author>
    <author>tc={5735EE50-84FC-4828-8408-88F0193A86B6}</author>
    <author>tc={673D9187-5825-4330-AB0B-67D2CE738CE3}</author>
    <author>tc={008665E0-C062-44E0-AEBA-8157739924BF}</author>
    <author>tc={1D8B13AC-E2AD-4DA0-A4AD-5064C488225F}</author>
    <author>tc={71689D76-002B-4567-94B7-E61FE97F67FF}</author>
    <author>tc={1988D78B-17AA-4F2A-9C13-FF765D16D74A}</author>
    <author>tc={2116E5D8-118C-45DB-B317-B14BF9D2C16C}</author>
    <author>tc={9E95FEC7-BEBE-45AA-B1EB-67C416F1BB8E}</author>
    <author>tc={D04C90B2-CC9C-4BCC-80EC-3CD7DFB4A752}</author>
    <author>tc={3F07BF10-F287-49EA-9618-C7FDD3F4B5E7}</author>
    <author>tc={C490CC5A-CAE1-4FE6-91EA-ADD1D604E0A3}</author>
    <author>tc={38EF9F9B-B7CF-4DC1-957C-CEB3689DBD1A}</author>
    <author>tc={38459738-D805-40D4-8DC0-105C8122E93D}</author>
    <author>tc={024629BB-63A7-447B-94C5-8DCC0F59052E}</author>
    <author>tc={E16951CF-6D33-404A-9750-ACF34C331B2D}</author>
    <author>tc={D9F8E6B7-D119-457B-A792-3CD119636310}</author>
    <author>tc={7354853E-F46D-4D85-9BEB-D7D1B2E5D64A}</author>
    <author>tc={B619B4FE-4473-4DBA-9328-3E73A6885EDE}</author>
    <author>tc={F17ED5F1-4B3D-477E-9B2F-AB9F2D63FEA6}</author>
    <author>tc={F9649571-0BAB-499B-B429-A27C7D57815B}</author>
    <author>tc={119C34DF-A06C-41DF-93F4-76CA1F403C3E}</author>
    <author>tc={41345F3E-8D6E-474D-8ACC-6F2894D82BF7}</author>
    <author>tc={78C32603-BB1F-4701-8755-9FB2990CAD8D}</author>
    <author>tc={71BC379D-47FB-4773-A0AF-C6E5265B3C8A}</author>
    <author>tc={278E5190-EA17-47A5-AE30-974773BB263D}</author>
    <author>tc={EA717E2A-37AB-409F-9D6A-7895010B461E}</author>
    <author>tc={6BE1FC2E-2354-4A53-A811-FA69D68A24AF}</author>
    <author>tc={3E1421B7-01A2-4636-B697-6BFD663725F2}</author>
    <author>tc={779AAFAD-AEE8-4232-9928-4E7B246D6B1F}</author>
    <author>tc={27D95F93-EBCB-43F3-B480-687D9F39CAAA}</author>
    <author>tc={AE669807-6242-405B-B1AF-B1B3BCB34310}</author>
    <author>tc={3F5C737D-B7B6-4F76-A797-0E0E1F679FB1}</author>
    <author>tc={A9D09184-5FBA-43D8-AC1E-6B756AFDC748}</author>
    <author>tc={A353495A-DA05-43DB-8112-69C0ED2B9636}</author>
    <author>tc={B663ABEA-3154-4F4A-B07E-068220737741}</author>
    <author>tc={93A32729-6A8A-4193-8F06-E7FA899292B8}</author>
    <author>tc={76247962-8D42-4A32-8107-7900FB31135B}</author>
    <author>tc={31C9600D-1883-48CB-B3F4-EF36A0F0D30F}</author>
    <author>tc={43FF1835-334D-4979-A615-94B793A30801}</author>
    <author>tc={BFC9131C-DC18-47F5-AFF6-34287264FEF7}</author>
    <author>tc={AA7C7387-2D10-423A-BC21-73732DD01808}</author>
    <author>tc={F08EB9A0-F255-4050-9B58-F585521FAF3D}</author>
    <author>tc={A11B4877-D58F-4742-AA52-F76DBE90B7CE}</author>
    <author>tc={4691DF4A-F269-4F74-9C46-887E058BF02C}</author>
    <author>tc={1A4D3D04-535E-4068-84C8-1A825E9349DE}</author>
    <author>tc={D774E7B5-AD79-41B0-9BBB-08AAE2F27138}</author>
    <author>tc={89CD87F7-15EB-4388-B21E-7BF5FD0E10DE}</author>
    <author>tc={E19B2E14-92D4-4701-A3BA-FBAB04D3706B}</author>
    <author>tc={9ECCFC42-C2B5-43F1-BAEB-67165E287184}</author>
    <author>tc={901671AC-60D9-4B9F-B407-B4F9F8E8037B}</author>
    <author>tc={4786F266-1DB1-47FB-8B1E-48A5F4D36F51}</author>
    <author>tc={05E21335-49C5-41CD-AE92-97006D04DBA5}</author>
    <author>tc={87AF1A1B-BF15-43AF-9E40-99336BE6D938}</author>
    <author>tc={3EFD41E0-0B9E-4F6A-BE58-61A8C2C1974E}</author>
    <author>tc={CE3EF833-7AFA-47FC-BAD0-30CF74A0C776}</author>
    <author>tc={C9B7302B-3CE2-4E39-8787-E70A9D3AC2AB}</author>
    <author>tc={7C69FB67-A926-4B36-BD2E-60C53A1D5660}</author>
    <author>tc={4E950117-1C36-47E6-AB53-A8FBB1F4A3B2}</author>
    <author>tc={AD9B4C94-BF69-48FD-8670-E1EE68ADF83B}</author>
    <author>tc={4FC196F8-4D69-48BA-B944-225D8742CB4F}</author>
    <author>tc={1EC9FA88-E549-4A30-A980-1F0AC2886875}</author>
    <author>tc={74C89DCD-937C-4EE2-8CDA-7082085DF9ED}</author>
    <author>tc={6A93CBEC-A71E-489D-893B-258B623EAC45}</author>
    <author>tc={5086593F-0930-473B-AF50-F853FFCB21AE}</author>
    <author>tc={9BE2E27F-F563-4067-8B22-DE6BD540D846}</author>
    <author>tc={61DA58F1-8EA8-40CA-AC73-E82D3428DF0C}</author>
    <author>tc={4DFDE97D-9000-4210-A1C4-8E23A2A85792}</author>
    <author>tc={2ACC87DE-DDBA-426C-8D7F-B2E97EB310C9}</author>
    <author>tc={DF254517-31A2-4636-B495-E43EDCEC09DC}</author>
    <author>tc={7B0ED94C-701D-4E93-BCA1-AE2F9776F283}</author>
    <author>tc={C8A8EACB-CDEC-4F0C-8AC0-43432B0325FC}</author>
    <author>tc={0D137625-1B4F-4072-9390-E42B82DD9FB0}</author>
    <author>tc={441252DF-BCFD-47E8-B9D1-350EDF564112}</author>
    <author>tc={8A519099-5516-40C6-972E-EB81B1A9B451}</author>
    <author>tc={079AEDC0-DFF2-440F-ABD0-C51C454B6949}</author>
    <author>tc={C196697F-0B19-4BD2-827A-9DCCA36121B2}</author>
    <author>tc={7449ECC0-DF3D-48B0-AD35-54372C2B8B67}</author>
    <author>tc={5ADBE10D-FA12-4C5E-A485-ADC9DDECF532}</author>
    <author>tc={9469D96F-F9D1-4ADA-8EF8-97C9D1FC97C8}</author>
    <author>tc={0E3F9BD6-440D-4645-A298-F592F97746AE}</author>
    <author>tc={5A2BE91B-2B99-4DEB-86A3-06C888F3D42D}</author>
    <author>tc={3AF05D2C-71F9-467F-B866-AA18108F30E0}</author>
    <author>tc={D5C142A7-FF03-42D6-B34D-372F09A8CC8F}</author>
    <author>tc={1C468514-1529-48C7-84E0-0DFD84B34EE6}</author>
    <author>tc={6B88597B-56A6-445E-B204-92A52612EF39}</author>
    <author>tc={A180F707-0439-4718-97E9-0C3C2230CC98}</author>
    <author>tc={2C2790E8-6B68-4484-9B62-F3035B1CB9D0}</author>
    <author>tc={D1E63E6C-09A4-415A-8647-6F5E77AE7268}</author>
    <author>tc={D57B8E1A-5397-441F-A8CA-7EB92DE5461E}</author>
    <author>tc={1BCBF4BD-83C5-430E-86E5-A3DFED54CA99}</author>
    <author>tc={0650C2CF-E83C-4052-8173-A2773D1528D9}</author>
    <author>tc={F7C62B3A-1C70-4C00-BB60-95F8B45F12F8}</author>
    <author>tc={ADDD63E2-4A7E-4967-B0C6-6E62018216D9}</author>
    <author>tc={C568D690-0CA3-4557-A5E9-6DC257AFEC3B}</author>
    <author>tc={693167E9-F228-4286-ABAC-B4FE890C6637}</author>
    <author>tc={2767F645-EA87-4CC3-8F7B-9AE0FD84AADF}</author>
    <author>tc={22CA2666-4E70-4E62-8AFD-6AECE19F1B66}</author>
    <author>tc={8144C8B1-7F05-4F1B-A569-9C8E0E096F9C}</author>
    <author>tc={2C864C64-829F-4916-8E81-03FE4AD6138B}</author>
    <author>tc={03A1BDC3-F633-4A3C-9D97-5FC6670D6C38}</author>
    <author>tc={E6501520-9C81-423A-A820-01B7C935A1C4}</author>
    <author>tc={EFE097E8-5D77-4E95-B594-7C0885966D3C}</author>
    <author>tc={590F5626-D3E5-4200-B834-6E49B48376A3}</author>
    <author>tc={A7CBBC38-03DC-4FD9-A68E-2D2EDA265FC2}</author>
    <author>tc={2DD9F18B-FB5A-43A2-B520-96110264824E}</author>
    <author>tc={A61A0C05-B566-4CA8-9B49-2BC2B523A10B}</author>
    <author>tc={D5BDCFA1-8D87-4FB1-98BE-213C2D261654}</author>
    <author>tc={C028BAEC-5B8B-423D-BAC9-C2C90F3F02D2}</author>
    <author>tc={DE5DC61C-59A7-4833-8A11-9CF4CCF7222A}</author>
    <author>tc={0933B8CC-BF08-4F6A-981E-EA252EBEE85A}</author>
    <author>tc={40AA1EB8-A605-4DBD-9146-8D3C86EAB184}</author>
    <author>tc={837A7DC7-12C7-47C1-8F0C-5025F64821CA}</author>
    <author>tc={75261232-E715-471C-B8F5-60773D02CF6A}</author>
    <author>tc={9B2139E0-9DAA-4B5F-A9A4-05022D222C5D}</author>
    <author>tc={BC68584B-37AF-4F5F-AB52-DEA16E184A83}</author>
    <author>tc={F380B978-BAA0-4B44-BE4C-8B5FD43C0CCD}</author>
    <author>tc={CF90048F-F67D-4F22-A375-6FE63F7C9708}</author>
    <author>tc={A36BE78F-B235-4847-80C7-0777A61B86BA}</author>
    <author>tc={8C1CD704-2834-4E4C-8A6E-49D3DB20FF47}</author>
    <author>tc={D33DB6F8-3476-4D4C-BE66-3D62D31192E0}</author>
    <author>tc={F386D213-236A-42B9-B178-F97BA431D0BA}</author>
    <author>tc={82FBB71A-79D2-4A7E-839B-A346497033ED}</author>
    <author>tc={702BC106-EFEB-4CF4-8F39-2C6FDD065D0B}</author>
    <author>tc={EF72D373-9FF8-46FB-AB5C-F18321B2BC57}</author>
    <author>tc={2A6D9740-B267-43B8-B1CC-B3A034D83E13}</author>
    <author>tc={EB64007A-F4F3-4081-904D-B95B1C06DE7F}</author>
    <author>tc={DE60BAB1-9EFC-40FD-A86D-A2E0A7E276C3}</author>
    <author>tc={7F27AB92-8A17-4F52-AB6F-A23BE118F0CD}</author>
    <author>tc={FE5BF903-320D-4199-BE25-E90C3C0D454C}</author>
    <author>tc={F9530732-2C9D-44E6-BF31-1936BCA14CF7}</author>
    <author>tc={E48531B3-5CCA-4386-98B6-7B65B83D5DD9}</author>
    <author>tc={6566244B-2175-47D6-8226-D86284DAFE2C}</author>
    <author>tc={1E6A46D4-2159-4A99-B001-6535FBBF5B89}</author>
    <author>tc={AA95B1CB-9440-4C78-BC6B-56622E2CBB8D}</author>
    <author>tc={DE39020E-54C7-4427-BEB1-18B9A9B23DCE}</author>
    <author>tc={9A75448A-138B-437C-9056-0004333B0DC9}</author>
    <author>tc={739F9A32-48A0-4CF9-A077-1C5EC4060981}</author>
    <author>tc={1D3FD6DF-87B9-4B78-8607-0FBE334C6FB1}</author>
    <author>tc={B35C5DBF-3990-4975-8BA9-5BEBFC5B0C97}</author>
    <author>tc={14B66B3F-E766-4F9B-9DCF-D8811FF65D6A}</author>
    <author>tc={7DF79DB1-391C-4979-91F1-5C891A59D3BA}</author>
    <author>tc={DAEFE71C-9C12-4F3F-8D2A-8BA65AEA1C64}</author>
    <author>tc={06D08E53-053C-4CFF-B895-A30B4FB4FA5A}</author>
    <author>tc={E72A6504-FCF6-4740-862B-CC1D1A27564E}</author>
    <author>tc={CECECAB1-FD6B-4CFF-B9FD-8A77495B9B80}</author>
    <author>tc={E7EE7B3D-C95F-4127-B432-BB5998EB6EA4}</author>
    <author>tc={03EC7948-C25C-4CB8-B442-D8577825A5C6}</author>
    <author>tc={3AF43723-6701-44FD-B669-85F978A32318}</author>
    <author>tc={1DA2A7D8-5FDF-4FD9-801E-C54CB0D4BD67}</author>
    <author>tc={8A41FC09-77B0-4277-8840-59F3371FC516}</author>
    <author>tc={C321ED22-C017-4342-A80D-41702EDD8B43}</author>
    <author>tc={4649E451-E7CC-48A4-A55F-A344FB776E2F}</author>
    <author>tc={753B5C16-AB5C-4B27-9AD5-001F753A7BE3}</author>
    <author>tc={DA29D83E-CF17-4B1A-9970-BD0AD7975DC2}</author>
    <author>tc={F60452F7-6F68-470D-93AF-CBC01CEE7A64}</author>
    <author>tc={629DCC8A-813D-4338-93FB-05D8DEED849B}</author>
    <author>tc={57EBB6A9-37AB-47F6-B74A-980A6036BD89}</author>
    <author>tc={75579467-198B-46DC-9D6E-E4865FA99E40}</author>
    <author>tc={A99FCA90-B448-4090-86C2-709888DCA10C}</author>
    <author>tc={61A5D8B9-F744-4932-9CCB-AB07D984FCC6}</author>
    <author>tc={7C701988-4337-45C1-8C5B-8FB0905AE5FD}</author>
    <author>tc={30001F59-2F0E-4319-8560-AC2C6C41F227}</author>
    <author>tc={29AB70FC-B699-48DE-A590-033C64A64E15}</author>
    <author>tc={6EB01C6F-6171-456A-A54E-B8C2FEC0FFFF}</author>
    <author>tc={688926B4-4A05-45B4-97D1-2C257CA370D6}</author>
    <author>tc={BDF07949-23ED-46A5-8059-0789F5E689CA}</author>
    <author>tc={10F9C97D-50EE-4098-9784-B0021503BD9C}</author>
    <author>tc={63B255EF-E380-4A06-80A8-2207AE2F9BA1}</author>
    <author>tc={86C578D8-5934-491D-B567-E1469910B234}</author>
    <author>tc={4CD45DE0-C753-4276-8786-D60C91B78E38}</author>
    <author>tc={989E5753-E72D-4BB9-B26D-A17095939939}</author>
    <author>tc={2685DF9D-BE65-47EA-AA48-CEF648BE5051}</author>
    <author>tc={0D6ABC13-ADE8-439A-85BC-C3929EDC9A39}</author>
    <author>tc={CC5CA08B-51DA-4C50-BFDC-A142D9307244}</author>
    <author>tc={8F5CF139-8454-4955-BF35-85E1614234F9}</author>
    <author>tc={392725BF-8354-4A72-BFB6-B70611486710}</author>
    <author>tc={643582AC-E221-4DE9-8D8D-CDE03346A5E3}</author>
    <author>tc={8627BB6E-96C9-49F3-B18C-A4DA73A81BF2}</author>
    <author>tc={85805DE6-243B-45AB-9881-D567D5215B59}</author>
    <author>tc={B606A802-FBF9-486E-80D7-1B7924688049}</author>
    <author>tc={4F55A36D-4E3D-44D7-AFBD-5AFF644F9F0B}</author>
    <author>tc={FBC974DE-3472-4A9E-AF5D-B3CE5294A33C}</author>
    <author>tc={C1A47CDA-E6AE-4775-A99B-6621CFE4C4B2}</author>
    <author>tc={AF0AC800-3E26-4070-8EDE-CA9D8BC576F6}</author>
    <author>tc={F188A787-95F6-4C48-B514-863EFC44B9D5}</author>
    <author>tc={353D3182-BE43-4E24-A89A-C734B39A402A}</author>
    <author>tc={E9F9B89B-E309-46A8-A964-24D407FF16C7}</author>
    <author>tc={8B917FC4-4AC4-49A4-9B93-ECAB8AEEEEA7}</author>
    <author>tc={B77A3E0E-71D0-4C87-8505-CF4A13D8C280}</author>
    <author>tc={E88E7533-19E0-44EE-A0CB-F1B655C660EC}</author>
    <author>tc={7016CA6A-B390-472A-8020-1C14EFFEAAF0}</author>
    <author>tc={87584123-B460-44A3-93CE-CC99F8BB25C1}</author>
    <author>tc={A304B18C-F218-4A6C-B89E-A790E3DF6331}</author>
    <author>tc={AD2149B3-88E7-4DF5-A7DE-917CB4A2B3B9}</author>
    <author>tc={5C983A73-C5ED-4F9F-B33B-5FC80EDD24DA}</author>
    <author>tc={127E9C04-06B5-47B8-8CC4-F752520D9258}</author>
    <author>tc={1FA6CE38-6E83-483E-A6AA-4CED00D8F7C6}</author>
    <author>tc={7D334CC5-40C4-4B8E-A2A7-A8475703082C}</author>
    <author>tc={49D24FB9-431C-4C19-9CB7-39AACEAEFC35}</author>
    <author>tc={D84283CD-A6D3-452A-82B2-01E0661470D0}</author>
    <author>tc={8444BDFE-45CB-4696-835D-EDB6962D7EAA}</author>
    <author>tc={E6EF73CA-5D02-4C5A-B464-E21C994331BA}</author>
    <author>tc={4FA9C666-7D44-4F21-B129-BC0BBE1FF40A}</author>
    <author>tc={66979A1A-F113-4107-9BAF-F956B7ECD796}</author>
    <author>tc={A9483054-BD6B-4C86-9E19-F6BB25AA2216}</author>
    <author>tc={AC0253D5-1210-45E4-99BB-9030C4014FC7}</author>
    <author>tc={368BADB0-751D-4B5D-ACFC-99EB1E3E908A}</author>
    <author>tc={79F75ADD-7C5D-4AE3-B9FF-D519186F1930}</author>
    <author>tc={71E1D5AB-1259-4FFF-ADED-491B8E072AB3}</author>
    <author>tc={5999A22A-C6CE-44F2-A650-117923842965}</author>
    <author>tc={AF36201E-C386-43BF-9D60-2F37B45ED5B8}</author>
    <author>tc={519C6AFA-6383-47C2-8E7F-9D46601F1C14}</author>
    <author>tc={B7C27C59-A493-4983-BC6D-C0B38F0FA58F}</author>
    <author>tc={158F2E18-47FE-4B78-B4B5-59DBACD38F16}</author>
    <author>tc={62FF2B00-0F96-4F3A-B3C7-1F45394EC9DA}</author>
    <author>tc={382D4D8E-66D8-4DF7-8732-2342ADCFABDB}</author>
    <author>tc={65E4A119-F9F5-4557-A6CE-B0D3E7A68BFE}</author>
    <author>tc={BA58ACF3-6A76-4A63-BC48-32BE75B1EED0}</author>
    <author>tc={92E5433A-B14B-4CF5-97C5-413D75C92923}</author>
    <author>tc={3B12060E-3B29-4AD1-892B-763DA9999646}</author>
    <author>tc={93C69B46-134E-4250-A89B-E8EFEE8B43CE}</author>
    <author>tc={AE701669-D171-4FAB-A9C5-25E6ADAC552D}</author>
    <author>tc={16F3A23C-B88F-4CE9-AAF6-8E1D6E4A3B08}</author>
    <author>tc={BC90EDA2-F2C9-483F-AE29-102CA7CE10C5}</author>
    <author>tc={4CBC9900-F3F3-44D1-9297-58D539B95000}</author>
    <author>tc={105FD75D-6857-48F7-B382-621ED54DE72B}</author>
    <author>tc={00FB9588-836D-4A57-A5A1-31EB8C693FF0}</author>
    <author>tc={17A2257C-E465-49C9-A92D-A1F58A959CCD}</author>
    <author>tc={57C3752E-1401-410D-BBDC-B3B2BFC899CF}</author>
    <author>tc={43B5F097-A797-4F81-B55F-B57CF571C68A}</author>
    <author>tc={73EE8F84-0E08-4049-B740-68AE14348E22}</author>
    <author>tc={32676EF7-D9E4-49D3-BA08-27A862B8B849}</author>
    <author>tc={90A5FA07-9DF2-4320-9ADD-8C65B1ACA8EB}</author>
    <author>tc={D4C19860-6D6B-497A-A5DA-57DD17BDEEA9}</author>
    <author>tc={573010B1-805E-4A6C-A9FF-605E3BEE5148}</author>
    <author>tc={8E0B8B1B-5A11-448C-9379-705C8E592661}</author>
    <author>tc={48471D0E-B51F-4D35-8786-F099B68BE0CF}</author>
    <author>tc={3E179CFD-59E5-4CFE-AA40-228AB3AB4AD7}</author>
    <author>tc={5E01F40D-E481-4BF7-85ED-C15C3101FB18}</author>
    <author>tc={62116317-F71E-4DFE-A0CF-0E710CAE7E49}</author>
    <author>tc={F8DA6C57-78B5-4293-9C80-964788E9D162}</author>
    <author>tc={8457E35D-4652-4E81-990D-1476342F5686}</author>
    <author>tc={30EE0A1B-3D0F-4EB0-BA0D-FF1E70A3C0FE}</author>
    <author>tc={EA9899D0-9AB5-4236-84C1-0459674BE0FF}</author>
    <author>tc={4BFAF62E-C035-45BA-A013-E46FFE902266}</author>
    <author>tc={30FE818F-FC79-42C4-BFBF-36A95321B542}</author>
    <author>tc={E33D7671-9F78-451A-8F44-B0CC7E156C96}</author>
    <author>tc={0311959F-492B-4B96-A596-6A7446DEF029}</author>
    <author>tc={1E057F32-0A62-4CC6-9101-ADDC65B3C888}</author>
    <author>tc={E6C2C889-07A1-42BE-B9F2-322AC793DE4E}</author>
    <author>tc={F764EFD4-63EF-4801-B77A-1EDF6A21F43F}</author>
    <author>tc={EECB2DCB-79A3-44CF-8440-629538131F9E}</author>
    <author>tc={52FC7B48-8941-4034-8D0A-AFAA64BBCA4F}</author>
    <author>tc={847E2252-411B-415E-9BA3-E51EC1484FBD}</author>
    <author>tc={64549081-EB6F-406C-809A-E90752CC4A44}</author>
    <author>tc={A17CBD76-F82D-44CC-92FF-126238A08300}</author>
    <author>tc={34F09BDB-9C71-4D0E-BD55-F88593C0E0B1}</author>
    <author>tc={6CC1B850-80AD-4CD3-9797-97436B68BE57}</author>
    <author>tc={AE7D0897-EBD5-42CD-8739-DF0963C5A42F}</author>
    <author>tc={DBE8454A-4CA6-4CC0-8D3E-AB6A4646990C}</author>
    <author>tc={DED78E75-F1CD-4C35-897C-D9D39C8EC0DF}</author>
    <author>tc={16B327E8-8197-47F0-B2E8-B1B9829F18B4}</author>
    <author>tc={03D9AD96-4B0A-4500-AB38-4C1089E1EEA1}</author>
    <author>tc={2687B953-8C19-41C7-87B3-3F80909A3185}</author>
    <author>tc={35781939-217E-42B5-AD91-E0EBDCC30289}</author>
    <author>tc={DC932A38-C95F-47E2-9EDC-B76B82E15F98}</author>
    <author>tc={9E80A834-5197-4C34-BB77-DCB29D3F235F}</author>
    <author>tc={E702D8F5-C932-49A9-BDE3-9026E4394E5B}</author>
    <author>tc={CC39DACA-D895-45B1-8FA7-729C2532BB1D}</author>
    <author>tc={428D1646-8FBC-4576-95DE-79891C363773}</author>
    <author>tc={56C0EA0B-5796-4632-B9E1-DE313BFF57A0}</author>
    <author>tc={78C7D3C0-9059-427D-A882-E54042429DBF}</author>
    <author>tc={3AE59822-D428-47DB-A969-FE6B521A59CB}</author>
    <author>tc={904F4335-8CD6-40BD-ADB1-991B9D61C097}</author>
    <author>tc={4587A2EB-72B6-48B4-BEEA-9BC9B958482C}</author>
    <author>tc={C930E3A3-67F3-46A7-830E-F58AC833B4F4}</author>
    <author>tc={90AF3031-AD0A-4775-B0E1-8C6F3D2E560C}</author>
    <author>tc={57740B26-31CB-4203-A57C-6D226BD750F3}</author>
    <author>tc={0FCA0B4C-45D9-4608-AF71-00DE02BDB56B}</author>
    <author>tc={ED3E5891-78A6-4028-A811-3D21F1C5E1BC}</author>
    <author>tc={0DBE1F67-9D01-47EF-A0AF-1AA290449D5F}</author>
    <author>tc={7B21A412-E993-46DC-A346-A745043EFBC8}</author>
    <author>tc={81199F8A-63CB-4E70-BCA4-D7C695814679}</author>
    <author>tc={88650F19-0528-4B0E-ABCD-5B92783AA091}</author>
    <author>tc={D3564604-A973-4F96-A821-F1F772FDBD4F}</author>
    <author>tc={45C75B8A-CD24-4F40-AB55-467CE830656F}</author>
    <author>tc={125CCAE1-EF00-42C1-A4E4-82EACAD5C667}</author>
    <author>tc={96581BED-F87C-42FC-8A51-015753A55BB3}</author>
    <author>tc={212BEEE1-9447-41E4-B39D-37D7ACD717E1}</author>
    <author>tc={A64AA737-B0BF-4819-8C82-4BC45B679343}</author>
    <author>tc={87E9E0B9-9250-4D2B-9FFB-5ACCE2011000}</author>
    <author>tc={C9DE7AE3-F95B-4853-BBA5-BB1A5752DF0C}</author>
    <author>tc={DC591F1E-53FE-4954-AC57-1FD0B4BD8046}</author>
    <author>tc={FA827CCC-5635-4736-88F4-ACC580820832}</author>
    <author>tc={535A6545-B9E3-4223-80A5-5BFB0543B348}</author>
    <author>tc={16BA435E-0997-4958-BE0E-F9575B6FA904}</author>
    <author>tc={25DFD7FA-3CC0-44CB-9F80-C7A22BE8AC0E}</author>
    <author>tc={C2D87775-BE8D-4A50-A763-CD33D5D12305}</author>
    <author>tc={9D641768-05EA-469C-AB08-6B7C469AE8F8}</author>
    <author>tc={538BEA87-3DBF-45E0-9125-E3E6F4CFF2C2}</author>
    <author>tc={7AAA70D2-B5E1-464D-B911-FD4BDD8AD3A4}</author>
    <author>tc={06AAFBA8-CACA-4D81-80E7-FFF960B4ACBE}</author>
    <author>tc={49AEC69F-7AB8-4C03-B8F4-824D184E3CA8}</author>
    <author>tc={322B7634-6258-4A9A-8726-CA1103BB425B}</author>
    <author>tc={F21E79A5-1029-4AD0-BB82-F7AE5CCAA96E}</author>
    <author>tc={142F56C6-9A16-4EB3-B010-D0968C4472E6}</author>
    <author>tc={25625FA3-6BB8-4CCA-9C2F-05CC4DB4C175}</author>
    <author>tc={5688D2BE-0132-4CA1-8DED-DCC0D1A28A27}</author>
    <author>tc={C23D9C25-C491-4466-8C20-8247B6DAB7D1}</author>
    <author>tc={683C7CD0-1480-4C1C-B681-D1DA335C79BD}</author>
    <author>tc={6B591298-2526-4534-9D4B-32BCFFA1ED10}</author>
    <author>tc={BB14B719-D248-42A2-8AE6-5891C336164E}</author>
    <author>tc={03715210-5BD9-4A54-887D-644E078F28ED}</author>
    <author>tc={FA438965-CE3D-47FD-8653-713C80717236}</author>
    <author>tc={D5226364-AE1A-4B21-A8FB-AC35D06906E4}</author>
    <author>tc={A860A9D3-7C9C-43B3-84DA-5F74A45A86CD}</author>
    <author>tc={DA3EF076-9D92-48AB-A140-1EBE4B5EB8E0}</author>
    <author>tc={E98AAA49-50CA-4609-ACDD-EC4578BEFB83}</author>
    <author>tc={8F449576-4937-4F3F-904B-71E8DBB4F08D}</author>
    <author>tc={04CF846C-F203-427B-8D54-49BFC38B8868}</author>
    <author>tc={C3F7B71F-F84B-4222-A93C-C8D0073E92BB}</author>
    <author>tc={50D3F14E-F9C0-4A90-B4CD-4B931BBAA268}</author>
    <author>tc={D7105D5D-C70F-42BD-91DE-D045D9564702}</author>
    <author>tc={12F7040A-C3B1-4BF8-BB4A-1F5FBD998A77}</author>
    <author>tc={D44820CA-819F-46F1-845A-0F546F65E1B6}</author>
    <author>tc={9017259D-D330-4EB3-B69E-EDE100B61871}</author>
    <author>tc={78D6457C-15F3-4114-88A7-D71F5FE563F6}</author>
    <author>tc={9DBC9B2D-BF06-4081-9876-1933221CCCC7}</author>
    <author>tc={DAB18A97-DD42-4E0C-8CC1-6664B5ED83AC}</author>
    <author>tc={E816636D-01AA-4857-85B2-864B983B1BB2}</author>
    <author>tc={FA8FFD50-64FB-4750-A73B-20C75E5BA6F2}</author>
    <author>tc={03FF4BFC-A0AA-4BE6-A425-9735AE657E9F}</author>
    <author>tc={C8512441-034E-493A-8F13-69E48BDA39D6}</author>
    <author>tc={83CBF66F-39E2-418B-A0DC-9E7E810A2FF1}</author>
    <author>tc={FEF1A519-A35D-482C-90AF-80EDB1822E65}</author>
    <author>tc={3534922E-9974-4B89-A7D6-24C814708827}</author>
    <author>tc={B99C8817-9CF9-4117-B646-5D79B91B64A9}</author>
    <author>tc={545C1AD5-4D3A-4A6E-81C1-11E8B8D837E4}</author>
    <author>tc={69CF7FCB-B252-450A-A83A-CED8A4172288}</author>
    <author>tc={8F81C1E1-1BBA-4B8E-ABC8-CE377031547A}</author>
    <author>tc={37ECA692-0FFC-48F6-9447-AF52F0C4168A}</author>
    <author>tc={E48B0BC7-A7A1-4E5E-9DF9-9F09B07A9CAE}</author>
    <author>tc={C36120DE-AF6B-4987-B6BF-63C5EDD6CFA5}</author>
    <author>tc={92F52FA6-0581-403F-93AB-B5330DCE0CC0}</author>
    <author>tc={4AB29074-0C1A-469E-8D09-7A355758A4EC}</author>
    <author>tc={26A3178E-B870-4A02-A461-C2CA092C719A}</author>
    <author>tc={90A44CA0-F926-4D40-B242-83C43CD1BCC9}</author>
    <author>tc={69E48879-FA00-4DFA-834F-C7010C71F156}</author>
    <author>tc={AE54C166-FA22-4E16-8E51-A6FB6E8FBEB2}</author>
    <author>tc={715C8751-EE1F-4ECC-9DDF-03DE8B1D5248}</author>
    <author>tc={5F082279-EB3C-4623-A20C-4DD308B822B7}</author>
    <author>tc={B5DD1AF4-E315-4579-AE37-6DA5E29BCE73}</author>
    <author>tc={21CA7E20-7535-4ED8-B94A-83E58DF043FD}</author>
    <author>tc={7DAB3A6F-4424-4DC5-8E5A-BA6E7C579FD5}</author>
    <author>tc={8BBA8700-C550-493C-8DBE-F1CA6B52C827}</author>
    <author>tc={9E5465D0-E8A4-4AC1-AEF4-00325F767FFA}</author>
    <author>tc={BA115022-D2E5-4350-A4C1-774126C91917}</author>
    <author>tc={F26D5E12-C3FC-423E-BA20-37CD80D12277}</author>
    <author>tc={3DB4F163-2C3D-4CC3-A7FF-4E6D37AF1A1D}</author>
    <author>tc={6894E9D9-02BC-4F41-95B4-4489BD9F30CF}</author>
    <author>tc={0D519C72-62EA-403E-917D-D9D5B711C9A0}</author>
    <author>tc={C1BB90B4-A60D-41DD-9F23-42C453A3FAFB}</author>
    <author>tc={9DEBEC4A-3868-4F01-8255-F73CAE1384AC}</author>
    <author>tc={31846135-71C6-4314-9DD3-01F9213D334A}</author>
    <author>tc={E2C07E86-7F19-4022-83EF-7DC1E0F8CEE7}</author>
    <author>tc={6D93D4B5-3FBE-4E6B-A303-EFC0D6AA0A97}</author>
    <author>tc={754BB590-A6D4-4098-A9C3-918E21276B68}</author>
    <author>tc={CB1E4409-9D0B-4020-8314-8E3271DC6080}</author>
    <author>tc={4FBDDEF9-E406-4373-A2AC-758EBFE3CC2D}</author>
    <author>tc={D0EF97F9-4233-4E04-B971-FBDC2DD3086E}</author>
    <author>tc={ACFD2FC8-D08E-4209-B91B-33EF2A3D0B54}</author>
    <author>tc={20A47CE7-ABB2-4F5B-B5CD-466A677B29D1}</author>
    <author>tc={41989220-A4EA-448E-A67F-8D502242EBFD}</author>
    <author>tc={4C62B003-6F6F-4026-80BA-1ADCAF1C5434}</author>
    <author>tc={E4A1F8D2-BF6F-4BEA-BB6F-4ABE92D05CEA}</author>
    <author>tc={67FF1B49-9698-4FC4-AEBC-5D3B8EDA5F62}</author>
    <author>tc={2ED7AE6F-CD49-4EEB-938A-FEB1CC9E2114}</author>
    <author>tc={732FF771-284D-4FEF-AD2C-65B1F004382B}</author>
    <author>tc={B77CF858-D482-44AF-B0D1-2EA1E0A165E8}</author>
    <author>tc={684A0389-DC45-4D01-9C54-F84D83881F18}</author>
    <author>tc={0F8E543F-D2F8-4072-8400-33B662B74E85}</author>
    <author>tc={5B59976E-697D-4120-BBF0-E83B2F0CF3EA}</author>
    <author>tc={F79B0B69-D516-4011-88B0-C5FE61363F1B}</author>
    <author>tc={C845DFC1-F4B8-4D8B-9712-91F18E5474C2}</author>
    <author>tc={863C979C-1A78-4AC7-B262-34C261E90B6E}</author>
    <author>tc={1B441377-7F9D-42D4-A0B1-8B52E9B93601}</author>
    <author>tc={19F51D57-C0C9-4DC6-A00A-AF0B041FE628}</author>
    <author>tc={EEE7C83E-AA5F-4A56-B39C-81938B44CF4F}</author>
    <author>tc={A8133FDF-34C0-4586-A565-3CEF37ED0924}</author>
    <author>tc={F55621F8-3817-4C93-9EF6-1BED674BACC5}</author>
    <author>tc={92922672-C8B2-4EAA-9AE9-C22A635CE630}</author>
    <author>tc={481673E9-8440-456E-BFBB-0A0CF2703E5A}</author>
    <author>tc={2D6D6A14-EB8F-4150-B187-216CBE15BC1F}</author>
    <author>tc={E4B1D749-496D-47A7-8CA7-2E4E45B2A9C5}</author>
    <author>tc={EEAE7ACA-EF34-479B-A6FB-CB9BA1BF8C2B}</author>
    <author>tc={0F096E66-85CA-4A6C-AB2D-840EB15207AD}</author>
    <author>tc={99B3FE00-4995-4FE7-A1EB-9D3CC13FA49B}</author>
    <author>tc={B78C405C-6CE3-4658-8DD8-7C175B88E046}</author>
    <author>tc={E7787289-DD6C-46E3-87B2-5ADAE05F058A}</author>
    <author>tc={F1299A5F-53ED-4DF8-813A-F8B6E19752D2}</author>
    <author>tc={17E03BCA-A597-4512-916B-488C50278EFF}</author>
    <author>tc={A6D11B15-5F14-4321-BB88-47ED94463544}</author>
    <author>tc={340BF9A8-CBA7-4608-8D07-6559161B9288}</author>
    <author>tc={9C0E5A4C-340F-48A8-A34F-7778133F9625}</author>
    <author>tc={24E1467F-D794-4B4E-85A3-A0DC551BF7D2}</author>
    <author>tc={A736B577-E263-45E9-9765-6A94E029E6C7}</author>
    <author>tc={6EE5535E-DAD7-4D4C-A62A-8AF1BA816A9D}</author>
    <author>tc={B2D600D8-4421-498D-82AA-651457344C95}</author>
    <author>tc={1D12CA4E-E46D-40C0-B086-073AFC234FBA}</author>
    <author>tc={87B6FC0F-D78C-46B4-A0BF-2A259260869F}</author>
    <author>tc={47839D50-3997-47E1-BA53-C708CE7DBC8D}</author>
    <author>tc={E7A5D328-330B-4D38-8515-69578DEBABA2}</author>
    <author>tc={01EFA46E-9C61-43C4-83CF-93D27DFBC2FB}</author>
    <author>tc={88EEACA0-3BA8-451F-8E97-08739527697C}</author>
    <author>tc={E4829CFC-CB27-4E0C-A69A-C3B7E8659385}</author>
    <author>tc={DC0A300F-1727-41FE-9CD9-242438FAF76B}</author>
    <author>tc={07AE4379-DE32-4356-B6DA-28DC7A03D3B5}</author>
    <author>tc={3F693959-7382-448B-821B-546BC799FAE5}</author>
    <author>tc={3B949BD0-F790-4681-9B6D-88214D92F0BC}</author>
    <author>tc={9AC57EE9-AF2F-4570-AD49-34C923EB74B6}</author>
    <author>tc={71D42EA3-12C0-431D-95B7-50F0A521957E}</author>
    <author>tc={1A236EF3-BC70-42C7-89B1-E023E6AED8A5}</author>
    <author>tc={F4A6EF50-4BDE-425D-A41C-F0309DE05CF8}</author>
    <author>tc={BF755B07-4D67-4DFC-AB04-8F3BBB1DBA5B}</author>
    <author>tc={2A73160E-6944-4ABB-9DC2-18EDF73BA0C5}</author>
    <author>tc={9D4C2D78-E20E-456E-8764-E724E8CDD6DE}</author>
    <author>tc={9DC4C15D-FDA1-44F6-9EE1-4AA5D38F9408}</author>
    <author>tc={B5B32B39-696B-4DC4-B42C-978A03D0878D}</author>
    <author>tc={E0237449-521F-48D4-96B1-BA4792B23CA8}</author>
    <author>tc={70F8F752-7D4C-463F-B782-68891803F768}</author>
    <author>tc={0B402834-9529-43D1-ADD5-4B8A718408FD}</author>
    <author>tc={96021854-BB71-4948-9619-7229D9E529EF}</author>
    <author>tc={65432FCF-8FDA-438E-8384-9E9CBA6B51A9}</author>
    <author>tc={DB37761C-BB3C-4406-8345-AEFEF442DDB7}</author>
    <author>tc={06B5926A-FA39-4B94-90DD-54D893F2BDB6}</author>
    <author>tc={BF71951D-0220-438E-A1E6-ECFC15B9C165}</author>
    <author>tc={1F696C08-69B0-4D9E-A5A8-880D792C6E3B}</author>
    <author>tc={BD74DE13-4F40-4A9E-8217-9F9F6A6D4FF6}</author>
    <author>tc={D12A524C-F345-4812-A6D5-7C215DA725EB}</author>
    <author>tc={191973E6-67F9-4DE0-BD44-AD1C5E948BDE}</author>
    <author>tc={4EE485F6-0BD5-46E7-AF0B-CA92DE18E047}</author>
    <author>tc={BAFCCE94-E641-4071-8BB5-CEEF34D086BF}</author>
    <author>tc={E2017BA8-C18A-453D-BBAC-BB79C45F445D}</author>
    <author>tc={750A6283-1985-4754-8E96-911377068DBE}</author>
    <author>tc={7945BF49-1527-4691-9E2A-412367BF8029}</author>
    <author>tc={EEBC4AD3-B0A9-4FE1-8AD8-3F51DBC49ABB}</author>
    <author>tc={80588FF1-5172-4B0E-B454-7DF57CEEF197}</author>
    <author>tc={6D0A636D-C8BF-43AF-9806-8DDD4CC1C28E}</author>
    <author>tc={DD44DDC3-65F3-43FF-8994-E9386F8C1CFB}</author>
    <author>tc={F3E89BED-D44F-4370-B31E-4733A863FAF2}</author>
    <author>tc={BAF43448-1AF2-444C-9C5F-FA3CB3972A2C}</author>
    <author>tc={4E844A7D-102F-4595-B0B1-898B11ED9408}</author>
    <author>tc={011DAC58-3942-40E0-8F88-385E9B5264F2}</author>
    <author>tc={FE69BC2E-8383-42E6-B791-F9B97E147810}</author>
    <author>tc={A77D1336-14AC-419D-8742-7ED1E6573BF4}</author>
    <author>tc={7938A2FC-EC45-4E2A-90E9-0F673C0CBA63}</author>
    <author>tc={631C1E86-3406-4487-B23F-02AC8890198F}</author>
    <author>tc={BB53887E-F174-4F80-81E3-BE925C006F59}</author>
    <author>tc={B480E113-DADA-47FC-B56E-AC4DA3520C2A}</author>
    <author>tc={7038780F-DBDD-415A-BB30-BFB4E67FC319}</author>
    <author>tc={5C32BC4E-0534-48FA-A214-BE7800E2D767}</author>
    <author>tc={1CA30571-5375-4E1C-90F8-E87F266B68B7}</author>
    <author>tc={967CA58B-BBBE-4B82-829C-43AB425DCECC}</author>
  </authors>
  <commentList>
    <comment ref="A2" authorId="0" shapeId="0" xr:uid="{6A597DF8-CB84-414B-AAE5-6EC35B773E2E}">
      <text>
        <t>[Threaded comment]
Your version of Excel allows you to read this threaded comment; however, any edits to it will get removed if the file is opened in a newer version of Excel. Learn more: https://go.microsoft.com/fwlink/?linkid=870924
Comment:
    Rats immunosuppressed with cyclosporine, not noted anywhere in data entry</t>
      </text>
    </comment>
    <comment ref="K2" authorId="1" shapeId="0" xr:uid="{064713CE-CCE3-4C08-9F7B-9320204A4CCF}">
      <text>
        <t>[Threaded comment]
Your version of Excel allows you to read this threaded comment; however, any edits to it will get removed if the file is opened in a newer version of Excel. Learn more: https://go.microsoft.com/fwlink/?linkid=870924
Comment:
    "adult"</t>
      </text>
    </comment>
    <comment ref="AB2" authorId="2" shapeId="0" xr:uid="{38E995C2-D8A9-4C75-B75F-84492A3207A7}">
      <text>
        <t>[Threaded comment]
Your version of Excel allows you to read this threaded comment; however, any edits to it will get removed if the file is opened in a newer version of Excel. Learn more: https://go.microsoft.com/fwlink/?linkid=870924
Comment:
    stereotaxically implanted into
the cortex 2 mm dorsal to the right middle cerebral artery
(MCA)</t>
      </text>
    </comment>
    <comment ref="AN2" authorId="3" shapeId="0" xr:uid="{C4D24233-67AA-4F9B-99D5-2A7429BDC471}">
      <text>
        <t>[Threaded comment]
Your version of Excel allows you to read this threaded comment; however, any edits to it will get removed if the file is opened in a newer version of Excel. Learn more: https://go.microsoft.com/fwlink/?linkid=870924
Comment:
    Rats immunosuppressed with cyclosporine, not noted anywhere in data entry</t>
      </text>
    </comment>
    <comment ref="AB3" authorId="4" shapeId="0" xr:uid="{95A2BA25-D82C-4B16-8179-6C1FC19137C5}">
      <text>
        <t>[Threaded comment]
Your version of Excel allows you to read this threaded comment; however, any edits to it will get removed if the file is opened in a newer version of Excel. Learn more: https://go.microsoft.com/fwlink/?linkid=870924
Comment:
    Was "surface" but have changed this to "cortical"</t>
      </text>
    </comment>
    <comment ref="AF3" authorId="5" shapeId="0" xr:uid="{1A4166AC-4DBB-4D40-BC47-622B0E21B15D}">
      <text>
        <t>[Threaded comment]
Your version of Excel allows you to read this threaded comment; however, any edits to it will get removed if the file is opened in a newer version of Excel. Learn more: https://go.microsoft.com/fwlink/?linkid=870924
Comment:
    3ul of endothelin-1 (240 pmol,
0.2ug/ml in sterile saline) was applied to the cortical surface
at a rate of 1 ul/3 min.</t>
      </text>
    </comment>
    <comment ref="AB4" authorId="6" shapeId="0" xr:uid="{32EC4B2C-65DE-465F-A781-580DDCA660E9}">
      <text>
        <t>[Threaded comment]
Your version of Excel allows you to read this threaded comment; however, any edits to it will get removed if the file is opened in a newer version of Excel. Learn more: https://go.microsoft.com/fwlink/?linkid=870924
Comment:
    Striatum</t>
      </text>
    </comment>
    <comment ref="A5" authorId="7" shapeId="0" xr:uid="{B2CA5202-36E8-4564-9733-83C8B99373DA}">
      <text>
        <t>[Threaded comment]
Your version of Excel allows you to read this threaded comment; however, any edits to it will get removed if the file is opened in a newer version of Excel. Learn more: https://go.microsoft.com/fwlink/?linkid=870924
Comment:
    Not reported type of error, come back and try to figure it out, paper very good</t>
      </text>
    </comment>
    <comment ref="K5" authorId="8" shapeId="0" xr:uid="{8B515184-B01A-4B6F-B544-FB149BB93844}">
      <text>
        <t>[Threaded comment]
Your version of Excel allows you to read this threaded comment; however, any edits to it will get removed if the file is opened in a newer version of Excel. Learn more: https://go.microsoft.com/fwlink/?linkid=870924
Comment:
    "adult"</t>
      </text>
    </comment>
    <comment ref="A6" authorId="9" shapeId="0" xr:uid="{19E121AD-91D4-4EBF-8B65-813CD5362E74}">
      <text>
        <t>[Threaded comment]
Your version of Excel allows you to read this threaded comment; however, any edits to it will get removed if the file is opened in a newer version of Excel. Learn more: https://go.microsoft.com/fwlink/?linkid=870924
Comment:
    Not reported type of error, come back and try to figure it out, paper very good</t>
      </text>
    </comment>
    <comment ref="K6" authorId="10" shapeId="0" xr:uid="{8A6CDD7D-7CDD-418E-97D7-56B5C8316CD9}">
      <text>
        <t>[Threaded comment]
Your version of Excel allows you to read this threaded comment; however, any edits to it will get removed if the file is opened in a newer version of Excel. Learn more: https://go.microsoft.com/fwlink/?linkid=870924
Comment:
    "adult"</t>
      </text>
    </comment>
    <comment ref="U6" authorId="11" shapeId="0" xr:uid="{C8AD39B1-FBB6-49F0-B43E-AACA13C378A5}">
      <text>
        <t>[Threaded comment]
Your version of Excel allows you to read this threaded comment; however, any edits to it will get removed if the file is opened in a newer version of Excel. Learn more: https://go.microsoft.com/fwlink/?linkid=870924
Comment:
    Initial implant surgery</t>
      </text>
    </comment>
    <comment ref="X6" authorId="12" shapeId="0" xr:uid="{2AC5B25A-E0C6-434C-9DC3-A9B421D8CE85}">
      <text>
        <t>[Threaded comment]
Your version of Excel allows you to read this threaded comment; however, any edits to it will get removed if the file is opened in a newer version of Excel. Learn more: https://go.microsoft.com/fwlink/?linkid=870924
Comment:
    For actual ET1 induction 14 days later</t>
      </text>
    </comment>
    <comment ref="A7" authorId="13" shapeId="0" xr:uid="{0A3C1B2B-5460-4090-9512-F4B51A249F50}">
      <text>
        <t>[Threaded comment]
Your version of Excel allows you to read this threaded comment; however, any edits to it will get removed if the file is opened in a newer version of Excel. Learn more: https://go.microsoft.com/fwlink/?linkid=870924
Comment:
    The treatment is an anaesthesia - propofol</t>
      </text>
    </comment>
    <comment ref="K7" authorId="14" shapeId="0" xr:uid="{77A71117-A981-4F98-895D-6EABEF2DFF06}">
      <text>
        <t>[Threaded comment]
Your version of Excel allows you to read this threaded comment; however, any edits to it will get removed if the file is opened in a newer version of Excel. Learn more: https://go.microsoft.com/fwlink/?linkid=870924
Comment:
    "adult"</t>
      </text>
    </comment>
    <comment ref="V7" authorId="15" shapeId="0" xr:uid="{0CD713B4-F4CA-4624-ABCF-ABB2C4319D1C}">
      <text>
        <t>[Threaded comment]
Your version of Excel allows you to read this threaded comment; however, any edits to it will get removed if the file is opened in a newer version of Excel. Learn more: https://go.microsoft.com/fwlink/?linkid=870924
Comment:
    Propofol was the treatment, but listed it here too</t>
      </text>
    </comment>
    <comment ref="AB7" authorId="16" shapeId="0" xr:uid="{F01B3D5E-4421-44EF-A185-6F56E1B13EE9}">
      <text>
        <t>[Threaded comment]
Your version of Excel allows you to read this threaded comment; however, any edits to it will get removed if the file is opened in a newer version of Excel. Learn more: https://go.microsoft.com/fwlink/?linkid=870924
Comment:
    Striatum</t>
      </text>
    </comment>
    <comment ref="AV7" authorId="17" shapeId="0" xr:uid="{61321BE3-7119-4A78-BE85-8D0157981EB0}">
      <text>
        <t>[Threaded comment]
Your version of Excel allows you to read this threaded comment; however, any edits to it will get removed if the file is opened in a newer version of Excel. Learn more: https://go.microsoft.com/fwlink/?linkid=870924
Comment:
    baseline</t>
      </text>
    </comment>
    <comment ref="A8" authorId="18" shapeId="0" xr:uid="{35A54D03-44E9-402B-B009-899A33F8190B}">
      <text>
        <t>[Threaded comment]
Your version of Excel allows you to read this threaded comment; however, any edits to it will get removed if the file is opened in a newer version of Excel. Learn more: https://go.microsoft.com/fwlink/?linkid=870924
Comment:
    The treatment is an anaesthesia - propofol</t>
      </text>
    </comment>
    <comment ref="K8" authorId="19" shapeId="0" xr:uid="{6F135352-E211-461E-8D85-BF51151F7B24}">
      <text>
        <t>[Threaded comment]
Your version of Excel allows you to read this threaded comment; however, any edits to it will get removed if the file is opened in a newer version of Excel. Learn more: https://go.microsoft.com/fwlink/?linkid=870924
Comment:
    "adult"</t>
      </text>
    </comment>
    <comment ref="U8" authorId="20" shapeId="0" xr:uid="{0A04737E-1CBC-468E-90AC-307B5C88574F}">
      <text>
        <t>[Threaded comment]
Your version of Excel allows you to read this threaded comment; however, any edits to it will get removed if the file is opened in a newer version of Excel. Learn more: https://go.microsoft.com/fwlink/?linkid=870924
Comment:
    Initial anaesthetic, not present during stroke</t>
      </text>
    </comment>
    <comment ref="X8" authorId="21" shapeId="0" xr:uid="{142E3EB7-1AE0-437C-BD2D-D6BAA66D67BD}">
      <text>
        <t>[Threaded comment]
Your version of Excel allows you to read this threaded comment; however, any edits to it will get removed if the file is opened in a newer version of Excel. Learn more: https://go.microsoft.com/fwlink/?linkid=870924
Comment:
    Propofol was the treatment, but listed it here too</t>
      </text>
    </comment>
    <comment ref="AB8" authorId="22" shapeId="0" xr:uid="{0EA2EB6F-468C-412A-8E30-BFAE9AB2082A}">
      <text>
        <t>[Threaded comment]
Your version of Excel allows you to read this threaded comment; however, any edits to it will get removed if the file is opened in a newer version of Excel. Learn more: https://go.microsoft.com/fwlink/?linkid=870924
Comment:
    Striatum</t>
      </text>
    </comment>
    <comment ref="AV8" authorId="23" shapeId="0" xr:uid="{950525DD-4E51-4C9F-816F-DE03F9BC01CE}">
      <text>
        <t>[Threaded comment]
Your version of Excel allows you to read this threaded comment; however, any edits to it will get removed if the file is opened in a newer version of Excel. Learn more: https://go.microsoft.com/fwlink/?linkid=870924
Comment:
    Compared to awake animals</t>
      </text>
    </comment>
    <comment ref="A9" authorId="24" shapeId="0" xr:uid="{CE846273-E05E-4D96-8C52-40C606DA25A8}">
      <text>
        <t>[Threaded comment]
Your version of Excel allows you to read this threaded comment; however, any edits to it will get removed if the file is opened in a newer version of Excel. Learn more: https://go.microsoft.com/fwlink/?linkid=870924
Comment:
    The treatment is an anaesthesia - propofol</t>
      </text>
    </comment>
    <comment ref="K9" authorId="25" shapeId="0" xr:uid="{57C28954-9A3E-408D-A8A0-35C381C93BEA}">
      <text>
        <t>[Threaded comment]
Your version of Excel allows you to read this threaded comment; however, any edits to it will get removed if the file is opened in a newer version of Excel. Learn more: https://go.microsoft.com/fwlink/?linkid=870924
Comment:
    "adult"</t>
      </text>
    </comment>
    <comment ref="V9" authorId="26" shapeId="0" xr:uid="{87557F4C-CEBF-4697-AF78-2BFFB875E1CC}">
      <text>
        <t>[Threaded comment]
Your version of Excel allows you to read this threaded comment; however, any edits to it will get removed if the file is opened in a newer version of Excel. Learn more: https://go.microsoft.com/fwlink/?linkid=870924
Comment:
    Propofol was the treatment, but listed it here too</t>
      </text>
    </comment>
    <comment ref="AB9" authorId="27" shapeId="0" xr:uid="{2F675A94-3C07-40BC-B7DF-C84CFE369852}">
      <text>
        <t>[Threaded comment]
Your version of Excel allows you to read this threaded comment; however, any edits to it will get removed if the file is opened in a newer version of Excel. Learn more: https://go.microsoft.com/fwlink/?linkid=870924
Comment:
    Striatum</t>
      </text>
    </comment>
    <comment ref="AV9" authorId="28" shapeId="0" xr:uid="{97AF9433-C106-40E4-A420-066F70288634}">
      <text>
        <t>[Threaded comment]
Your version of Excel allows you to read this threaded comment; however, any edits to it will get removed if the file is opened in a newer version of Excel. Learn more: https://go.microsoft.com/fwlink/?linkid=870924
Comment:
    baseline</t>
      </text>
    </comment>
    <comment ref="A10" authorId="29" shapeId="0" xr:uid="{FE6716CE-4ABD-4A5E-BD08-06874D2056ED}">
      <text>
        <t>[Threaded comment]
Your version of Excel allows you to read this threaded comment; however, any edits to it will get removed if the file is opened in a newer version of Excel. Learn more: https://go.microsoft.com/fwlink/?linkid=870924
Comment:
    The treatment is an anaesthesia - propofol</t>
      </text>
    </comment>
    <comment ref="K10" authorId="30" shapeId="0" xr:uid="{87BA1287-DC7D-4DA3-8630-38EF7873BD5F}">
      <text>
        <t>[Threaded comment]
Your version of Excel allows you to read this threaded comment; however, any edits to it will get removed if the file is opened in a newer version of Excel. Learn more: https://go.microsoft.com/fwlink/?linkid=870924
Comment:
    "adult"</t>
      </text>
    </comment>
    <comment ref="U10" authorId="31" shapeId="0" xr:uid="{0912EF30-A45A-46E2-8E79-1FA23C1CDB80}">
      <text>
        <t>[Threaded comment]
Your version of Excel allows you to read this threaded comment; however, any edits to it will get removed if the file is opened in a newer version of Excel. Learn more: https://go.microsoft.com/fwlink/?linkid=870924
Comment:
    Initial anaesthetic, not present during stroke</t>
      </text>
    </comment>
    <comment ref="X10" authorId="32" shapeId="0" xr:uid="{329FAAED-ED68-4AD7-AFCC-8545C72B2A7F}">
      <text>
        <t>[Threaded comment]
Your version of Excel allows you to read this threaded comment; however, any edits to it will get removed if the file is opened in a newer version of Excel. Learn more: https://go.microsoft.com/fwlink/?linkid=870924
Comment:
    Propofol was the treatment, but listed it here too</t>
      </text>
    </comment>
    <comment ref="AB10" authorId="33" shapeId="0" xr:uid="{E43E1E77-15E6-4B4D-A6D3-F5F393A65918}">
      <text>
        <t>[Threaded comment]
Your version of Excel allows you to read this threaded comment; however, any edits to it will get removed if the file is opened in a newer version of Excel. Learn more: https://go.microsoft.com/fwlink/?linkid=870924
Comment:
    Striatum</t>
      </text>
    </comment>
    <comment ref="AV10" authorId="34" shapeId="0" xr:uid="{FD92EF5E-DDBD-434C-992D-CD0A7894D12F}">
      <text>
        <t>[Threaded comment]
Your version of Excel allows you to read this threaded comment; however, any edits to it will get removed if the file is opened in a newer version of Excel. Learn more: https://go.microsoft.com/fwlink/?linkid=870924
Comment:
    Compared to awake animals</t>
      </text>
    </comment>
    <comment ref="AJ12" authorId="35" shapeId="0" xr:uid="{2C4E910C-DEEF-4945-8AE7-08FA45609E56}">
      <text>
        <t>[Threaded comment]
Your version of Excel allows you to read this threaded comment; however, any edits to it will get removed if the file is opened in a newer version of Excel. Learn more: https://go.microsoft.com/fwlink/?linkid=870924
Comment:
    1uL/min</t>
      </text>
    </comment>
    <comment ref="BA12" authorId="36" shapeId="0" xr:uid="{9338458A-2D07-4379-9BFC-2AC83D871339}">
      <text>
        <t>[Threaded comment]
Your version of Excel allows you to read this threaded comment; however, any edits to it will get removed if the file is opened in a newer version of Excel. Learn more: https://go.microsoft.com/fwlink/?linkid=870924
Comment:
    I think, hard to tell from methods</t>
      </text>
    </comment>
    <comment ref="BJ12" authorId="37" shapeId="0" xr:uid="{01D30EB1-FD13-469C-8159-41187483CB15}">
      <text>
        <t>[Threaded comment]
Your version of Excel allows you to read this threaded comment; however, any edits to it will get removed if the file is opened in a newer version of Excel. Learn more: https://go.microsoft.com/fwlink/?linkid=870924
Comment:
    Bederson</t>
      </text>
    </comment>
    <comment ref="AA13" authorId="38" shapeId="0" xr:uid="{65B7C6C8-9528-4CFA-A5A9-C246B3FEFFF7}">
      <text>
        <t>[Threaded comment]
Your version of Excel allows you to read this threaded comment; however, any edits to it will get removed if the file is opened in a newer version of Excel. Learn more: https://go.microsoft.com/fwlink/?linkid=870924
Comment:
    Was microdialysis probe, changed to guide cannula as they are essentially the same thing</t>
      </text>
    </comment>
    <comment ref="AB13" authorId="39" shapeId="0" xr:uid="{9140D48F-84B0-493B-9AEB-157B544F972A}">
      <text>
        <t>[Threaded comment]
Your version of Excel allows you to read this threaded comment; however, any edits to it will get removed if the file is opened in a newer version of Excel. Learn more: https://go.microsoft.com/fwlink/?linkid=870924
Comment:
    Striatum</t>
      </text>
    </comment>
    <comment ref="AJ13" authorId="40" shapeId="0" xr:uid="{78677349-DD6A-4292-AF42-FBCD0931028C}">
      <text>
        <t>[Threaded comment]
Your version of Excel allows you to read this threaded comment; however, any edits to it will get removed if the file is opened in a newer version of Excel. Learn more: https://go.microsoft.com/fwlink/?linkid=870924
Comment:
    1uL/min 6 min</t>
      </text>
    </comment>
    <comment ref="AA14" authorId="41" shapeId="0" xr:uid="{62DA0E5B-D251-43C2-B7B5-E1AEC6B07BFF}">
      <text>
        <t>[Threaded comment]
Your version of Excel allows you to read this threaded comment; however, any edits to it will get removed if the file is opened in a newer version of Excel. Learn more: https://go.microsoft.com/fwlink/?linkid=870924
Comment:
    Was microdialysis probe, changed to guide cannula as they are essentially the same thing</t>
      </text>
    </comment>
    <comment ref="AB14" authorId="42" shapeId="0" xr:uid="{56FD7652-43C5-44F7-AEAE-6B6AFB90B161}">
      <text>
        <t>[Threaded comment]
Your version of Excel allows you to read this threaded comment; however, any edits to it will get removed if the file is opened in a newer version of Excel. Learn more: https://go.microsoft.com/fwlink/?linkid=870924
Comment:
    Striatum</t>
      </text>
    </comment>
    <comment ref="AJ14" authorId="43" shapeId="0" xr:uid="{B58A4A55-067C-4437-881A-6AA2CFE2A4EC}">
      <text>
        <t>[Threaded comment]
Your version of Excel allows you to read this threaded comment; however, any edits to it will get removed if the file is opened in a newer version of Excel. Learn more: https://go.microsoft.com/fwlink/?linkid=870924
Comment:
    1uL/min 6 min</t>
      </text>
    </comment>
    <comment ref="AA15" authorId="44" shapeId="0" xr:uid="{3434B894-F95A-4E35-95B5-2762FDDD6A9F}">
      <text>
        <t>[Threaded comment]
Your version of Excel allows you to read this threaded comment; however, any edits to it will get removed if the file is opened in a newer version of Excel. Learn more: https://go.microsoft.com/fwlink/?linkid=870924
Comment:
    Was microdialysis probe, changed to guide cannula as they are essentially the same thing</t>
      </text>
    </comment>
    <comment ref="AB15" authorId="45" shapeId="0" xr:uid="{C8F70BA6-0FF8-488B-9168-64AD2BC99FA1}">
      <text>
        <t>[Threaded comment]
Your version of Excel allows you to read this threaded comment; however, any edits to it will get removed if the file is opened in a newer version of Excel. Learn more: https://go.microsoft.com/fwlink/?linkid=870924
Comment:
    Striatum</t>
      </text>
    </comment>
    <comment ref="AJ15" authorId="46" shapeId="0" xr:uid="{900250C6-BB45-42CF-8F4B-07A7CBFFDE2D}">
      <text>
        <t>[Threaded comment]
Your version of Excel allows you to read this threaded comment; however, any edits to it will get removed if the file is opened in a newer version of Excel. Learn more: https://go.microsoft.com/fwlink/?linkid=870924
Comment:
    1uL/min 6 min</t>
      </text>
    </comment>
    <comment ref="R16" authorId="47" shapeId="0" xr:uid="{E9D44430-E4BC-405A-9D00-D89737601DC7}">
      <text>
        <t>[Threaded comment]
Your version of Excel allows you to read this threaded comment; however, any edits to it will get removed if the file is opened in a newer version of Excel. Learn more: https://go.microsoft.com/fwlink/?linkid=870924
Comment:
    10-12 animals per group</t>
      </text>
    </comment>
    <comment ref="T16" authorId="48" shapeId="0" xr:uid="{D6E93331-4955-4A28-836D-649055A8A726}">
      <text>
        <t>[Threaded comment]
Your version of Excel allows you to read this threaded comment; however, any edits to it will get removed if the file is opened in a newer version of Excel. Learn more: https://go.microsoft.com/fwlink/?linkid=870924
Comment:
    10-12 animals per group</t>
      </text>
    </comment>
    <comment ref="AA16" authorId="49" shapeId="0" xr:uid="{92F8E595-4AF9-4DD6-B3A5-E64FED222A21}">
      <text>
        <t>[Threaded comment]
Your version of Excel allows you to read this threaded comment; however, any edits to it will get removed if the file is opened in a newer version of Excel. Learn more: https://go.microsoft.com/fwlink/?linkid=870924
Comment:
    Likely needle</t>
      </text>
    </comment>
    <comment ref="A17" authorId="50" shapeId="0" xr:uid="{5837EE88-9CA3-4A5B-A2B1-6B633B20486F}">
      <text>
        <t>[Threaded comment]
Your version of Excel allows you to read this threaded comment; however, any edits to it will get removed if the file is opened in a newer version of Excel. Learn more: https://go.microsoft.com/fwlink/?linkid=870924
Comment:
    Stroke volume calculated from cortical + striatal</t>
      </text>
    </comment>
    <comment ref="R17" authorId="51" shapeId="0" xr:uid="{960F8045-091D-436B-B249-9966A5C909D6}">
      <text>
        <t>[Threaded comment]
Your version of Excel allows you to read this threaded comment; however, any edits to it will get removed if the file is opened in a newer version of Excel. Learn more: https://go.microsoft.com/fwlink/?linkid=870924
Comment:
    4-12 rats per group</t>
      </text>
    </comment>
    <comment ref="T17" authorId="52" shapeId="0" xr:uid="{56149095-8C38-4469-B7F7-75D20F2AB6F4}">
      <text>
        <t>[Threaded comment]
Your version of Excel allows you to read this threaded comment; however, any edits to it will get removed if the file is opened in a newer version of Excel. Learn more: https://go.microsoft.com/fwlink/?linkid=870924
Comment:
    4-12 rats per group</t>
      </text>
    </comment>
    <comment ref="AB17" authorId="53" shapeId="0" xr:uid="{72C17F8C-CE36-429B-BD1A-C196E621B690}">
      <text>
        <t>[Threaded comment]
Your version of Excel allows you to read this threaded comment; however, any edits to it will get removed if the file is opened in a newer version of Excel. Learn more: https://go.microsoft.com/fwlink/?linkid=870924
Comment:
    Piriform cortex</t>
      </text>
    </comment>
    <comment ref="AT17" authorId="54" shapeId="0" xr:uid="{C9F035E7-EE94-4615-8C54-43CBB28BC11C}">
      <text>
        <t>[Threaded comment]
Your version of Excel allows you to read this threaded comment; however, any edits to it will get removed if the file is opened in a newer version of Excel. Learn more: https://go.microsoft.com/fwlink/?linkid=870924
Comment:
    Used their own method of computer recognition which requires no staining: DOI: 10.1016/s0165-0270(00)00278-8</t>
      </text>
    </comment>
    <comment ref="A18" authorId="55" shapeId="0" xr:uid="{8D116AB4-658F-4A9F-9232-A98E189F85D6}">
      <text>
        <t>[Threaded comment]
Your version of Excel allows you to read this threaded comment; however, any edits to it will get removed if the file is opened in a newer version of Excel. Learn more: https://go.microsoft.com/fwlink/?linkid=870924
Comment:
    Stroke volume calculated from cortical + striatal</t>
      </text>
    </comment>
    <comment ref="R18" authorId="56" shapeId="0" xr:uid="{7DBF065A-C5D1-4CDD-8E15-24FBEC360AFC}">
      <text>
        <t>[Threaded comment]
Your version of Excel allows you to read this threaded comment; however, any edits to it will get removed if the file is opened in a newer version of Excel. Learn more: https://go.microsoft.com/fwlink/?linkid=870924
Comment:
    4-12 rats per group</t>
      </text>
    </comment>
    <comment ref="T18" authorId="57" shapeId="0" xr:uid="{D599A6BD-4874-48B5-99B4-E7D403C52D69}">
      <text>
        <t>[Threaded comment]
Your version of Excel allows you to read this threaded comment; however, any edits to it will get removed if the file is opened in a newer version of Excel. Learn more: https://go.microsoft.com/fwlink/?linkid=870924
Comment:
    4-12 rats per group</t>
      </text>
    </comment>
    <comment ref="AB18" authorId="58" shapeId="0" xr:uid="{39AD6F2E-1780-44D9-A9B8-A7D1F45EDA8D}">
      <text>
        <t>[Threaded comment]
Your version of Excel allows you to read this threaded comment; however, any edits to it will get removed if the file is opened in a newer version of Excel. Learn more: https://go.microsoft.com/fwlink/?linkid=870924
Comment:
    Piriform cortex</t>
      </text>
    </comment>
    <comment ref="AT18" authorId="59" shapeId="0" xr:uid="{CC8E8437-0DCD-4B12-BC3E-CDE6FA5EB8C5}">
      <text>
        <t>[Threaded comment]
Your version of Excel allows you to read this threaded comment; however, any edits to it will get removed if the file is opened in a newer version of Excel. Learn more: https://go.microsoft.com/fwlink/?linkid=870924
Comment:
    Used their own method of computer recognition which requires no staining: DOI: 10.1016/s0165-0270(00)00278-8</t>
      </text>
    </comment>
    <comment ref="A19" authorId="60" shapeId="0" xr:uid="{B7DBAAFC-C394-40CF-92FE-919FD15F194E}">
      <text>
        <t>[Threaded comment]
Your version of Excel allows you to read this threaded comment; however, any edits to it will get removed if the file is opened in a newer version of Excel. Learn more: https://go.microsoft.com/fwlink/?linkid=870924
Comment:
    Stroke volume calculated from cortical + striatal</t>
      </text>
    </comment>
    <comment ref="AB19" authorId="61" shapeId="0" xr:uid="{43CB4BD4-F7E3-4566-9D72-32FFA38A0D1F}">
      <text>
        <t>[Threaded comment]
Your version of Excel allows you to read this threaded comment; however, any edits to it will get removed if the file is opened in a newer version of Excel. Learn more: https://go.microsoft.com/fwlink/?linkid=870924
Comment:
    Piriform cortex</t>
      </text>
    </comment>
    <comment ref="AT19" authorId="62" shapeId="0" xr:uid="{879FD053-E962-43B0-A04B-6E67F6F9D2E9}">
      <text>
        <t>[Threaded comment]
Your version of Excel allows you to read this threaded comment; however, any edits to it will get removed if the file is opened in a newer version of Excel. Learn more: https://go.microsoft.com/fwlink/?linkid=870924
Comment:
    Used their own method of computer recognition which requires no staining: DOI: 10.1016/s0165-0270(00)00278-8</t>
      </text>
    </comment>
    <comment ref="A20" authorId="63" shapeId="0" xr:uid="{37E6B6B4-6780-4F38-A16C-A6B08EFC54C6}">
      <text>
        <t>[Threaded comment]
Your version of Excel allows you to read this threaded comment; however, any edits to it will get removed if the file is opened in a newer version of Excel. Learn more: https://go.microsoft.com/fwlink/?linkid=870924
Comment:
    Stroke volume calculated from cortical + striatal</t>
      </text>
    </comment>
    <comment ref="AB20" authorId="64" shapeId="0" xr:uid="{D4278603-0B11-421A-84D9-E8FD5CA6733B}">
      <text>
        <t>[Threaded comment]
Your version of Excel allows you to read this threaded comment; however, any edits to it will get removed if the file is opened in a newer version of Excel. Learn more: https://go.microsoft.com/fwlink/?linkid=870924
Comment:
    Piriform cortex</t>
      </text>
    </comment>
    <comment ref="AT20" authorId="65" shapeId="0" xr:uid="{05C48F02-D260-40E2-95ED-7F117A7E01D0}">
      <text>
        <t>[Threaded comment]
Your version of Excel allows you to read this threaded comment; however, any edits to it will get removed if the file is opened in a newer version of Excel. Learn more: https://go.microsoft.com/fwlink/?linkid=870924
Comment:
    Used their own method of computer recognition which requires no staining: DOI: 10.1016/s0165-0270(00)00278-8</t>
      </text>
    </comment>
    <comment ref="U21" authorId="66" shapeId="0" xr:uid="{5F803ED3-4D1E-4630-9D62-F824895C38E0}">
      <text>
        <t>[Threaded comment]
Your version of Excel allows you to read this threaded comment; however, any edits to it will get removed if the file is opened in a newer version of Excel. Learn more: https://go.microsoft.com/fwlink/?linkid=870924
Comment:
    Cannula implantation</t>
      </text>
    </comment>
    <comment ref="V21" authorId="67" shapeId="0" xr:uid="{432D2128-C126-4645-AE33-07C9C7E87BF1}">
      <text>
        <t>[Threaded comment]
Your version of Excel allows you to read this threaded comment; however, any edits to it will get removed if the file is opened in a newer version of Excel. Learn more: https://go.microsoft.com/fwlink/?linkid=870924
Comment:
    Cannula implantation</t>
      </text>
    </comment>
    <comment ref="X21" authorId="68" shapeId="0" xr:uid="{131B1A0A-115C-4262-845E-3B4FE5E95C76}">
      <text>
        <t>[Threaded comment]
Your version of Excel allows you to read this threaded comment; however, any edits to it will get removed if the file is opened in a newer version of Excel. Learn more: https://go.microsoft.com/fwlink/?linkid=870924
Comment:
    ET1 stroke induction</t>
      </text>
    </comment>
    <comment ref="AB21" authorId="69" shapeId="0" xr:uid="{62D616EA-7B91-430D-BFC1-23B33131EDFB}">
      <text>
        <t>[Threaded comment]
Your version of Excel allows you to read this threaded comment; however, any edits to it will get removed if the file is opened in a newer version of Excel. Learn more: https://go.microsoft.com/fwlink/?linkid=870924
Comment:
    Piriform cortex</t>
      </text>
    </comment>
    <comment ref="AH21" authorId="70" shapeId="0" xr:uid="{AA9193E8-2C10-42F2-B810-C22F4446B78F}">
      <text>
        <t>[Threaded comment]
Your version of Excel allows you to read this threaded comment; however, any edits to it will get removed if the file is opened in a newer version of Excel. Learn more: https://go.microsoft.com/fwlink/?linkid=870924
Comment:
    1uL/min 6 mins</t>
      </text>
    </comment>
    <comment ref="AQ21" authorId="71" shapeId="0" xr:uid="{AB4BA89E-52D4-47B9-B3E8-E14B941F7CFF}">
      <text>
        <t>[Threaded comment]
Your version of Excel allows you to read this threaded comment; however, any edits to it will get removed if the file is opened in a newer version of Excel. Learn more: https://go.microsoft.com/fwlink/?linkid=870924
Comment:
    20 mins</t>
      </text>
    </comment>
    <comment ref="U22" authorId="72" shapeId="0" xr:uid="{34C0A82A-49C1-4BC9-8A66-07AED7E34600}">
      <text>
        <t>[Threaded comment]
Your version of Excel allows you to read this threaded comment; however, any edits to it will get removed if the file is opened in a newer version of Excel. Learn more: https://go.microsoft.com/fwlink/?linkid=870924
Comment:
    Cannula implantation</t>
      </text>
    </comment>
    <comment ref="V22" authorId="73" shapeId="0" xr:uid="{67EFD8FE-93DF-4E92-B7D5-B997288C5791}">
      <text>
        <t>[Threaded comment]
Your version of Excel allows you to read this threaded comment; however, any edits to it will get removed if the file is opened in a newer version of Excel. Learn more: https://go.microsoft.com/fwlink/?linkid=870924
Comment:
    Cannula implantation</t>
      </text>
    </comment>
    <comment ref="X22" authorId="74" shapeId="0" xr:uid="{9E2DDADC-647B-4C27-836C-8F41493264D2}">
      <text>
        <t>[Threaded comment]
Your version of Excel allows you to read this threaded comment; however, any edits to it will get removed if the file is opened in a newer version of Excel. Learn more: https://go.microsoft.com/fwlink/?linkid=870924
Comment:
    ET1 stroke induction</t>
      </text>
    </comment>
    <comment ref="AB22" authorId="75" shapeId="0" xr:uid="{E9748E9A-4AC7-4BDD-8DDD-0E9E8DD23031}">
      <text>
        <t>[Threaded comment]
Your version of Excel allows you to read this threaded comment; however, any edits to it will get removed if the file is opened in a newer version of Excel. Learn more: https://go.microsoft.com/fwlink/?linkid=870924
Comment:
    Piriform cortex</t>
      </text>
    </comment>
    <comment ref="AH22" authorId="76" shapeId="0" xr:uid="{69FCC51C-645E-46BB-92C2-47641953D5FE}">
      <text>
        <t>[Threaded comment]
Your version of Excel allows you to read this threaded comment; however, any edits to it will get removed if the file is opened in a newer version of Excel. Learn more: https://go.microsoft.com/fwlink/?linkid=870924
Comment:
    1uL/min 6 mins</t>
      </text>
    </comment>
    <comment ref="AQ22" authorId="77" shapeId="0" xr:uid="{F3F7CFAA-2690-446F-9059-75757F60DE58}">
      <text>
        <t>[Threaded comment]
Your version of Excel allows you to read this threaded comment; however, any edits to it will get removed if the file is opened in a newer version of Excel. Learn more: https://go.microsoft.com/fwlink/?linkid=870924
Comment:
    20 mins</t>
      </text>
    </comment>
    <comment ref="AJ23" authorId="78" shapeId="0" xr:uid="{B896DDB5-1473-43E5-9C13-7A307E17E6FA}">
      <text>
        <t>[Threaded comment]
Your version of Excel allows you to read this threaded comment; however, any edits to it will get removed if the file is opened in a newer version of Excel. Learn more: https://go.microsoft.com/fwlink/?linkid=870924
Comment:
    2uL at 0.2uL per min</t>
      </text>
    </comment>
    <comment ref="AJ24" authorId="79" shapeId="0" xr:uid="{989F814F-AF0B-4D74-BC21-B8C859C654AB}">
      <text>
        <t>[Threaded comment]
Your version of Excel allows you to read this threaded comment; however, any edits to it will get removed if the file is opened in a newer version of Excel. Learn more: https://go.microsoft.com/fwlink/?linkid=870924
Comment:
    2uL at 0.2uL per min</t>
      </text>
    </comment>
    <comment ref="AB25" authorId="80" shapeId="0" xr:uid="{061769BF-9A25-4196-AE08-B77DE65B7480}">
      <text>
        <t>[Threaded comment]
Your version of Excel allows you to read this threaded comment; however, any edits to it will get removed if the file is opened in a newer version of Excel. Learn more: https://go.microsoft.com/fwlink/?linkid=870924
Comment:
    3 injection sites, 2 cortical 1 striatal</t>
      </text>
    </comment>
    <comment ref="AH25" authorId="81" shapeId="0" xr:uid="{326A52B8-D250-4D93-AAD5-3925390E5A4C}">
      <text>
        <t>[Threaded comment]
Your version of Excel allows you to read this threaded comment; however, any edits to it will get removed if the file is opened in a newer version of Excel. Learn more: https://go.microsoft.com/fwlink/?linkid=870924
Comment:
    3 injection sites, this volume is total</t>
      </text>
    </comment>
    <comment ref="AB26" authorId="82" shapeId="0" xr:uid="{05A168AA-1FBF-4728-BBC4-470972B23F76}">
      <text>
        <t>[Threaded comment]
Your version of Excel allows you to read this threaded comment; however, any edits to it will get removed if the file is opened in a newer version of Excel. Learn more: https://go.microsoft.com/fwlink/?linkid=870924
Comment:
    3 injection sites, 2 cortical 1 striatal</t>
      </text>
    </comment>
    <comment ref="AH26" authorId="83" shapeId="0" xr:uid="{6320B21A-7CE0-42D5-87DD-7AA93479C560}">
      <text>
        <t>[Threaded comment]
Your version of Excel allows you to read this threaded comment; however, any edits to it will get removed if the file is opened in a newer version of Excel. Learn more: https://go.microsoft.com/fwlink/?linkid=870924
Comment:
    3 injection sites, this volume is total</t>
      </text>
    </comment>
    <comment ref="AO26" authorId="84" shapeId="0" xr:uid="{B1C62B1F-A902-4B70-9C35-71C0CAE057D8}">
      <text>
        <t>[Threaded comment]
Your version of Excel allows you to read this threaded comment; however, any edits to it will get removed if the file is opened in a newer version of Excel. Learn more: https://go.microsoft.com/fwlink/?linkid=870924
Comment:
    Reach therapy</t>
      </text>
    </comment>
    <comment ref="K27" authorId="85" shapeId="0" xr:uid="{A7240C3C-F656-4358-8C7F-C1D4B09D92CC}">
      <text>
        <t>[Threaded comment]
Your version of Excel allows you to read this threaded comment; however, any edits to it will get removed if the file is opened in a newer version of Excel. Learn more: https://go.microsoft.com/fwlink/?linkid=870924
Comment:
    "adult"</t>
      </text>
    </comment>
    <comment ref="AB27" authorId="86" shapeId="0" xr:uid="{8899E835-4073-42F4-B2CE-CA072C11FA37}">
      <text>
        <t>[Threaded comment]
Your version of Excel allows you to read this threaded comment; however, any edits to it will get removed if the file is opened in a newer version of Excel. Learn more: https://go.microsoft.com/fwlink/?linkid=870924
Comment:
    Was "surface" but have changed this to "cortical"</t>
      </text>
    </comment>
    <comment ref="K28" authorId="87" shapeId="0" xr:uid="{BEF60010-A786-4EFF-8F43-D9725D191DE5}">
      <text>
        <t>[Threaded comment]
Your version of Excel allows you to read this threaded comment; however, any edits to it will get removed if the file is opened in a newer version of Excel. Learn more: https://go.microsoft.com/fwlink/?linkid=870924
Comment:
    "adult"</t>
      </text>
    </comment>
    <comment ref="AB28" authorId="88" shapeId="0" xr:uid="{9A71998D-7C77-4930-9EDF-0D067A3F5167}">
      <text>
        <t>[Threaded comment]
Your version of Excel allows you to read this threaded comment; however, any edits to it will get removed if the file is opened in a newer version of Excel. Learn more: https://go.microsoft.com/fwlink/?linkid=870924
Comment:
    Was "surface" but have changed this to "cortical"</t>
      </text>
    </comment>
    <comment ref="K29" authorId="89" shapeId="0" xr:uid="{3A96D40D-9EA2-4B00-834F-C08BD5CB94FF}">
      <text>
        <t>[Threaded comment]
Your version of Excel allows you to read this threaded comment; however, any edits to it will get removed if the file is opened in a newer version of Excel. Learn more: https://go.microsoft.com/fwlink/?linkid=870924
Comment:
    "adult"</t>
      </text>
    </comment>
    <comment ref="AB29" authorId="90" shapeId="0" xr:uid="{65AECA4B-D2D5-4CA8-B0F7-A7391300F607}">
      <text>
        <t>[Threaded comment]
Your version of Excel allows you to read this threaded comment; however, any edits to it will get removed if the file is opened in a newer version of Excel. Learn more: https://go.microsoft.com/fwlink/?linkid=870924
Comment:
    Was "surface" but have changed this to "cortical"</t>
      </text>
    </comment>
    <comment ref="AQ29" authorId="91" shapeId="0" xr:uid="{81C7BA5E-9DA9-4CD7-9952-E5E0337E5F74}">
      <text>
        <t>[Threaded comment]
Your version of Excel allows you to read this threaded comment; however, any edits to it will get removed if the file is opened in a newer version of Excel. Learn more: https://go.microsoft.com/fwlink/?linkid=870924
Comment:
    40 min prior to stroke</t>
      </text>
    </comment>
    <comment ref="R30" authorId="92" shapeId="0" xr:uid="{B521BF61-846B-4491-9141-C87766F3C8C3}">
      <text>
        <t>[Threaded comment]
Your version of Excel allows you to read this threaded comment; however, any edits to it will get removed if the file is opened in a newer version of Excel. Learn more: https://go.microsoft.com/fwlink/?linkid=870924
Comment:
    4-8</t>
      </text>
    </comment>
    <comment ref="AJ30" authorId="93" shapeId="0" xr:uid="{1C1AFAE8-632A-4DD1-8A31-A62BF4AB4E2B}">
      <text>
        <t>[Threaded comment]
Your version of Excel allows you to read this threaded comment; however, any edits to it will get removed if the file is opened in a newer version of Excel. Learn more: https://go.microsoft.com/fwlink/?linkid=870924
Comment:
    1uL per min for 6 min</t>
      </text>
    </comment>
    <comment ref="AJ31" authorId="94" shapeId="0" xr:uid="{9796BA9E-7FB7-44C4-AF7B-569DC1577DD6}">
      <text>
        <t>[Threaded comment]
Your version of Excel allows you to read this threaded comment; however, any edits to it will get removed if the file is opened in a newer version of Excel. Learn more: https://go.microsoft.com/fwlink/?linkid=870924
Comment:
    1uL per min for 6 min</t>
      </text>
    </comment>
    <comment ref="AJ32" authorId="95" shapeId="0" xr:uid="{DA646DA2-EC72-4C0D-8E46-663B78EB5565}">
      <text>
        <t>[Threaded comment]
Your version of Excel allows you to read this threaded comment; however, any edits to it will get removed if the file is opened in a newer version of Excel. Learn more: https://go.microsoft.com/fwlink/?linkid=870924
Comment:
    1uL per min for 6 min</t>
      </text>
    </comment>
    <comment ref="AV32" authorId="96" shapeId="0" xr:uid="{39F51103-47DA-49EB-8928-E3E9C3A5E374}">
      <text>
        <t>[Threaded comment]
Your version of Excel allows you to read this threaded comment; however, any edits to it will get removed if the file is opened in a newer version of Excel. Learn more: https://go.microsoft.com/fwlink/?linkid=870924
Comment:
    Difference between two strains</t>
      </text>
    </comment>
    <comment ref="AJ33" authorId="97" shapeId="0" xr:uid="{64E9C24B-E225-48C7-A6C7-9935C4429F5D}">
      <text>
        <t>[Threaded comment]
Your version of Excel allows you to read this threaded comment; however, any edits to it will get removed if the file is opened in a newer version of Excel. Learn more: https://go.microsoft.com/fwlink/?linkid=870924
Comment:
    1uL per min for 6 min</t>
      </text>
    </comment>
    <comment ref="AV33" authorId="98" shapeId="0" xr:uid="{CD1C0A24-3B99-41C9-80E7-1FF37FCF2AB1}">
      <text>
        <t>[Threaded comment]
Your version of Excel allows you to read this threaded comment; however, any edits to it will get removed if the file is opened in a newer version of Excel. Learn more: https://go.microsoft.com/fwlink/?linkid=870924
Comment:
    Difference between two strains</t>
      </text>
    </comment>
    <comment ref="AJ34" authorId="99" shapeId="0" xr:uid="{FBD91A66-84D4-4A00-A17D-98E61013F904}">
      <text>
        <t>[Threaded comment]
Your version of Excel allows you to read this threaded comment; however, any edits to it will get removed if the file is opened in a newer version of Excel. Learn more: https://go.microsoft.com/fwlink/?linkid=870924
Comment:
    1uL per min for 6 min</t>
      </text>
    </comment>
    <comment ref="AV34" authorId="100" shapeId="0" xr:uid="{888A6560-8806-430D-A70A-D270ACEEDECA}">
      <text>
        <t>[Threaded comment]
Your version of Excel allows you to read this threaded comment; however, any edits to it will get removed if the file is opened in a newer version of Excel. Learn more: https://go.microsoft.com/fwlink/?linkid=870924
Comment:
    Difference between two strains</t>
      </text>
    </comment>
    <comment ref="AJ35" authorId="101" shapeId="0" xr:uid="{2CA45BE0-BA60-4C36-B057-274750FE7EAC}">
      <text>
        <t>[Threaded comment]
Your version of Excel allows you to read this threaded comment; however, any edits to it will get removed if the file is opened in a newer version of Excel. Learn more: https://go.microsoft.com/fwlink/?linkid=870924
Comment:
    1uL per min for 6 min</t>
      </text>
    </comment>
    <comment ref="AV35" authorId="102" shapeId="0" xr:uid="{B13E92AA-E923-436B-A7B9-BFC126B4DBFB}">
      <text>
        <t>[Threaded comment]
Your version of Excel allows you to read this threaded comment; however, any edits to it will get removed if the file is opened in a newer version of Excel. Learn more: https://go.microsoft.com/fwlink/?linkid=870924
Comment:
    Difference between two strains</t>
      </text>
    </comment>
    <comment ref="U36" authorId="103" shapeId="0" xr:uid="{D05CFE47-33EB-488C-A2E1-887AA30653B0}">
      <text>
        <t>[Threaded comment]
Your version of Excel allows you to read this threaded comment; however, any edits to it will get removed if the file is opened in a newer version of Excel. Learn more: https://go.microsoft.com/fwlink/?linkid=870924
Comment:
    Brand name Avertin</t>
      </text>
    </comment>
    <comment ref="X36" authorId="104" shapeId="0" xr:uid="{E9355B59-4172-4E9D-B137-4E8234F5182F}">
      <text>
        <t>[Threaded comment]
Your version of Excel allows you to read this threaded comment; however, any edits to it will get removed if the file is opened in a newer version of Excel. Learn more: https://go.microsoft.com/fwlink/?linkid=870924
Comment:
    Brand name Avertin</t>
      </text>
    </comment>
    <comment ref="AA36" authorId="105" shapeId="0" xr:uid="{387C0AB3-0B73-425C-A811-D761D62598CC}">
      <text>
        <t>[Threaded comment]
Your version of Excel allows you to read this threaded comment; however, any edits to it will get removed if the file is opened in a newer version of Excel. Learn more: https://go.microsoft.com/fwlink/?linkid=870924
Comment:
    pulled borosilicate glass capillary</t>
      </text>
    </comment>
    <comment ref="AB36" authorId="106" shapeId="0" xr:uid="{E1BEC842-4CD3-4EF3-A2F6-82454D4AD1AF}">
      <text>
        <t>[Threaded comment]
Your version of Excel allows you to read this threaded comment; however, any edits to it will get removed if the file is opened in a newer version of Excel. Learn more: https://go.microsoft.com/fwlink/?linkid=870924
Comment:
    Infusions consisted of
three sites which were 2.0 mm lateral to the midline (mediolateral-
ML) and 0.0, + 1.0 and + 2.0 mm relative to the
bregma (anteroposterior-AP, Fig. 1), affecting arterioles
originating from the anterior cerebral artery via the azygous pericallosal, anterior and middle internal frontal arteries as
previously described [37]. Cannula depth was +1.2 mm relative
to the brain surface (dorsoventral- DV).</t>
      </text>
    </comment>
    <comment ref="AF36" authorId="107" shapeId="0" xr:uid="{0800C959-39F4-41F8-B0D9-6936C4D47ACD}">
      <text>
        <t>[Threaded comment]
Your version of Excel allows you to read this threaded comment; however, any edits to it will get removed if the file is opened in a newer version of Excel. Learn more: https://go.microsoft.com/fwlink/?linkid=870924
Comment:
    1 ug/uL or 160pmol per site</t>
      </text>
    </comment>
    <comment ref="AH36" authorId="108" shapeId="0" xr:uid="{C32A0D2E-1978-4A49-9F51-A2179312D78A}">
      <text>
        <t>[Threaded comment]
Your version of Excel allows you to read this threaded comment; however, any edits to it will get removed if the file is opened in a newer version of Excel. Learn more: https://go.microsoft.com/fwlink/?linkid=870924
Comment:
    400nL* 3</t>
      </text>
    </comment>
    <comment ref="AV36" authorId="109" shapeId="0" xr:uid="{1DD919C6-E246-4A63-8344-5488BF83C62E}">
      <text>
        <t>[Threaded comment]
Your version of Excel allows you to read this threaded comment; however, any edits to it will get removed if the file is opened in a newer version of Excel. Learn more: https://go.microsoft.com/fwlink/?linkid=870924
Comment:
    Comparing WT to KO</t>
      </text>
    </comment>
    <comment ref="U37" authorId="110" shapeId="0" xr:uid="{AD35180D-3C73-47B0-A796-D0703EF4EA76}">
      <text>
        <t>[Threaded comment]
Your version of Excel allows you to read this threaded comment; however, any edits to it will get removed if the file is opened in a newer version of Excel. Learn more: https://go.microsoft.com/fwlink/?linkid=870924
Comment:
    Brand name Avertin</t>
      </text>
    </comment>
    <comment ref="X37" authorId="111" shapeId="0" xr:uid="{F77842E8-55D6-4153-A4F4-B6EBBE3360CA}">
      <text>
        <t>[Threaded comment]
Your version of Excel allows you to read this threaded comment; however, any edits to it will get removed if the file is opened in a newer version of Excel. Learn more: https://go.microsoft.com/fwlink/?linkid=870924
Comment:
    Brand name Avertin</t>
      </text>
    </comment>
    <comment ref="AA37" authorId="112" shapeId="0" xr:uid="{B7B38F61-36DC-41A3-A002-6F6C916EDD46}">
      <text>
        <t>[Threaded comment]
Your version of Excel allows you to read this threaded comment; however, any edits to it will get removed if the file is opened in a newer version of Excel. Learn more: https://go.microsoft.com/fwlink/?linkid=870924
Comment:
    pulled borosilicate glass capillary</t>
      </text>
    </comment>
    <comment ref="AB37" authorId="113" shapeId="0" xr:uid="{6B2A694E-5C33-4D16-83A1-A95E9BCDC663}">
      <text>
        <t>[Threaded comment]
Your version of Excel allows you to read this threaded comment; however, any edits to it will get removed if the file is opened in a newer version of Excel. Learn more: https://go.microsoft.com/fwlink/?linkid=870924
Comment:
    Infusions consisted of
three sites which were 2.0 mm lateral to the midline (mediolateral-
ML) and 0.0, + 1.0 and + 2.0 mm relative to the
bregma (anteroposterior-AP, Fig. 1), affecting arterioles
originating from the anterior cerebral artery via the azygous pericallosal, anterior and middle internal frontal arteries as
previously described [37]. Cannula depth was +1.2 mm relative
to the brain surface (dorsoventral- DV).</t>
      </text>
    </comment>
    <comment ref="AF37" authorId="114" shapeId="0" xr:uid="{BB4CA10A-CB0B-49EA-A945-466A3A301572}">
      <text>
        <t>[Threaded comment]
Your version of Excel allows you to read this threaded comment; however, any edits to it will get removed if the file is opened in a newer version of Excel. Learn more: https://go.microsoft.com/fwlink/?linkid=870924
Comment:
    1 ug/uL or 160pmol per site</t>
      </text>
    </comment>
    <comment ref="AH37" authorId="115" shapeId="0" xr:uid="{736C32A5-BB3D-49AB-A069-EEC4B5BD2D6A}">
      <text>
        <t>[Threaded comment]
Your version of Excel allows you to read this threaded comment; however, any edits to it will get removed if the file is opened in a newer version of Excel. Learn more: https://go.microsoft.com/fwlink/?linkid=870924
Comment:
    400nL* 3</t>
      </text>
    </comment>
    <comment ref="AV37" authorId="116" shapeId="0" xr:uid="{8CCD57C6-D95D-4611-80E1-54BA11C28BF1}">
      <text>
        <t>[Threaded comment]
Your version of Excel allows you to read this threaded comment; however, any edits to it will get removed if the file is opened in a newer version of Excel. Learn more: https://go.microsoft.com/fwlink/?linkid=870924
Comment:
    Comparing WT to KO</t>
      </text>
    </comment>
    <comment ref="AB38" authorId="117" shapeId="0" xr:uid="{E4EBE2CB-A9DA-408A-821B-5C0FEACBF157}">
      <text>
        <t>[Threaded comment]
Your version of Excel allows you to read this threaded comment; however, any edits to it will get removed if the file is opened in a newer version of Excel. Learn more: https://go.microsoft.com/fwlink/?linkid=870924
Comment:
    (three sites represent the stereotactic region of
the striatum and the motor cortex): (1) anteroposterior (AP)
+0.7 mm, mediolateral (ML) +2.2 mm, dorsoventral (DV)
–2.0 mm; (2) AP +2.3 mm, ML +2.5 mm, DV –2.5 mm; (3)
AP +0.7 mm, ML +3.8mm, DV –5.8 mm (2 μL per site).</t>
      </text>
    </comment>
    <comment ref="AF38" authorId="118" shapeId="0" xr:uid="{6BE5B710-3816-4B8C-A1AF-371BB47121AA}">
      <text>
        <t>[Threaded comment]
Your version of Excel allows you to read this threaded comment; however, any edits to it will get removed if the file is opened in a newer version of Excel. Learn more: https://go.microsoft.com/fwlink/?linkid=870924
Comment:
    100ug dissolved in 200uL, so 0.5ug/uL</t>
      </text>
    </comment>
    <comment ref="AH38" authorId="119" shapeId="0" xr:uid="{53ED1307-4BD0-46B0-89BA-19F5AFC24971}">
      <text>
        <t>[Threaded comment]
Your version of Excel allows you to read this threaded comment; however, any edits to it will get removed if the file is opened in a newer version of Excel. Learn more: https://go.microsoft.com/fwlink/?linkid=870924
Comment:
    3 injections 2uL</t>
      </text>
    </comment>
    <comment ref="AF39" authorId="120" shapeId="0" xr:uid="{231113B4-231E-4E20-9A77-117AB831706C}">
      <text>
        <t>[Threaded comment]
Your version of Excel allows you to read this threaded comment; however, any edits to it will get removed if the file is opened in a newer version of Excel. Learn more: https://go.microsoft.com/fwlink/?linkid=870924
Comment:
    0.33 uL endothelin-1 (0.3 ug
dissolved in 1 uL saline</t>
      </text>
    </comment>
    <comment ref="AF40" authorId="121" shapeId="0" xr:uid="{082869CF-7F69-494C-8C08-7DC1A4E00161}">
      <text>
        <t>[Threaded comment]
Your version of Excel allows you to read this threaded comment; however, any edits to it will get removed if the file is opened in a newer version of Excel. Learn more: https://go.microsoft.com/fwlink/?linkid=870924
Comment:
    0.33 uL endothelin-1 (0.3 ug
dissolved in 1 uL saline</t>
      </text>
    </comment>
    <comment ref="U41" authorId="122" shapeId="0" xr:uid="{9FE0E966-1872-47FA-8BAD-DAF8492CC3F9}">
      <text>
        <t>[Threaded comment]
Your version of Excel allows you to read this threaded comment; however, any edits to it will get removed if the file is opened in a newer version of Excel. Learn more: https://go.microsoft.com/fwlink/?linkid=870924
Comment:
    Used combination anaesthetic: Hypnorm/Dormicum.
Fentanyl and fluanisone are separate drugs but the latter is almost never used without the former, and together they make up Hypnorm.</t>
      </text>
    </comment>
    <comment ref="V41" authorId="123" shapeId="0" xr:uid="{064610D5-0513-4123-9D90-7D576E24D6CB}">
      <text>
        <t>[Threaded comment]
Your version of Excel allows you to read this threaded comment; however, any edits to it will get removed if the file is opened in a newer version of Excel. Learn more: https://go.microsoft.com/fwlink/?linkid=870924
Comment:
    Brand name Dormicum</t>
      </text>
    </comment>
    <comment ref="AA41" authorId="124" shapeId="0" xr:uid="{12AD5BFD-E26C-4839-AE0A-02993C79AC4D}">
      <text>
        <t>[Threaded comment]
Your version of Excel allows you to read this threaded comment; however, any edits to it will get removed if the file is opened in a newer version of Excel. Learn more: https://go.microsoft.com/fwlink/?linkid=870924
Comment:
    Was microdialysis probe, changed to guide cannula as they are essentially the same thing</t>
      </text>
    </comment>
    <comment ref="AB41" authorId="125" shapeId="0" xr:uid="{BA01D5C4-B96B-405D-936E-5878652EFAAB}">
      <text>
        <t>[Threaded comment]
Your version of Excel allows you to read this threaded comment; however, any edits to it will get removed if the file is opened in a newer version of Excel. Learn more: https://go.microsoft.com/fwlink/?linkid=870924
Comment:
    Piriform cortex</t>
      </text>
    </comment>
    <comment ref="AH41" authorId="126" shapeId="0" xr:uid="{10FCA1FE-CFE9-43DC-8888-AE845615E468}">
      <text>
        <t>[Threaded comment]
Your version of Excel allows you to read this threaded comment; however, any edits to it will get removed if the file is opened in a newer version of Excel. Learn more: https://go.microsoft.com/fwlink/?linkid=870924
Comment:
    6 + 3 + 3 + 3 μl (10 pmol/μl)</t>
      </text>
    </comment>
    <comment ref="AR41" authorId="127" shapeId="0" xr:uid="{7D556307-F7E0-4A30-9FAF-8586BC72B4C4}">
      <text>
        <t>[Threaded comment]
Your version of Excel allows you to read this threaded comment; however, any edits to it will get removed if the file is opened in a newer version of Excel. Learn more: https://go.microsoft.com/fwlink/?linkid=870924
Comment:
    Stroke took 30 mins and drug was given immediately after, borderline during/after</t>
      </text>
    </comment>
    <comment ref="R42" authorId="128" shapeId="0" xr:uid="{2291EE6B-83CC-4C8C-A8D7-10DAB68AFA85}">
      <text>
        <t>[Threaded comment]
Your version of Excel allows you to read this threaded comment; however, any edits to it will get removed if the file is opened in a newer version of Excel. Learn more: https://go.microsoft.com/fwlink/?linkid=870924
Comment:
    3-4</t>
      </text>
    </comment>
    <comment ref="AB42" authorId="129" shapeId="0" xr:uid="{2014B8D5-FA3D-4A78-975F-4CE277803295}">
      <text>
        <t>[Threaded comment]
Your version of Excel allows you to read this threaded comment; however, any edits to it will get removed if the file is opened in a newer version of Excel. Learn more: https://go.microsoft.com/fwlink/?linkid=870924
Comment:
    Caudate putamen</t>
      </text>
    </comment>
    <comment ref="AJ42" authorId="130" shapeId="0" xr:uid="{EA5ECCC0-0AFD-4F4E-B6F5-61E5E2FB13A6}">
      <text>
        <t>[Threaded comment]
Your version of Excel allows you to read this threaded comment; however, any edits to it will get removed if the file is opened in a newer version of Excel. Learn more: https://go.microsoft.com/fwlink/?linkid=870924
Comment:
    25nl/min</t>
      </text>
    </comment>
    <comment ref="R43" authorId="131" shapeId="0" xr:uid="{B252E961-7A92-44D5-BF8C-2D4EFCEB2F97}">
      <text>
        <t>[Threaded comment]
Your version of Excel allows you to read this threaded comment; however, any edits to it will get removed if the file is opened in a newer version of Excel. Learn more: https://go.microsoft.com/fwlink/?linkid=870924
Comment:
    3-4</t>
      </text>
    </comment>
    <comment ref="AB43" authorId="132" shapeId="0" xr:uid="{F6BCA1AE-DA53-49D6-A75E-D5ECCD33BE41}">
      <text>
        <t>[Threaded comment]
Your version of Excel allows you to read this threaded comment; however, any edits to it will get removed if the file is opened in a newer version of Excel. Learn more: https://go.microsoft.com/fwlink/?linkid=870924
Comment:
    Caudate putamen</t>
      </text>
    </comment>
    <comment ref="AJ43" authorId="133" shapeId="0" xr:uid="{C97D6184-A7E4-46CB-BC40-4CFFD3F58DFE}">
      <text>
        <t>[Threaded comment]
Your version of Excel allows you to read this threaded comment; however, any edits to it will get removed if the file is opened in a newer version of Excel. Learn more: https://go.microsoft.com/fwlink/?linkid=870924
Comment:
    25nl/min</t>
      </text>
    </comment>
    <comment ref="AV43" authorId="134" shapeId="0" xr:uid="{1ED03C45-13A5-4198-9093-5C5AA0647235}">
      <text>
        <t>[Threaded comment]
Your version of Excel allows you to read this threaded comment; however, any edits to it will get removed if the file is opened in a newer version of Excel. Learn more: https://go.microsoft.com/fwlink/?linkid=870924
Comment:
    vs sham dose</t>
      </text>
    </comment>
    <comment ref="R44" authorId="135" shapeId="0" xr:uid="{34580135-8D40-46EB-8153-AA6FFA705027}">
      <text>
        <t>[Threaded comment]
Your version of Excel allows you to read this threaded comment; however, any edits to it will get removed if the file is opened in a newer version of Excel. Learn more: https://go.microsoft.com/fwlink/?linkid=870924
Comment:
    3-4</t>
      </text>
    </comment>
    <comment ref="AB44" authorId="136" shapeId="0" xr:uid="{B60D1720-8327-48CB-BF59-33CB1F013255}">
      <text>
        <t>[Threaded comment]
Your version of Excel allows you to read this threaded comment; however, any edits to it will get removed if the file is opened in a newer version of Excel. Learn more: https://go.microsoft.com/fwlink/?linkid=870924
Comment:
    Caudate putamen</t>
      </text>
    </comment>
    <comment ref="AJ44" authorId="137" shapeId="0" xr:uid="{85DF76E0-5AD8-4213-9809-B90681B84CC5}">
      <text>
        <t>[Threaded comment]
Your version of Excel allows you to read this threaded comment; however, any edits to it will get removed if the file is opened in a newer version of Excel. Learn more: https://go.microsoft.com/fwlink/?linkid=870924
Comment:
    25nl/min</t>
      </text>
    </comment>
    <comment ref="AV44" authorId="138" shapeId="0" xr:uid="{4ADD1B88-37B2-4B2D-A7C2-513D6BFA6D82}">
      <text>
        <t>[Threaded comment]
Your version of Excel allows you to read this threaded comment; however, any edits to it will get removed if the file is opened in a newer version of Excel. Learn more: https://go.microsoft.com/fwlink/?linkid=870924
Comment:
    vs sham dose</t>
      </text>
    </comment>
    <comment ref="A45" authorId="139" shapeId="0" xr:uid="{AA2E5AD0-FC2B-44E4-AB52-389F3125BB2F}">
      <text>
        <t>[Threaded comment]
Your version of Excel allows you to read this threaded comment; however, any edits to it will get removed if the file is opened in a newer version of Excel. Learn more: https://go.microsoft.com/fwlink/?linkid=870924
Comment:
    Animals treated with propofol, an anaesthetic</t>
      </text>
    </comment>
    <comment ref="R45" authorId="140" shapeId="0" xr:uid="{16C363C0-E593-49A3-831E-39BDE9E2F190}">
      <text>
        <t>[Threaded comment]
Your version of Excel allows you to read this threaded comment; however, any edits to it will get removed if the file is opened in a newer version of Excel. Learn more: https://go.microsoft.com/fwlink/?linkid=870924
Comment:
    Pooled 3 controls into one when there was no difference</t>
      </text>
    </comment>
    <comment ref="AB45" authorId="141" shapeId="0" xr:uid="{B9D74641-BDC0-4808-BBF6-369262ACC244}">
      <text>
        <t>[Threaded comment]
Your version of Excel allows you to read this threaded comment; however, any edits to it will get removed if the file is opened in a newer version of Excel. Learn more: https://go.microsoft.com/fwlink/?linkid=870924
Comment:
    Striatum</t>
      </text>
    </comment>
    <comment ref="AV45" authorId="142" shapeId="0" xr:uid="{B19D7A70-4DC5-48D9-8D69-5C7CA0845084}">
      <text>
        <t>[Threaded comment]
Your version of Excel allows you to read this threaded comment; however, any edits to it will get removed if the file is opened in a newer version of Excel. Learn more: https://go.microsoft.com/fwlink/?linkid=870924
Comment:
    Is baseline</t>
      </text>
    </comment>
    <comment ref="A46" authorId="143" shapeId="0" xr:uid="{F241AC8D-0959-4220-A22D-9087FD44F2F3}">
      <text>
        <t>[Threaded comment]
Your version of Excel allows you to read this threaded comment; however, any edits to it will get removed if the file is opened in a newer version of Excel. Learn more: https://go.microsoft.com/fwlink/?linkid=870924
Comment:
    Animals treated with propofol, an anaesthetic</t>
      </text>
    </comment>
    <comment ref="R46" authorId="144" shapeId="0" xr:uid="{FD84108F-F707-49A6-A15D-AFCA332DF1AC}">
      <text>
        <t>[Threaded comment]
Your version of Excel allows you to read this threaded comment; however, any edits to it will get removed if the file is opened in a newer version of Excel. Learn more: https://go.microsoft.com/fwlink/?linkid=870924
Comment:
    Pooled 3 controls into one when there was no difference</t>
      </text>
    </comment>
    <comment ref="U46" authorId="145" shapeId="0" xr:uid="{4BEE5743-8B49-4AD8-82DA-8B5EAA1A9C37}">
      <text>
        <t>[Threaded comment]
Your version of Excel allows you to read this threaded comment; however, any edits to it will get removed if the file is opened in a newer version of Excel. Learn more: https://go.microsoft.com/fwlink/?linkid=870924
Comment:
    Initial anaesthetic, not present during stroke</t>
      </text>
    </comment>
    <comment ref="X46" authorId="146" shapeId="0" xr:uid="{7EA655B5-FE1A-44E9-9A02-5ADEB6A27479}">
      <text>
        <t>[Threaded comment]
Your version of Excel allows you to read this threaded comment; however, any edits to it will get removed if the file is opened in a newer version of Excel. Learn more: https://go.microsoft.com/fwlink/?linkid=870924
Comment:
    Propofol was the treatment, but listed it here too</t>
      </text>
    </comment>
    <comment ref="AB46" authorId="147" shapeId="0" xr:uid="{9C6B0FDA-C555-4833-86E9-AED4A95CF359}">
      <text>
        <t>[Threaded comment]
Your version of Excel allows you to read this threaded comment; however, any edits to it will get removed if the file is opened in a newer version of Excel. Learn more: https://go.microsoft.com/fwlink/?linkid=870924
Comment:
    Striatum</t>
      </text>
    </comment>
    <comment ref="AV46" authorId="148" shapeId="0" xr:uid="{C630C83D-CE15-4E72-A621-E58E48B6B868}">
      <text>
        <t>[Threaded comment]
Your version of Excel allows you to read this threaded comment; however, any edits to it will get removed if the file is opened in a newer version of Excel. Learn more: https://go.microsoft.com/fwlink/?linkid=870924
Comment:
    Compared to awake animal</t>
      </text>
    </comment>
    <comment ref="U47" authorId="149" shapeId="0" xr:uid="{34E1DCC5-8616-4456-BD39-A3B014762361}">
      <text>
        <t>[Threaded comment]
Your version of Excel allows you to read this threaded comment; however, any edits to it will get removed if the file is opened in a newer version of Excel. Learn more: https://go.microsoft.com/fwlink/?linkid=870924
Comment:
    Brand name Avertin</t>
      </text>
    </comment>
    <comment ref="X47" authorId="150" shapeId="0" xr:uid="{396BDC4D-1A71-4C4B-BB6F-CA130A0ED55A}">
      <text>
        <t>[Threaded comment]
Your version of Excel allows you to read this threaded comment; however, any edits to it will get removed if the file is opened in a newer version of Excel. Learn more: https://go.microsoft.com/fwlink/?linkid=870924
Comment:
    Brand name Avertin</t>
      </text>
    </comment>
    <comment ref="AB47" authorId="151" shapeId="0" xr:uid="{1C5D98AE-7663-4579-9758-ABDDA0EE9032}">
      <text>
        <t>[Threaded comment]
Your version of Excel allows you to read this threaded comment; however, any edits to it will get removed if the file is opened in a newer version of Excel. Learn more: https://go.microsoft.com/fwlink/?linkid=870924
Comment:
    3 sites</t>
      </text>
    </comment>
    <comment ref="AH47" authorId="152" shapeId="0" xr:uid="{3BEC9387-93A2-4C90-9493-0FFDECF23915}">
      <text>
        <t>[Threaded comment]
Your version of Excel allows you to read this threaded comment; however, any edits to it will get removed if the file is opened in a newer version of Excel. Learn more: https://go.microsoft.com/fwlink/?linkid=870924
Comment:
    3 x 0.33uL</t>
      </text>
    </comment>
    <comment ref="AL47" authorId="153" shapeId="0" xr:uid="{17A4F167-4A0E-47BB-871F-2DCD251F54C6}">
      <text>
        <t>[Threaded comment]
Your version of Excel allows you to read this threaded comment; however, any edits to it will get removed if the file is opened in a newer version of Excel. Learn more: https://go.microsoft.com/fwlink/?linkid=870924
Comment:
    Antibiotic Tribrissen</t>
      </text>
    </comment>
    <comment ref="AV47" authorId="154" shapeId="0" xr:uid="{5B05241B-5FE5-491F-8D4D-D0EF140FFAF4}">
      <text>
        <t>[Threaded comment]
Your version of Excel allows you to read this threaded comment; however, any edits to it will get removed if the file is opened in a newer version of Excel. Learn more: https://go.microsoft.com/fwlink/?linkid=870924
Comment:
    F&lt;1</t>
      </text>
    </comment>
    <comment ref="K48" authorId="155" shapeId="0" xr:uid="{6F744B07-B1FF-4CC3-AEAC-BDE5BAEFAA9D}">
      <text>
        <t>[Threaded comment]
Your version of Excel allows you to read this threaded comment; however, any edits to it will get removed if the file is opened in a newer version of Excel. Learn more: https://go.microsoft.com/fwlink/?linkid=870924
Comment:
    "adult"</t>
      </text>
    </comment>
    <comment ref="AB48" authorId="156" shapeId="0" xr:uid="{C249651F-61F4-4DE7-9844-08902D27561E}">
      <text>
        <t>[Threaded comment]
Your version of Excel allows you to read this threaded comment; however, any edits to it will get removed if the file is opened in a newer version of Excel. Learn more: https://go.microsoft.com/fwlink/?linkid=870924
Comment:
    neostriatum</t>
      </text>
    </comment>
    <comment ref="AB49" authorId="157" shapeId="0" xr:uid="{79AD4C9B-C54C-4A75-A3FB-734A50296CC0}">
      <text>
        <t>[Threaded comment]
Your version of Excel allows you to read this threaded comment; however, any edits to it will get removed if the file is opened in a newer version of Excel. Learn more: https://go.microsoft.com/fwlink/?linkid=870924
Comment:
    2 injections</t>
      </text>
    </comment>
    <comment ref="AH49" authorId="158" shapeId="0" xr:uid="{64FA8702-BE7C-400E-864C-F2785A838DD4}">
      <text>
        <t>[Threaded comment]
Your version of Excel allows you to read this threaded comment; however, any edits to it will get removed if the file is opened in a newer version of Excel. Learn more: https://go.microsoft.com/fwlink/?linkid=870924
Comment:
    2 x 2uL</t>
      </text>
    </comment>
    <comment ref="AL49" authorId="159" shapeId="0" xr:uid="{6CBB266D-735B-41AD-BEB9-2D2841B06C6F}">
      <text>
        <t>[Threaded comment]
Your version of Excel allows you to read this threaded comment; however, any edits to it will get removed if the file is opened in a newer version of Excel. Learn more: https://go.microsoft.com/fwlink/?linkid=870924
Comment:
    Plus topical bupivacaine</t>
      </text>
    </comment>
    <comment ref="AO49" authorId="160" shapeId="0" xr:uid="{1FCA4BBC-3762-4A2E-9829-A33578A4ECA4}">
      <text>
        <t>[Threaded comment]
Your version of Excel allows you to read this threaded comment; however, any edits to it will get removed if the file is opened in a newer version of Excel. Learn more: https://go.microsoft.com/fwlink/?linkid=870924
Comment:
    "cafeteria" diet</t>
      </text>
    </comment>
    <comment ref="AP49" authorId="161" shapeId="0" xr:uid="{0FE606A1-CAC7-4F28-9B5F-3A139669042F}">
      <text>
        <t>[Threaded comment]
Your version of Excel allows you to read this threaded comment; however, any edits to it will get removed if the file is opened in a newer version of Excel. Learn more: https://go.microsoft.com/fwlink/?linkid=870924
Comment:
    Diet hypothesized to worsen stroke</t>
      </text>
    </comment>
    <comment ref="A50" authorId="162" shapeId="0" xr:uid="{45A71820-3374-456C-8A10-F5E38BBBC88C}">
      <text>
        <t>[Threaded comment]
Your version of Excel allows you to read this threaded comment; however, any edits to it will get removed if the file is opened in a newer version of Excel. Learn more: https://go.microsoft.com/fwlink/?linkid=870924
Comment:
    Paper investigates thrombin, which can show both neuroprotective and neurotoxic effects, I took the highest neuroprotective effect paper showed</t>
      </text>
    </comment>
    <comment ref="R50" authorId="163" shapeId="0" xr:uid="{4B905E88-0121-4B80-90E6-D937E289B48C}">
      <text>
        <t>[Threaded comment]
Your version of Excel allows you to read this threaded comment; however, any edits to it will get removed if the file is opened in a newer version of Excel. Learn more: https://go.microsoft.com/fwlink/?linkid=870924
Comment:
    13-15</t>
      </text>
    </comment>
    <comment ref="T50" authorId="164" shapeId="0" xr:uid="{4295F7DD-E9D9-4CB2-B20F-197D77ABEC0B}">
      <text>
        <t>[Threaded comment]
Your version of Excel allows you to read this threaded comment; however, any edits to it will get removed if the file is opened in a newer version of Excel. Learn more: https://go.microsoft.com/fwlink/?linkid=870924
Comment:
    13-15</t>
      </text>
    </comment>
    <comment ref="R51" authorId="165" shapeId="0" xr:uid="{6C8B31FB-51DD-4CDE-AFD5-E90C45E1E75F}">
      <text>
        <t>[Threaded comment]
Your version of Excel allows you to read this threaded comment; however, any edits to it will get removed if the file is opened in a newer version of Excel. Learn more: https://go.microsoft.com/fwlink/?linkid=870924
Comment:
    8-10</t>
      </text>
    </comment>
    <comment ref="T51" authorId="166" shapeId="0" xr:uid="{6975C2C2-3E8C-49C9-A707-7F94D86F516E}">
      <text>
        <t>[Threaded comment]
Your version of Excel allows you to read this threaded comment; however, any edits to it will get removed if the file is opened in a newer version of Excel. Learn more: https://go.microsoft.com/fwlink/?linkid=870924
Comment:
    8-10</t>
      </text>
    </comment>
    <comment ref="AJ51" authorId="167" shapeId="0" xr:uid="{83A71B2A-FF5F-4E88-8C84-3734F5E6B0B6}">
      <text>
        <t>[Threaded comment]
Your version of Excel allows you to read this threaded comment; however, any edits to it will get removed if the file is opened in a newer version of Excel. Learn more: https://go.microsoft.com/fwlink/?linkid=870924
Comment:
    1uL per 90 seconds</t>
      </text>
    </comment>
    <comment ref="AQ51" authorId="168" shapeId="0" xr:uid="{2E128222-1A34-4729-AF9E-5EC8E6FD7818}">
      <text>
        <t>[Threaded comment]
Your version of Excel allows you to read this threaded comment; however, any edits to it will get removed if the file is opened in a newer version of Excel. Learn more: https://go.microsoft.com/fwlink/?linkid=870924
Comment:
    10 mins</t>
      </text>
    </comment>
    <comment ref="AB52" authorId="169" shapeId="0" xr:uid="{EE70EB8D-BE94-430B-8A68-0A83E529B589}">
      <text>
        <t>[Threaded comment]
Your version of Excel allows you to read this threaded comment; however, any edits to it will get removed if the file is opened in a newer version of Excel. Learn more: https://go.microsoft.com/fwlink/?linkid=870924
Comment:
    2 cortical one subcortical</t>
      </text>
    </comment>
    <comment ref="AH52" authorId="170" shapeId="0" xr:uid="{F1BC73CD-DF79-45F8-BFB0-67E3D65813C4}">
      <text>
        <t>[Threaded comment]
Your version of Excel allows you to read this threaded comment; however, any edits to it will get removed if the file is opened in a newer version of Excel. Learn more: https://go.microsoft.com/fwlink/?linkid=870924
Comment:
    2 x 2uL cortical, 1 x 1uL subcortical</t>
      </text>
    </comment>
    <comment ref="A53" authorId="171" shapeId="0" xr:uid="{97B36D14-6B5A-4077-9276-5A43D4BF2D96}">
      <text>
        <t>[Threaded comment]
Your version of Excel allows you to read this threaded comment; however, any edits to it will get removed if the file is opened in a newer version of Excel. Learn more: https://go.microsoft.com/fwlink/?linkid=870924
Comment:
    Immunosuppressor cyclosporine administered</t>
      </text>
    </comment>
    <comment ref="AN53" authorId="172" shapeId="0" xr:uid="{AD58C4A5-8FF6-4D7D-84E3-352A99F3394C}">
      <text>
        <t>[Threaded comment]
Your version of Excel allows you to read this threaded comment; however, any edits to it will get removed if the file is opened in a newer version of Excel. Learn more: https://go.microsoft.com/fwlink/?linkid=870924
Comment:
    Immunosuppressor cyclosporine administered</t>
      </text>
    </comment>
    <comment ref="AS53" authorId="173" shapeId="0" xr:uid="{5E19F217-9EB6-4951-BCD8-9538BD8344B8}">
      <text>
        <t>[Threaded comment]
Your version of Excel allows you to read this threaded comment; however, any edits to it will get removed if the file is opened in a newer version of Excel. Learn more: https://go.microsoft.com/fwlink/?linkid=870924
Comment:
    Pooled their data from 7, 14, and 30 days post-stroke</t>
      </text>
    </comment>
    <comment ref="A54" authorId="174" shapeId="0" xr:uid="{221C5D83-0B14-46A7-A35A-7440C39B23EC}">
      <text>
        <t>[Threaded comment]
Your version of Excel allows you to read this threaded comment; however, any edits to it will get removed if the file is opened in a newer version of Excel. Learn more: https://go.microsoft.com/fwlink/?linkid=870924
Comment:
    Immunosuppressor cyclosporine administered</t>
      </text>
    </comment>
    <comment ref="R54" authorId="175" shapeId="0" xr:uid="{27006FBF-127F-4545-9D22-F602FEAC8C45}">
      <text>
        <t>[Threaded comment]
Your version of Excel allows you to read this threaded comment; however, any edits to it will get removed if the file is opened in a newer version of Excel. Learn more: https://go.microsoft.com/fwlink/?linkid=870924
Comment:
    6-8</t>
      </text>
    </comment>
    <comment ref="T54" authorId="176" shapeId="0" xr:uid="{CC9CE15A-5FC4-418E-BEBB-B65993736926}">
      <text>
        <t>[Threaded comment]
Your version of Excel allows you to read this threaded comment; however, any edits to it will get removed if the file is opened in a newer version of Excel. Learn more: https://go.microsoft.com/fwlink/?linkid=870924
Comment:
    6-8</t>
      </text>
    </comment>
    <comment ref="AN54" authorId="177" shapeId="0" xr:uid="{9860C7CD-00ED-4EE8-A3C3-5A1A14C767BB}">
      <text>
        <t>[Threaded comment]
Your version of Excel allows you to read this threaded comment; however, any edits to it will get removed if the file is opened in a newer version of Excel. Learn more: https://go.microsoft.com/fwlink/?linkid=870924
Comment:
    Immunosuppressor cyclosporine administered</t>
      </text>
    </comment>
    <comment ref="AS54" authorId="178" shapeId="0" xr:uid="{3DDEADB3-7E1C-45DD-9CF9-20339F4290E8}">
      <text>
        <t>[Threaded comment]
Your version of Excel allows you to read this threaded comment; however, any edits to it will get removed if the file is opened in a newer version of Excel. Learn more: https://go.microsoft.com/fwlink/?linkid=870924
Comment:
    3 months</t>
      </text>
    </comment>
    <comment ref="A55" authorId="179" shapeId="0" xr:uid="{39D1E6BC-6334-4128-A064-562CF2233C9D}">
      <text>
        <t>[Threaded comment]
Your version of Excel allows you to read this threaded comment; however, any edits to it will get removed if the file is opened in a newer version of Excel. Learn more: https://go.microsoft.com/fwlink/?linkid=870924
Comment:
    Immunosuppressor cyclosporine administered</t>
      </text>
    </comment>
    <comment ref="R55" authorId="180" shapeId="0" xr:uid="{01ED5685-5586-44CF-81E5-A73DE3C230DE}">
      <text>
        <t>[Threaded comment]
Your version of Excel allows you to read this threaded comment; however, any edits to it will get removed if the file is opened in a newer version of Excel. Learn more: https://go.microsoft.com/fwlink/?linkid=870924
Comment:
    6-8</t>
      </text>
    </comment>
    <comment ref="T55" authorId="181" shapeId="0" xr:uid="{A7CA0517-58EC-4EA8-BD83-DCEA52099C53}">
      <text>
        <t>[Threaded comment]
Your version of Excel allows you to read this threaded comment; however, any edits to it will get removed if the file is opened in a newer version of Excel. Learn more: https://go.microsoft.com/fwlink/?linkid=870924
Comment:
    6-8</t>
      </text>
    </comment>
    <comment ref="AN55" authorId="182" shapeId="0" xr:uid="{921BA6E4-0B21-4FC4-A2CB-F079671DE65B}">
      <text>
        <t>[Threaded comment]
Your version of Excel allows you to read this threaded comment; however, any edits to it will get removed if the file is opened in a newer version of Excel. Learn more: https://go.microsoft.com/fwlink/?linkid=870924
Comment:
    Immunosuppressor cyclosporine administered</t>
      </text>
    </comment>
    <comment ref="AS55" authorId="183" shapeId="0" xr:uid="{487FDBA9-523E-4E06-BC50-47B6B9D3F901}">
      <text>
        <t>[Threaded comment]
Your version of Excel allows you to read this threaded comment; however, any edits to it will get removed if the file is opened in a newer version of Excel. Learn more: https://go.microsoft.com/fwlink/?linkid=870924
Comment:
    3 months</t>
      </text>
    </comment>
    <comment ref="R56" authorId="184" shapeId="0" xr:uid="{E139467B-8C33-4DDD-93FD-92B7DB035C5A}">
      <text>
        <t>[Threaded comment]
Your version of Excel allows you to read this threaded comment; however, any edits to it will get removed if the file is opened in a newer version of Excel. Learn more: https://go.microsoft.com/fwlink/?linkid=870924
Comment:
    10-15</t>
      </text>
    </comment>
    <comment ref="T56" authorId="185" shapeId="0" xr:uid="{A48D936A-8FB4-4D9E-86AF-C2025DF60AE4}">
      <text>
        <t>[Threaded comment]
Your version of Excel allows you to read this threaded comment; however, any edits to it will get removed if the file is opened in a newer version of Excel. Learn more: https://go.microsoft.com/fwlink/?linkid=870924
Comment:
    10-15</t>
      </text>
    </comment>
    <comment ref="U56" authorId="186" shapeId="0" xr:uid="{CCD74041-0A35-4761-9B6A-E05D9E9933E9}">
      <text>
        <t>[Threaded comment]
Your version of Excel allows you to read this threaded comment; however, any edits to it will get removed if the file is opened in a newer version of Excel. Learn more: https://go.microsoft.com/fwlink/?linkid=870924
Comment:
    "inhalation anaesthetic"</t>
      </text>
    </comment>
    <comment ref="X56" authorId="187" shapeId="0" xr:uid="{FF8BB97F-06AB-4DD8-961E-B774B0A0CDA9}">
      <text>
        <t>[Threaded comment]
Your version of Excel allows you to read this threaded comment; however, any edits to it will get removed if the file is opened in a newer version of Excel. Learn more: https://go.microsoft.com/fwlink/?linkid=870924
Comment:
    "inhalation anaesthetic"</t>
      </text>
    </comment>
    <comment ref="R57" authorId="188" shapeId="0" xr:uid="{74578CFC-B587-4615-8A2F-2588734A9CD4}">
      <text>
        <t>[Threaded comment]
Your version of Excel allows you to read this threaded comment; however, any edits to it will get removed if the file is opened in a newer version of Excel. Learn more: https://go.microsoft.com/fwlink/?linkid=870924
Comment:
    10-15</t>
      </text>
    </comment>
    <comment ref="T57" authorId="189" shapeId="0" xr:uid="{99A5D56C-19FE-41F9-BB15-F2B8EFDDF129}">
      <text>
        <t>[Threaded comment]
Your version of Excel allows you to read this threaded comment; however, any edits to it will get removed if the file is opened in a newer version of Excel. Learn more: https://go.microsoft.com/fwlink/?linkid=870924
Comment:
    10-15</t>
      </text>
    </comment>
    <comment ref="U57" authorId="190" shapeId="0" xr:uid="{5BFE4B74-CA9D-425E-B3CE-7D66D9C00AE9}">
      <text>
        <t>[Threaded comment]
Your version of Excel allows you to read this threaded comment; however, any edits to it will get removed if the file is opened in a newer version of Excel. Learn more: https://go.microsoft.com/fwlink/?linkid=870924
Comment:
    "inhalation anaesthetic"</t>
      </text>
    </comment>
    <comment ref="X57" authorId="191" shapeId="0" xr:uid="{EA8048F9-4671-4C8E-8D84-ABE75F74AA35}">
      <text>
        <t>[Threaded comment]
Your version of Excel allows you to read this threaded comment; however, any edits to it will get removed if the file is opened in a newer version of Excel. Learn more: https://go.microsoft.com/fwlink/?linkid=870924
Comment:
    "inhalation anaesthetic"</t>
      </text>
    </comment>
    <comment ref="R58" authorId="192" shapeId="0" xr:uid="{7DA0E7B5-40C0-46EF-8741-38C14F466E39}">
      <text>
        <t>[Threaded comment]
Your version of Excel allows you to read this threaded comment; however, any edits to it will get removed if the file is opened in a newer version of Excel. Learn more: https://go.microsoft.com/fwlink/?linkid=870924
Comment:
    10-15</t>
      </text>
    </comment>
    <comment ref="T58" authorId="193" shapeId="0" xr:uid="{8B0D0C71-1E86-4816-B196-6E2A46D0E88E}">
      <text>
        <t>[Threaded comment]
Your version of Excel allows you to read this threaded comment; however, any edits to it will get removed if the file is opened in a newer version of Excel. Learn more: https://go.microsoft.com/fwlink/?linkid=870924
Comment:
    10-15</t>
      </text>
    </comment>
    <comment ref="U58" authorId="194" shapeId="0" xr:uid="{1905B77E-CACD-4C63-B397-80E65DFABE06}">
      <text>
        <t>[Threaded comment]
Your version of Excel allows you to read this threaded comment; however, any edits to it will get removed if the file is opened in a newer version of Excel. Learn more: https://go.microsoft.com/fwlink/?linkid=870924
Comment:
    "inhalation anaesthetic"</t>
      </text>
    </comment>
    <comment ref="X58" authorId="195" shapeId="0" xr:uid="{63FA2B99-12AC-48F0-A800-1C305B0AB3DF}">
      <text>
        <t>[Threaded comment]
Your version of Excel allows you to read this threaded comment; however, any edits to it will get removed if the file is opened in a newer version of Excel. Learn more: https://go.microsoft.com/fwlink/?linkid=870924
Comment:
    "inhalation anaesthetic"</t>
      </text>
    </comment>
    <comment ref="AJ59" authorId="196" shapeId="0" xr:uid="{6FAAB0DA-86B2-450C-9CEF-6551F658D580}">
      <text>
        <t>[Threaded comment]
Your version of Excel allows you to read this threaded comment; however, any edits to it will get removed if the file is opened in a newer version of Excel. Learn more: https://go.microsoft.com/fwlink/?linkid=870924
Comment:
    0.6uL per min</t>
      </text>
    </comment>
    <comment ref="AB60" authorId="197" shapeId="0" xr:uid="{68DC7948-021C-43C1-8DC5-81B0CAED8421}">
      <text>
        <t>[Threaded comment]
Your version of Excel allows you to read this threaded comment; however, any edits to it will get removed if the file is opened in a newer version of Excel. Learn more: https://go.microsoft.com/fwlink/?linkid=870924
Comment:
    2 x cortical 1 x striatal</t>
      </text>
    </comment>
    <comment ref="AH60" authorId="198" shapeId="0" xr:uid="{07A89C6F-9168-4658-BEA3-B28110179C7B}">
      <text>
        <t>[Threaded comment]
Your version of Excel allows you to read this threaded comment; however, any edits to it will get removed if the file is opened in a newer version of Excel. Learn more: https://go.microsoft.com/fwlink/?linkid=870924
Comment:
    2 x 2uL cortical, 1 x 1uL subcortical</t>
      </text>
    </comment>
    <comment ref="AJ60" authorId="199" shapeId="0" xr:uid="{4C106334-8A93-4BBE-8046-4F849DBC4283}">
      <text>
        <t>[Threaded comment]
Your version of Excel allows you to read this threaded comment; however, any edits to it will get removed if the file is opened in a newer version of Excel. Learn more: https://go.microsoft.com/fwlink/?linkid=870924
Comment:
    0.5 μl/min</t>
      </text>
    </comment>
    <comment ref="AQ60" authorId="200" shapeId="0" xr:uid="{1D69DF9F-66B8-414D-8840-6B4D031AC515}">
      <text>
        <t xml:space="preserve">[Threaded comment]
Your version of Excel allows you to read this threaded comment; however, any edits to it will get removed if the file is opened in a newer version of Excel. Learn more: https://go.microsoft.com/fwlink/?linkid=870924
Comment:
    15 mins prior
</t>
      </text>
    </comment>
    <comment ref="AB61" authorId="201" shapeId="0" xr:uid="{74BD0632-099B-4A23-A83E-6D40CD31DB9B}">
      <text>
        <t>[Threaded comment]
Your version of Excel allows you to read this threaded comment; however, any edits to it will get removed if the file is opened in a newer version of Excel. Learn more: https://go.microsoft.com/fwlink/?linkid=870924
Comment:
    2 x cortical 1 x striatal</t>
      </text>
    </comment>
    <comment ref="AH61" authorId="202" shapeId="0" xr:uid="{A96BD04A-C7E3-4927-AE4E-E4630C4DEE4F}">
      <text>
        <t>[Threaded comment]
Your version of Excel allows you to read this threaded comment; however, any edits to it will get removed if the file is opened in a newer version of Excel. Learn more: https://go.microsoft.com/fwlink/?linkid=870924
Comment:
    2 x 2uL cortical, 1 x 1uL subcortical</t>
      </text>
    </comment>
    <comment ref="AJ61" authorId="203" shapeId="0" xr:uid="{668096DE-EAF6-4A2D-B48C-12F5C89F0A49}">
      <text>
        <t>[Threaded comment]
Your version of Excel allows you to read this threaded comment; however, any edits to it will get removed if the file is opened in a newer version of Excel. Learn more: https://go.microsoft.com/fwlink/?linkid=870924
Comment:
    0.5 μl/min</t>
      </text>
    </comment>
    <comment ref="AQ61" authorId="204" shapeId="0" xr:uid="{6B0604B1-190A-4911-AF28-C07ABD490A27}">
      <text>
        <t xml:space="preserve">[Threaded comment]
Your version of Excel allows you to read this threaded comment; however, any edits to it will get removed if the file is opened in a newer version of Excel. Learn more: https://go.microsoft.com/fwlink/?linkid=870924
Comment:
    15 mins prior
</t>
      </text>
    </comment>
    <comment ref="AJ62" authorId="205" shapeId="0" xr:uid="{D777BB29-36AB-4DDE-B086-A3037E7C48D7}">
      <text>
        <t>[Threaded comment]
Your version of Excel allows you to read this threaded comment; however, any edits to it will get removed if the file is opened in a newer version of Excel. Learn more: https://go.microsoft.com/fwlink/?linkid=870924
Comment:
    0.1uL/min</t>
      </text>
    </comment>
    <comment ref="AJ63" authorId="206" shapeId="0" xr:uid="{06F5103A-DC09-4F7E-AFCC-4F7ABC0ACD11}">
      <text>
        <t>[Threaded comment]
Your version of Excel allows you to read this threaded comment; however, any edits to it will get removed if the file is opened in a newer version of Excel. Learn more: https://go.microsoft.com/fwlink/?linkid=870924
Comment:
    0.1uL/min</t>
      </text>
    </comment>
    <comment ref="AV63" authorId="207" shapeId="0" xr:uid="{642932E9-FEDB-4204-A787-8A410752D75A}">
      <text>
        <t>[Threaded comment]
Your version of Excel allows you to read this threaded comment; however, any edits to it will get removed if the file is opened in a newer version of Excel. Learn more: https://go.microsoft.com/fwlink/?linkid=870924
Comment:
    Compared to C57 mice</t>
      </text>
    </comment>
    <comment ref="AJ64" authorId="208" shapeId="0" xr:uid="{ED82D917-92E5-4507-B3D7-F094A26D9559}">
      <text>
        <t>[Threaded comment]
Your version of Excel allows you to read this threaded comment; however, any edits to it will get removed if the file is opened in a newer version of Excel. Learn more: https://go.microsoft.com/fwlink/?linkid=870924
Comment:
    0.1uL/min</t>
      </text>
    </comment>
    <comment ref="AV64" authorId="209" shapeId="0" xr:uid="{424BC9EA-CE03-42B3-97D4-DCB321874884}">
      <text>
        <t>[Threaded comment]
Your version of Excel allows you to read this threaded comment; however, any edits to it will get removed if the file is opened in a newer version of Excel. Learn more: https://go.microsoft.com/fwlink/?linkid=870924
Comment:
    Compared to C57 mice</t>
      </text>
    </comment>
    <comment ref="A65" authorId="210" shapeId="0" xr:uid="{D7B05779-25F0-4902-8B2A-D1110539AE8C}">
      <text>
        <t>[Threaded comment]
Your version of Excel allows you to read this threaded comment; however, any edits to it will get removed if the file is opened in a newer version of Excel. Learn more: https://go.microsoft.com/fwlink/?linkid=870924
Comment:
    Cortex + striatal volumes for total</t>
      </text>
    </comment>
    <comment ref="R65" authorId="211" shapeId="0" xr:uid="{98A932BB-37DE-49C6-A6E8-FF9CDA1B203C}">
      <text>
        <t>[Threaded comment]
Your version of Excel allows you to read this threaded comment; however, any edits to it will get removed if the file is opened in a newer version of Excel. Learn more: https://go.microsoft.com/fwlink/?linkid=870924
Comment:
    7-8</t>
      </text>
    </comment>
    <comment ref="T65" authorId="212" shapeId="0" xr:uid="{8E9A97A2-EF2C-447F-B148-32474C73EFFF}">
      <text>
        <t>[Threaded comment]
Your version of Excel allows you to read this threaded comment; however, any edits to it will get removed if the file is opened in a newer version of Excel. Learn more: https://go.microsoft.com/fwlink/?linkid=870924
Comment:
    7-8</t>
      </text>
    </comment>
    <comment ref="A66" authorId="213" shapeId="0" xr:uid="{ABD1619A-65E4-4BE3-98C0-85FB49FF280B}">
      <text>
        <t>[Threaded comment]
Your version of Excel allows you to read this threaded comment; however, any edits to it will get removed if the file is opened in a newer version of Excel. Learn more: https://go.microsoft.com/fwlink/?linkid=870924
Comment:
    Cortex + striatal volumes for total</t>
      </text>
    </comment>
    <comment ref="R66" authorId="214" shapeId="0" xr:uid="{C7E227ED-1EC6-41EB-B57F-7A9BF9F00180}">
      <text>
        <t>[Threaded comment]
Your version of Excel allows you to read this threaded comment; however, any edits to it will get removed if the file is opened in a newer version of Excel. Learn more: https://go.microsoft.com/fwlink/?linkid=870924
Comment:
    7-8</t>
      </text>
    </comment>
    <comment ref="T66" authorId="215" shapeId="0" xr:uid="{CE6C9F50-EAC4-454C-83C6-F46E3B07BBCB}">
      <text>
        <t>[Threaded comment]
Your version of Excel allows you to read this threaded comment; however, any edits to it will get removed if the file is opened in a newer version of Excel. Learn more: https://go.microsoft.com/fwlink/?linkid=870924
Comment:
    7-8</t>
      </text>
    </comment>
    <comment ref="AO66" authorId="216" shapeId="0" xr:uid="{01124EA7-060C-4342-9F9B-F1CE45EBBADA}">
      <text>
        <t>[Threaded comment]
Your version of Excel allows you to read this threaded comment; however, any edits to it will get removed if the file is opened in a newer version of Excel. Learn more: https://go.microsoft.com/fwlink/?linkid=870924
Comment:
    Reaching training</t>
      </text>
    </comment>
    <comment ref="U67" authorId="217" shapeId="0" xr:uid="{7F57D15E-BE1C-4E0A-9D5A-5DB7E2D642B2}">
      <text>
        <t>[Threaded comment]
Your version of Excel allows you to read this threaded comment; however, any edits to it will get removed if the file is opened in a newer version of Excel. Learn more: https://go.microsoft.com/fwlink/?linkid=870924
Comment:
    Brand name Zoletil</t>
      </text>
    </comment>
    <comment ref="X67" authorId="218" shapeId="0" xr:uid="{E1D8B921-E65A-4401-9B76-285461FC3A11}">
      <text>
        <t>[Threaded comment]
Your version of Excel allows you to read this threaded comment; however, any edits to it will get removed if the file is opened in a newer version of Excel. Learn more: https://go.microsoft.com/fwlink/?linkid=870924
Comment:
    Brand name Zoletil</t>
      </text>
    </comment>
    <comment ref="AJ67" authorId="219" shapeId="0" xr:uid="{5C5312BC-77A9-4050-B8D1-191C1EA37BEC}">
      <text>
        <t>[Threaded comment]
Your version of Excel allows you to read this threaded comment; however, any edits to it will get removed if the file is opened in a newer version of Excel. Learn more: https://go.microsoft.com/fwlink/?linkid=870924
Comment:
    0.5uL/min</t>
      </text>
    </comment>
    <comment ref="AN67" authorId="220" shapeId="0" xr:uid="{2DF5C98C-A08F-42E1-8FCD-1590DFDF9CB8}">
      <text>
        <t>[Threaded comment]
Your version of Excel allows you to read this threaded comment; however, any edits to it will get removed if the file is opened in a newer version of Excel. Learn more: https://go.microsoft.com/fwlink/?linkid=870924
Comment:
    Antibiotic administration after completion of all surgical procedures
was done to prevent infection.</t>
      </text>
    </comment>
    <comment ref="AO68" authorId="221" shapeId="0" xr:uid="{FD5BBEB1-EB30-4CCF-B25C-447F78BB0AC8}">
      <text>
        <t>[Threaded comment]
Your version of Excel allows you to read this threaded comment; however, any edits to it will get removed if the file is opened in a newer version of Excel. Learn more: https://go.microsoft.com/fwlink/?linkid=870924
Comment:
    Reaching training</t>
      </text>
    </comment>
    <comment ref="AO70" authorId="222" shapeId="0" xr:uid="{9C2EAA8B-FFA8-4D7C-8486-A328B893D41C}">
      <text>
        <t>[Threaded comment]
Your version of Excel allows you to read this threaded comment; however, any edits to it will get removed if the file is opened in a newer version of Excel. Learn more: https://go.microsoft.com/fwlink/?linkid=870924
Comment:
    Reaching training</t>
      </text>
    </comment>
    <comment ref="AF72" authorId="223" shapeId="0" xr:uid="{A5735497-CF56-45D5-8ACC-A57737A91A94}">
      <text>
        <t>[Threaded comment]
Your version of Excel allows you to read this threaded comment; however, any edits to it will get removed if the file is opened in a newer version of Excel. Learn more: https://go.microsoft.com/fwlink/?linkid=870924
Comment:
    0.2ug/uL</t>
      </text>
    </comment>
    <comment ref="AO73" authorId="224" shapeId="0" xr:uid="{C1ED59CC-536F-483E-A87E-BD93802DB69C}">
      <text>
        <t xml:space="preserve">[Threaded comment]
Your version of Excel allows you to read this threaded comment; however, any edits to it will get removed if the file is opened in a newer version of Excel. Learn more: https://go.microsoft.com/fwlink/?linkid=870924
Comment:
    Spry2 and Spry4 siRNA. stimulates injury-induced astrogliosis which limits neuronal cell death and lesion size. </t>
      </text>
    </comment>
    <comment ref="A74" authorId="225" shapeId="0" xr:uid="{D5F5B70B-B086-41B3-9BCF-BB5D9F073409}">
      <text>
        <t>[Threaded comment]
Your version of Excel allows you to read this threaded comment; however, any edits to it will get removed if the file is opened in a newer version of Excel. Learn more: https://go.microsoft.com/fwlink/?linkid=870924
Comment:
    Infarct volumes calculated from cortical + striatal</t>
      </text>
    </comment>
    <comment ref="R74" authorId="226" shapeId="0" xr:uid="{725A5F72-C2AB-4D55-92E7-B99DB4C41147}">
      <text>
        <t>[Threaded comment]
Your version of Excel allows you to read this threaded comment; however, any edits to it will get removed if the file is opened in a newer version of Excel. Learn more: https://go.microsoft.com/fwlink/?linkid=870924
Comment:
    4-6</t>
      </text>
    </comment>
    <comment ref="T74" authorId="227" shapeId="0" xr:uid="{FAC7D7A1-1EA9-4031-87DE-4DB2DAE593D0}">
      <text>
        <t>[Threaded comment]
Your version of Excel allows you to read this threaded comment; however, any edits to it will get removed if the file is opened in a newer version of Excel. Learn more: https://go.microsoft.com/fwlink/?linkid=870924
Comment:
    4-6</t>
      </text>
    </comment>
    <comment ref="AB74" authorId="228" shapeId="0" xr:uid="{3DB41CA0-15B6-4FA1-8D9B-EEB53AB84038}">
      <text>
        <t>[Threaded comment]
Your version of Excel allows you to read this threaded comment; however, any edits to it will get removed if the file is opened in a newer version of Excel. Learn more: https://go.microsoft.com/fwlink/?linkid=870924
Comment:
    Piriform cortex</t>
      </text>
    </comment>
    <comment ref="AT74" authorId="229" shapeId="0" xr:uid="{B294378F-9199-4716-8293-019C1F1DFA60}">
      <text>
        <t>[Threaded comment]
Your version of Excel allows you to read this threaded comment; however, any edits to it will get removed if the file is opened in a newer version of Excel. Learn more: https://go.microsoft.com/fwlink/?linkid=870924
Comment:
    Used their own method of computer recognition which requires no staining: DOI: 10.1016/s0165-0270(00)00278-8</t>
      </text>
    </comment>
    <comment ref="K75" authorId="230" shapeId="0" xr:uid="{861BDA6C-E8BD-4662-90DF-277A8E438373}">
      <text>
        <t>[Threaded comment]
Your version of Excel allows you to read this threaded comment; however, any edits to it will get removed if the file is opened in a newer version of Excel. Learn more: https://go.microsoft.com/fwlink/?linkid=870924
Comment:
    "adult"</t>
      </text>
    </comment>
    <comment ref="AF75" authorId="231" shapeId="0" xr:uid="{D9E0C40F-84D8-4A92-996C-153C28881053}">
      <text>
        <t>[Threaded comment]
Your version of Excel allows you to read this threaded comment; however, any edits to it will get removed if the file is opened in a newer version of Excel. Learn more: https://go.microsoft.com/fwlink/?linkid=870924
Comment:
    2*400pmol</t>
      </text>
    </comment>
    <comment ref="AH75" authorId="232" shapeId="0" xr:uid="{E2F3A5CF-B593-4A2F-A9A2-1C3D247A5A9B}">
      <text>
        <t>[Threaded comment]
Your version of Excel allows you to read this threaded comment; however, any edits to it will get removed if the file is opened in a newer version of Excel. Learn more: https://go.microsoft.com/fwlink/?linkid=870924
Comment:
    2 x 2uL</t>
      </text>
    </comment>
    <comment ref="AJ75" authorId="233" shapeId="0" xr:uid="{A2218E78-5968-433C-ABD7-00574A7A5EB8}">
      <text>
        <t>[Threaded comment]
Your version of Excel allows you to read this threaded comment; however, any edits to it will get removed if the file is opened in a newer version of Excel. Learn more: https://go.microsoft.com/fwlink/?linkid=870924
Comment:
    1uL/min x 2 x 2uL injections</t>
      </text>
    </comment>
    <comment ref="AL75" authorId="234" shapeId="0" xr:uid="{F720869A-D735-4F0F-B6B3-D1132E738BF9}">
      <text>
        <t>[Threaded comment]
Your version of Excel allows you to read this threaded comment; however, any edits to it will get removed if the file is opened in a newer version of Excel. Learn more: https://go.microsoft.com/fwlink/?linkid=870924
Comment:
    Brand marcaine</t>
      </text>
    </comment>
    <comment ref="AB76" authorId="235" shapeId="0" xr:uid="{1F77608B-CD49-49F8-A468-96AFE043516A}">
      <text>
        <t>[Threaded comment]
Your version of Excel allows you to read this threaded comment; however, any edits to it will get removed if the file is opened in a newer version of Excel. Learn more: https://go.microsoft.com/fwlink/?linkid=870924
Comment:
    2 x forelimb cortical sites + 1 striatum</t>
      </text>
    </comment>
    <comment ref="AH76" authorId="236" shapeId="0" xr:uid="{D0838DD0-677A-4BBF-88DD-51ED4B28AE04}">
      <text>
        <t>[Threaded comment]
Your version of Excel allows you to read this threaded comment; however, any edits to it will get removed if the file is opened in a newer version of Excel. Learn more: https://go.microsoft.com/fwlink/?linkid=870924
Comment:
    2uL at each of the forelimb cortical sites
and 1uL in the striatum.</t>
      </text>
    </comment>
    <comment ref="AO76" authorId="237" shapeId="0" xr:uid="{BA035F81-F8F6-4859-980F-3E78836329E7}">
      <text>
        <t>[Threaded comment]
Your version of Excel allows you to read this threaded comment; however, any edits to it will get removed if the file is opened in a newer version of Excel. Learn more: https://go.microsoft.com/fwlink/?linkid=870924
Comment:
    High fat "Western diet"</t>
      </text>
    </comment>
    <comment ref="AP76" authorId="238" shapeId="0" xr:uid="{74D7DB5C-4CD9-4D40-86B7-821FC9D97A00}">
      <text>
        <t>[Threaded comment]
Your version of Excel allows you to read this threaded comment; however, any edits to it will get removed if the file is opened in a newer version of Excel. Learn more: https://go.microsoft.com/fwlink/?linkid=870924
Comment:
    Diet hypothesized to worsen stroke</t>
      </text>
    </comment>
    <comment ref="AQ76" authorId="239" shapeId="0" xr:uid="{44CF33D1-57F0-4177-8E30-5021617E335D}">
      <text>
        <t>[Threaded comment]
Your version of Excel allows you to read this threaded comment; however, any edits to it will get removed if the file is opened in a newer version of Excel. Learn more: https://go.microsoft.com/fwlink/?linkid=870924
Comment:
    3 months prior to stroke</t>
      </text>
    </comment>
    <comment ref="BI76" authorId="240" shapeId="0" xr:uid="{208FF0F4-1F36-4D3D-92E9-3A7318221B5D}">
      <text>
        <t>[Threaded comment]
Your version of Excel allows you to read this threaded comment; however, any edits to it will get removed if the file is opened in a newer version of Excel. Learn more: https://go.microsoft.com/fwlink/?linkid=870924
Comment:
    1 month or 3 months on diet before stroke</t>
      </text>
    </comment>
    <comment ref="AO77" authorId="241" shapeId="0" xr:uid="{8B4540CE-FB97-4B6E-A602-ECFC5CCEEA2F}">
      <text>
        <t>[Threaded comment]
Your version of Excel allows you to read this threaded comment; however, any edits to it will get removed if the file is opened in a newer version of Excel. Learn more: https://go.microsoft.com/fwlink/?linkid=870924
Comment:
    Exercise - mild walking</t>
      </text>
    </comment>
    <comment ref="AJ78" authorId="242" shapeId="0" xr:uid="{BCB443E4-92EB-4268-A08C-C10824955291}">
      <text>
        <t>[Threaded comment]
Your version of Excel allows you to read this threaded comment; however, any edits to it will get removed if the file is opened in a newer version of Excel. Learn more: https://go.microsoft.com/fwlink/?linkid=870924
Comment:
    1uL/min</t>
      </text>
    </comment>
    <comment ref="K79" authorId="243" shapeId="0" xr:uid="{08B296E1-0B0E-45F1-A9AE-33D474C64362}">
      <text>
        <t>[Threaded comment]
Your version of Excel allows you to read this threaded comment; however, any edits to it will get removed if the file is opened in a newer version of Excel. Learn more: https://go.microsoft.com/fwlink/?linkid=870924
Comment:
    "adult"</t>
      </text>
    </comment>
    <comment ref="AB79" authorId="244" shapeId="0" xr:uid="{F85018DD-FCD0-47E2-96C0-1B9D25F41A53}">
      <text>
        <t>[Threaded comment]
Your version of Excel allows you to read this threaded comment; however, any edits to it will get removed if the file is opened in a newer version of Excel. Learn more: https://go.microsoft.com/fwlink/?linkid=870924
Comment:
    5 sites total, one striatal</t>
      </text>
    </comment>
    <comment ref="AH79" authorId="245" shapeId="0" xr:uid="{BC59E6B3-AA85-4B97-96C6-44DC28A04EF1}">
      <text>
        <t>[Threaded comment]
Your version of Excel allows you to read this threaded comment; however, any edits to it will get removed if the file is opened in a newer version of Excel. Learn more: https://go.microsoft.com/fwlink/?linkid=870924
Comment:
    1uL x 5</t>
      </text>
    </comment>
    <comment ref="AJ79" authorId="246" shapeId="0" xr:uid="{5BF46841-E0A2-4803-8FAE-05FD09F48E02}">
      <text>
        <t>[Threaded comment]
Your version of Excel allows you to read this threaded comment; however, any edits to it will get removed if the file is opened in a newer version of Excel. Learn more: https://go.microsoft.com/fwlink/?linkid=870924
Comment:
    0.5uL per min</t>
      </text>
    </comment>
    <comment ref="AL79" authorId="247" shapeId="0" xr:uid="{7FF5E0EA-D5DF-4AB4-B1BC-198A77A90D50}">
      <text>
        <t>[Threaded comment]
Your version of Excel allows you to read this threaded comment; however, any edits to it will get removed if the file is opened in a newer version of Excel. Learn more: https://go.microsoft.com/fwlink/?linkid=870924
Comment:
    Brand name Xylocaine, applied topically</t>
      </text>
    </comment>
    <comment ref="AO79" authorId="248" shapeId="0" xr:uid="{689424EE-B451-48E1-BDA1-E49F17549F8B}">
      <text>
        <t>[Threaded comment]
Your version of Excel allows you to read this threaded comment; however, any edits to it will get removed if the file is opened in a newer version of Excel. Learn more: https://go.microsoft.com/fwlink/?linkid=870924
Comment:
    Forced limb use through ball rolling activity, no restraint</t>
      </text>
    </comment>
    <comment ref="K80" authorId="249" shapeId="0" xr:uid="{4CB3AE49-0AEE-431F-9D58-F5B6CDF38B48}">
      <text>
        <t>[Threaded comment]
Your version of Excel allows you to read this threaded comment; however, any edits to it will get removed if the file is opened in a newer version of Excel. Learn more: https://go.microsoft.com/fwlink/?linkid=870924
Comment:
    "adult"</t>
      </text>
    </comment>
    <comment ref="AB80" authorId="250" shapeId="0" xr:uid="{5B816A53-B3CB-4865-8029-A6A45DA00112}">
      <text>
        <t>[Threaded comment]
Your version of Excel allows you to read this threaded comment; however, any edits to it will get removed if the file is opened in a newer version of Excel. Learn more: https://go.microsoft.com/fwlink/?linkid=870924
Comment:
    5 sites total, one striatal</t>
      </text>
    </comment>
    <comment ref="AH80" authorId="251" shapeId="0" xr:uid="{BC266DF3-05F1-4A52-B31F-3F1E84B67BB4}">
      <text>
        <t>[Threaded comment]
Your version of Excel allows you to read this threaded comment; however, any edits to it will get removed if the file is opened in a newer version of Excel. Learn more: https://go.microsoft.com/fwlink/?linkid=870924
Comment:
    1uL x 5</t>
      </text>
    </comment>
    <comment ref="AJ80" authorId="252" shapeId="0" xr:uid="{B89408CC-90DF-4F35-8748-EC07A3EBD2E1}">
      <text>
        <t>[Threaded comment]
Your version of Excel allows you to read this threaded comment; however, any edits to it will get removed if the file is opened in a newer version of Excel. Learn more: https://go.microsoft.com/fwlink/?linkid=870924
Comment:
    0.5uL per min</t>
      </text>
    </comment>
    <comment ref="AL80" authorId="253" shapeId="0" xr:uid="{283076D3-E510-47D1-86C4-1DC35099B5FE}">
      <text>
        <t>[Threaded comment]
Your version of Excel allows you to read this threaded comment; however, any edits to it will get removed if the file is opened in a newer version of Excel. Learn more: https://go.microsoft.com/fwlink/?linkid=870924
Comment:
    Brand name Xylocaine, applied topically</t>
      </text>
    </comment>
    <comment ref="AO80" authorId="254" shapeId="0" xr:uid="{D270D376-3A24-43EE-B2AD-D9DA17F98ED6}">
      <text>
        <t>[Threaded comment]
Your version of Excel allows you to read this threaded comment; however, any edits to it will get removed if the file is opened in a newer version of Excel. Learn more: https://go.microsoft.com/fwlink/?linkid=870924
Comment:
    Forced limb use through ball rolling activity, no restraint</t>
      </text>
    </comment>
    <comment ref="AF81" authorId="255" shapeId="0" xr:uid="{6D452C67-37F6-4518-9135-F1BAE2B397C2}">
      <text>
        <t>[Threaded comment]
Your version of Excel allows you to read this threaded comment; however, any edits to it will get removed if the file is opened in a newer version of Excel. Learn more: https://go.microsoft.com/fwlink/?linkid=870924
Comment:
    800 pmol x 3 "The coordinates for each 800-pmol ET-1 injection (diluted to
2 mL) in relation to bregma were:"</t>
      </text>
    </comment>
    <comment ref="AH81" authorId="256" shapeId="0" xr:uid="{94CFABCB-D319-4284-8B7E-A023145765B9}">
      <text>
        <t>[Threaded comment]
Your version of Excel allows you to read this threaded comment; however, any edits to it will get removed if the file is opened in a newer version of Excel. Learn more: https://go.microsoft.com/fwlink/?linkid=870924
Comment:
    2uL x 3</t>
      </text>
    </comment>
    <comment ref="AJ81" authorId="257" shapeId="0" xr:uid="{ADD08703-C833-491E-B30F-76CE9127CB55}">
      <text>
        <t>[Threaded comment]
Your version of Excel allows you to read this threaded comment; however, any edits to it will get removed if the file is opened in a newer version of Excel. Learn more: https://go.microsoft.com/fwlink/?linkid=870924
Comment:
    0.5uL per min</t>
      </text>
    </comment>
    <comment ref="AO81" authorId="258" shapeId="0" xr:uid="{F9456EFA-1645-445C-A837-9EF174D1B987}">
      <text>
        <t>[Threaded comment]
Your version of Excel allows you to read this threaded comment; however, any edits to it will get removed if the file is opened in a newer version of Excel. Learn more: https://go.microsoft.com/fwlink/?linkid=870924
Comment:
    Electrode implanted in brain, stimulation done while awake</t>
      </text>
    </comment>
    <comment ref="AH82" authorId="259" shapeId="0" xr:uid="{57C662D4-BA4C-499A-B31D-C4FBC8BAF3A1}">
      <text>
        <t>[Threaded comment]
Your version of Excel allows you to read this threaded comment; however, any edits to it will get removed if the file is opened in a newer version of Excel. Learn more: https://go.microsoft.com/fwlink/?linkid=870924
Comment:
    2 x 2uL cortical, 1uL striatal</t>
      </text>
    </comment>
    <comment ref="AJ82" authorId="260" shapeId="0" xr:uid="{98347242-8E0C-4D31-AD89-81C6D88E31FA}">
      <text>
        <t>[Threaded comment]
Your version of Excel allows you to read this threaded comment; however, any edits to it will get removed if the file is opened in a newer version of Excel. Learn more: https://go.microsoft.com/fwlink/?linkid=870924
Comment:
    1uL / 2 mins</t>
      </text>
    </comment>
    <comment ref="AO82" authorId="261" shapeId="0" xr:uid="{54498D17-5F4F-4161-BC18-727C99A6C040}">
      <text>
        <t>[Threaded comment]
Your version of Excel allows you to read this threaded comment; however, any edits to it will get removed if the file is opened in a newer version of Excel. Learn more: https://go.microsoft.com/fwlink/?linkid=870924
Comment:
    Ipsilateral reach training</t>
      </text>
    </comment>
    <comment ref="AS82" authorId="262" shapeId="0" xr:uid="{EC0F5368-98F9-4014-93E4-79A41177515E}">
      <text>
        <t>[Threaded comment]
Your version of Excel allows you to read this threaded comment; however, any edits to it will get removed if the file is opened in a newer version of Excel. Learn more: https://go.microsoft.com/fwlink/?linkid=870924
Comment:
    2 months</t>
      </text>
    </comment>
    <comment ref="AH83" authorId="263" shapeId="0" xr:uid="{ACA26CEE-235E-4212-BAE0-E7DEDF207941}">
      <text>
        <t>[Threaded comment]
Your version of Excel allows you to read this threaded comment; however, any edits to it will get removed if the file is opened in a newer version of Excel. Learn more: https://go.microsoft.com/fwlink/?linkid=870924
Comment:
    0.33uL x 6</t>
      </text>
    </comment>
    <comment ref="AJ83" authorId="264" shapeId="0" xr:uid="{98BE1ABA-A878-4336-B05F-50C6B392296F}">
      <text>
        <t>[Threaded comment]
Your version of Excel allows you to read this threaded comment; however, any edits to it will get removed if the file is opened in a newer version of Excel. Learn more: https://go.microsoft.com/fwlink/?linkid=870924
Comment:
    3 nL/sec = 0.18 µL/min = ~11.11 mins to inject 2 uL. Rounding this up to 12 to account for human error time</t>
      </text>
    </comment>
    <comment ref="AL83" authorId="265" shapeId="0" xr:uid="{A2C1CEAC-6461-45CA-A627-56FA292498E4}">
      <text>
        <t>[Threaded comment]
Your version of Excel allows you to read this threaded comment; however, any edits to it will get removed if the file is opened in a newer version of Excel. Learn more: https://go.microsoft.com/fwlink/?linkid=870924
Comment:
    "animals received a regimen of pain,
anti-inflammatory and antibiotic medication"</t>
      </text>
    </comment>
    <comment ref="AO83" authorId="266" shapeId="0" xr:uid="{CEB95490-18B6-4C90-AFA0-B26C075A5156}">
      <text>
        <t>[Threaded comment]
Your version of Excel allows you to read this threaded comment; however, any edits to it will get removed if the file is opened in a newer version of Excel. Learn more: https://go.microsoft.com/fwlink/?linkid=870924
Comment:
    Designed to "reliably inactivate neural tissue for sustained periods without
causing damage" to force other half of brain (ipsilateral side) to compensate</t>
      </text>
    </comment>
    <comment ref="AB84" authorId="267" shapeId="0" xr:uid="{941C541A-AF92-4CD0-8DCE-CBB7334008C7}">
      <text>
        <t>[Threaded comment]
Your version of Excel allows you to read this threaded comment; however, any edits to it will get removed if the file is opened in a newer version of Excel. Learn more: https://go.microsoft.com/fwlink/?linkid=870924
Comment:
    Striatal</t>
      </text>
    </comment>
    <comment ref="AJ84" authorId="268" shapeId="0" xr:uid="{4838CCD8-8849-4A3D-A001-9AE90914E20C}">
      <text>
        <t>[Threaded comment]
Your version of Excel allows you to read this threaded comment; however, any edits to it will get removed if the file is opened in a newer version of Excel. Learn more: https://go.microsoft.com/fwlink/?linkid=870924
Comment:
    1uL / 3min</t>
      </text>
    </comment>
    <comment ref="AO84" authorId="269" shapeId="0" xr:uid="{4A92250D-6A39-4A37-9630-10EE5EDAD559}">
      <text>
        <t>[Threaded comment]
Your version of Excel allows you to read this threaded comment; however, any edits to it will get removed if the file is opened in a newer version of Excel. Learn more: https://go.microsoft.com/fwlink/?linkid=870924
Comment:
    A rocking headward to footward movement of the whole body,
is a non-invasive method to induce pulsatile shear stress on
the vascular endothelium eliciting an enhanced production
and secretion of endothelium-derived products such as nitric
oxide, prostacyclin, prostaglandin E2, tissue plasminogen
activator (tPA), and adrenomedullin. All these products have
been shown to protect the brain from ischemic injuries.</t>
      </text>
    </comment>
    <comment ref="AE85" authorId="270" shapeId="0" xr:uid="{476C1DA6-7475-45D7-8457-E6281735312A}">
      <text>
        <t>[Threaded comment]
Your version of Excel allows you to read this threaded comment; however, any edits to it will get removed if the file is opened in a newer version of Excel. Learn more: https://go.microsoft.com/fwlink/?linkid=870924
Comment:
    4-5 days</t>
      </text>
    </comment>
    <comment ref="AN85" authorId="271" shapeId="0" xr:uid="{16170881-EB56-42C7-A0B7-F3554C7704B5}">
      <text>
        <t>[Threaded comment]
Your version of Excel allows you to read this threaded comment; however, any edits to it will get removed if the file is opened in a newer version of Excel. Learn more: https://go.microsoft.com/fwlink/?linkid=870924
Comment:
    "treated with antibiotic"</t>
      </text>
    </comment>
    <comment ref="AE86" authorId="272" shapeId="0" xr:uid="{1275C7DB-FE17-4842-BDC0-4888FB16946F}">
      <text>
        <t>[Threaded comment]
Your version of Excel allows you to read this threaded comment; however, any edits to it will get removed if the file is opened in a newer version of Excel. Learn more: https://go.microsoft.com/fwlink/?linkid=870924
Comment:
    15-16 days</t>
      </text>
    </comment>
    <comment ref="AN86" authorId="273" shapeId="0" xr:uid="{1E85E6A9-0025-4D26-8849-4B4B747F5070}">
      <text>
        <t>[Threaded comment]
Your version of Excel allows you to read this threaded comment; however, any edits to it will get removed if the file is opened in a newer version of Excel. Learn more: https://go.microsoft.com/fwlink/?linkid=870924
Comment:
    Brand Baytril</t>
      </text>
    </comment>
    <comment ref="AB87" authorId="274" shapeId="0" xr:uid="{74D627D5-C615-4D27-B3AC-20050D1CB058}">
      <text>
        <t>[Threaded comment]
Your version of Excel allows you to read this threaded comment; however, any edits to it will get removed if the file is opened in a newer version of Excel. Learn more: https://go.microsoft.com/fwlink/?linkid=870924
Comment:
    Piriform cortex</t>
      </text>
    </comment>
    <comment ref="AE87" authorId="275" shapeId="0" xr:uid="{EB842ED9-9D9B-4A12-9D13-07440610DCB1}">
      <text>
        <t>[Threaded comment]
Your version of Excel allows you to read this threaded comment; however, any edits to it will get removed if the file is opened in a newer version of Excel. Learn more: https://go.microsoft.com/fwlink/?linkid=870924
Comment:
    15-16 days</t>
      </text>
    </comment>
    <comment ref="AN87" authorId="276" shapeId="0" xr:uid="{914A5624-546C-4E64-9ED7-F5976259AE22}">
      <text>
        <t>[Threaded comment]
Your version of Excel allows you to read this threaded comment; however, any edits to it will get removed if the file is opened in a newer version of Excel. Learn more: https://go.microsoft.com/fwlink/?linkid=870924
Comment:
    Brand Baytril</t>
      </text>
    </comment>
    <comment ref="A88" authorId="277" shapeId="0" xr:uid="{7AD10CD0-2225-4894-A5AC-D5AA2E474982}">
      <text>
        <t>[Threaded comment]
Your version of Excel allows you to read this threaded comment; however, any edits to it will get removed if the file is opened in a newer version of Excel. Learn more: https://go.microsoft.com/fwlink/?linkid=870924
Comment:
    Infarct vol calculated from cortical + striatal</t>
      </text>
    </comment>
    <comment ref="AJ88" authorId="278" shapeId="0" xr:uid="{45B3E513-CD5D-48B9-BC53-550EB44710D8}">
      <text>
        <t>[Threaded comment]
Your version of Excel allows you to read this threaded comment; however, any edits to it will get removed if the file is opened in a newer version of Excel. Learn more: https://go.microsoft.com/fwlink/?linkid=870924
Comment:
    0.2 ml every 30 s</t>
      </text>
    </comment>
    <comment ref="BI88" authorId="279" shapeId="0" xr:uid="{BE913830-744C-4C8D-959F-5C1B91768C56}">
      <text>
        <t>[Threaded comment]
Your version of Excel allows you to read this threaded comment; however, any edits to it will get removed if the file is opened in a newer version of Excel. Learn more: https://go.microsoft.com/fwlink/?linkid=870924
Comment:
    An inactive form of treatment was also given</t>
      </text>
    </comment>
    <comment ref="A89" authorId="280" shapeId="0" xr:uid="{A46F5CFA-094B-4DB6-9720-6276DC83CDCD}">
      <text>
        <t>[Threaded comment]
Your version of Excel allows you to read this threaded comment; however, any edits to it will get removed if the file is opened in a newer version of Excel. Learn more: https://go.microsoft.com/fwlink/?linkid=870924
Comment:
    Infarct vol calculated from cortical + striatal</t>
      </text>
    </comment>
    <comment ref="AB89" authorId="281" shapeId="0" xr:uid="{9FC4DA1E-F116-4C9D-A548-5A7B8C384440}">
      <text>
        <t>[Threaded comment]
Your version of Excel allows you to read this threaded comment; however, any edits to it will get removed if the file is opened in a newer version of Excel. Learn more: https://go.microsoft.com/fwlink/?linkid=870924
Comment:
    Piriform cortex</t>
      </text>
    </comment>
    <comment ref="AJ89" authorId="282" shapeId="0" xr:uid="{599232AC-124E-410E-9A95-B883C605DEB1}">
      <text>
        <t>[Threaded comment]
Your version of Excel allows you to read this threaded comment; however, any edits to it will get removed if the file is opened in a newer version of Excel. Learn more: https://go.microsoft.com/fwlink/?linkid=870924
Comment:
    0.2 ml every 30 s</t>
      </text>
    </comment>
    <comment ref="AT89" authorId="283" shapeId="0" xr:uid="{17FE403D-43AF-46C3-80C0-D598860D60D6}">
      <text>
        <t>[Threaded comment]
Your version of Excel allows you to read this threaded comment; however, any edits to it will get removed if the file is opened in a newer version of Excel. Learn more: https://go.microsoft.com/fwlink/?linkid=870924
Comment:
    Used their own method of computer recognition which requires no staining: DOI: 10.1016/s0165-0270(00)00278-8</t>
      </text>
    </comment>
    <comment ref="A90" authorId="284" shapeId="0" xr:uid="{7BD0E66F-5CF2-4EE2-ABA5-05031C373BF6}">
      <text>
        <t>[Threaded comment]
Your version of Excel allows you to read this threaded comment; however, any edits to it will get removed if the file is opened in a newer version of Excel. Learn more: https://go.microsoft.com/fwlink/?linkid=870924
Comment:
    Infarct vol calculated from cortical + striatal</t>
      </text>
    </comment>
    <comment ref="AB90" authorId="285" shapeId="0" xr:uid="{8D87C042-C0DF-45B4-A508-7D92009580B2}">
      <text>
        <t>[Threaded comment]
Your version of Excel allows you to read this threaded comment; however, any edits to it will get removed if the file is opened in a newer version of Excel. Learn more: https://go.microsoft.com/fwlink/?linkid=870924
Comment:
    Piriform cortex</t>
      </text>
    </comment>
    <comment ref="AJ90" authorId="286" shapeId="0" xr:uid="{BDF2E699-2F49-444D-A204-01013B2EAC25}">
      <text>
        <t>[Threaded comment]
Your version of Excel allows you to read this threaded comment; however, any edits to it will get removed if the file is opened in a newer version of Excel. Learn more: https://go.microsoft.com/fwlink/?linkid=870924
Comment:
    0.2 ml every 30 s</t>
      </text>
    </comment>
    <comment ref="AT90" authorId="287" shapeId="0" xr:uid="{497D7FD1-1BC7-45FA-ABBA-F534589B3747}">
      <text>
        <t>[Threaded comment]
Your version of Excel allows you to read this threaded comment; however, any edits to it will get removed if the file is opened in a newer version of Excel. Learn more: https://go.microsoft.com/fwlink/?linkid=870924
Comment:
    Used their own method of computer recognition which requires no staining: DOI: 10.1016/s0165-0270(00)00278-8</t>
      </text>
    </comment>
    <comment ref="AB91" authorId="288" shapeId="0" xr:uid="{A1B9080A-9DFE-46CD-BCA0-CEB79F309BA7}">
      <text>
        <t>[Threaded comment]
Your version of Excel allows you to read this threaded comment; however, any edits to it will get removed if the file is opened in a newer version of Excel. Learn more: https://go.microsoft.com/fwlink/?linkid=870924
Comment:
    Piriform cortex</t>
      </text>
    </comment>
    <comment ref="AJ91" authorId="289" shapeId="0" xr:uid="{38CDB6AA-431C-4F35-BA85-092DF3568A7B}">
      <text>
        <t>[Threaded comment]
Your version of Excel allows you to read this threaded comment; however, any edits to it will get removed if the file is opened in a newer version of Excel. Learn more: https://go.microsoft.com/fwlink/?linkid=870924
Comment:
    0.2 ml every 30 s, just gave until had stroke symptoms</t>
      </text>
    </comment>
    <comment ref="AT91" authorId="290" shapeId="0" xr:uid="{C14CC959-79FA-4430-915C-7494392B79D9}">
      <text>
        <t>[Threaded comment]
Your version of Excel allows you to read this threaded comment; however, any edits to it will get removed if the file is opened in a newer version of Excel. Learn more: https://go.microsoft.com/fwlink/?linkid=870924
Comment:
    Used their own method of computer recognition which requires no staining: DOI: 10.1016/s0165-0270(00)00278-8</t>
      </text>
    </comment>
    <comment ref="AW91" authorId="291" shapeId="0" xr:uid="{BFE34CF6-E0FA-4227-961C-FDEFEC91D2DB}">
      <text>
        <t>[Threaded comment]
Your version of Excel allows you to read this threaded comment; however, any edits to it will get removed if the file is opened in a newer version of Excel. Learn more: https://go.microsoft.com/fwlink/?linkid=870924
Comment:
    Striatal control mean: 36.69
Striatal control error: 5.08</t>
      </text>
    </comment>
    <comment ref="AY91" authorId="292" shapeId="0" xr:uid="{41FF9AF4-FFFA-4CF3-BE02-E3DD168A9A3D}">
      <text>
        <t>[Threaded comment]
Your version of Excel allows you to read this threaded comment; however, any edits to it will get removed if the file is opened in a newer version of Excel. Learn more: https://go.microsoft.com/fwlink/?linkid=870924
Comment:
    Striatal treatment mean: 14.36
Striatal treatment error: 5.5</t>
      </text>
    </comment>
    <comment ref="AB92" authorId="293" shapeId="0" xr:uid="{D7ACC7F4-6B7C-4815-A20F-2BE5FA4D5B14}">
      <text>
        <t>[Threaded comment]
Your version of Excel allows you to read this threaded comment; however, any edits to it will get removed if the file is opened in a newer version of Excel. Learn more: https://go.microsoft.com/fwlink/?linkid=870924
Comment:
    Piriform cortex</t>
      </text>
    </comment>
    <comment ref="AJ92" authorId="294" shapeId="0" xr:uid="{069F1B3E-359F-49F3-8E40-702AEEB7C854}">
      <text>
        <t>[Threaded comment]
Your version of Excel allows you to read this threaded comment; however, any edits to it will get removed if the file is opened in a newer version of Excel. Learn more: https://go.microsoft.com/fwlink/?linkid=870924
Comment:
    0.2 ml every 30 s, just gave until had stroke symptoms</t>
      </text>
    </comment>
    <comment ref="AT92" authorId="295" shapeId="0" xr:uid="{34B22EAF-841C-4025-93C8-F24F21A769BB}">
      <text>
        <t>[Threaded comment]
Your version of Excel allows you to read this threaded comment; however, any edits to it will get removed if the file is opened in a newer version of Excel. Learn more: https://go.microsoft.com/fwlink/?linkid=870924
Comment:
    Used their own method of computer recognition which requires no staining: DOI: 10.1016/s0165-0270(00)00278-8</t>
      </text>
    </comment>
    <comment ref="AW92" authorId="296" shapeId="0" xr:uid="{F9DCD168-C45E-4950-898E-14989C504EE2}">
      <text>
        <t>[Threaded comment]
Your version of Excel allows you to read this threaded comment; however, any edits to it will get removed if the file is opened in a newer version of Excel. Learn more: https://go.microsoft.com/fwlink/?linkid=870924
Comment:
    Striatal control mean: 36.69
Striatal control error: 5.08</t>
      </text>
    </comment>
    <comment ref="AY92" authorId="297" shapeId="0" xr:uid="{626553DF-580B-4188-95EC-ABE325E19AFB}">
      <text>
        <t>[Threaded comment]
Your version of Excel allows you to read this threaded comment; however, any edits to it will get removed if the file is opened in a newer version of Excel. Learn more: https://go.microsoft.com/fwlink/?linkid=870924
Comment:
    Striatal treatment mean: 25.91
Striatal treatment error: 6.46</t>
      </text>
    </comment>
    <comment ref="Q93" authorId="298" shapeId="0" xr:uid="{8B59D676-453B-4557-9A1B-5B3DBE0CBDFB}">
      <text>
        <t>[Threaded comment]
Your version of Excel allows you to read this threaded comment; however, any edits to it will get removed if the file is opened in a newer version of Excel. Learn more: https://go.microsoft.com/fwlink/?linkid=870924
Comment:
    Interestingly animals acted as own controls</t>
      </text>
    </comment>
    <comment ref="AB93" authorId="299" shapeId="0" xr:uid="{C93DC220-BDB2-4791-B340-480212B5358A}">
      <text>
        <t>[Threaded comment]
Your version of Excel allows you to read this threaded comment; however, any edits to it will get removed if the file is opened in a newer version of Excel. Learn more: https://go.microsoft.com/fwlink/?linkid=870924
Comment:
    Piriform cortex</t>
      </text>
    </comment>
    <comment ref="AE93" authorId="300" shapeId="0" xr:uid="{0EB682FC-B4B1-4E8E-9EEF-9C97617988C7}">
      <text>
        <t>[Threaded comment]
Your version of Excel allows you to read this threaded comment; however, any edits to it will get removed if the file is opened in a newer version of Excel. Learn more: https://go.microsoft.com/fwlink/?linkid=870924
Comment:
    15-16 days</t>
      </text>
    </comment>
    <comment ref="AJ93" authorId="301" shapeId="0" xr:uid="{EF947661-C9EE-4DF0-A31F-48D5AFCCC7C7}">
      <text>
        <t>[Threaded comment]
Your version of Excel allows you to read this threaded comment; however, any edits to it will get removed if the file is opened in a newer version of Excel. Learn more: https://go.microsoft.com/fwlink/?linkid=870924
Comment:
    1uL/min</t>
      </text>
    </comment>
    <comment ref="AQ93" authorId="302" shapeId="0" xr:uid="{1BA878CF-C633-4F36-A316-538F0B2A598D}">
      <text>
        <t>[Threaded comment]
Your version of Excel allows you to read this threaded comment; however, any edits to it will get removed if the file is opened in a newer version of Excel. Learn more: https://go.microsoft.com/fwlink/?linkid=870924
Comment:
    20 minutes</t>
      </text>
    </comment>
    <comment ref="AQ94" authorId="303" shapeId="0" xr:uid="{47B13146-13B9-4507-8CA6-0E4AD8A42291}">
      <text>
        <t>[Threaded comment]
Your version of Excel allows you to read this threaded comment; however, any edits to it will get removed if the file is opened in a newer version of Excel. Learn more: https://go.microsoft.com/fwlink/?linkid=870924
Comment:
    20 minutes</t>
      </text>
    </comment>
    <comment ref="AJ95" authorId="304" shapeId="0" xr:uid="{D231AF95-E503-42A0-977A-40E614082A3C}">
      <text>
        <t>[Threaded comment]
Your version of Excel allows you to read this threaded comment; however, any edits to it will get removed if the file is opened in a newer version of Excel. Learn more: https://go.microsoft.com/fwlink/?linkid=870924
Comment:
    1uL/min</t>
      </text>
    </comment>
    <comment ref="AJ96" authorId="305" shapeId="0" xr:uid="{8E2FCFBB-E4C2-4E74-8038-A45EDFC929C8}">
      <text>
        <t>[Threaded comment]
Your version of Excel allows you to read this threaded comment; however, any edits to it will get removed if the file is opened in a newer version of Excel. Learn more: https://go.microsoft.com/fwlink/?linkid=870924
Comment:
    1uL/min</t>
      </text>
    </comment>
    <comment ref="K97" authorId="306" shapeId="0" xr:uid="{D5A8A47E-844E-41C6-9563-490F98E7EDBF}">
      <text>
        <t>[Threaded comment]
Your version of Excel allows you to read this threaded comment; however, any edits to it will get removed if the file is opened in a newer version of Excel. Learn more: https://go.microsoft.com/fwlink/?linkid=870924
Comment:
    "adult"</t>
      </text>
    </comment>
    <comment ref="AJ97" authorId="307" shapeId="0" xr:uid="{FBE074A0-99E6-4512-AC07-8E9BFD22C697}">
      <text>
        <t>[Threaded comment]
Your version of Excel allows you to read this threaded comment; however, any edits to it will get removed if the file is opened in a newer version of Excel. Learn more: https://go.microsoft.com/fwlink/?linkid=870924
Comment:
    0.5uL/min</t>
      </text>
    </comment>
    <comment ref="K98" authorId="308" shapeId="0" xr:uid="{C240D080-85D1-4C95-B3AB-B1DF9DE15210}">
      <text>
        <t>[Threaded comment]
Your version of Excel allows you to read this threaded comment; however, any edits to it will get removed if the file is opened in a newer version of Excel. Learn more: https://go.microsoft.com/fwlink/?linkid=870924
Comment:
    "adult"</t>
      </text>
    </comment>
    <comment ref="AB98" authorId="309" shapeId="0" xr:uid="{724341FF-77FE-47A4-B847-05229C0DD0F6}">
      <text>
        <t>[Threaded comment]
Your version of Excel allows you to read this threaded comment; however, any edits to it will get removed if the file is opened in a newer version of Excel. Learn more: https://go.microsoft.com/fwlink/?linkid=870924
Comment:
    Piriform cortex</t>
      </text>
    </comment>
    <comment ref="K99" authorId="310" shapeId="0" xr:uid="{C02BBA06-5118-4D35-AD3E-BEB92D8B8000}">
      <text>
        <t>[Threaded comment]
Your version of Excel allows you to read this threaded comment; however, any edits to it will get removed if the file is opened in a newer version of Excel. Learn more: https://go.microsoft.com/fwlink/?linkid=870924
Comment:
    "adult"</t>
      </text>
    </comment>
    <comment ref="AH99" authorId="311" shapeId="0" xr:uid="{5735EE50-84FC-4828-8408-88F0193A86B6}">
      <text>
        <t>[Threaded comment]
Your version of Excel allows you to read this threaded comment; however, any edits to it will get removed if the file is opened in a newer version of Excel. Learn more: https://go.microsoft.com/fwlink/?linkid=870924
Comment:
    0.33uL x 6</t>
      </text>
    </comment>
    <comment ref="AL99" authorId="312" shapeId="0" xr:uid="{673D9187-5825-4330-AB0B-67D2CE738CE3}">
      <text>
        <t>[Threaded comment]
Your version of Excel allows you to read this threaded comment; however, any edits to it will get removed if the file is opened in a newer version of Excel. Learn more: https://go.microsoft.com/fwlink/?linkid=870924
Comment:
    Appropriate postoperative care was provided under veterinary
supervision</t>
      </text>
    </comment>
    <comment ref="AO99" authorId="313" shapeId="0" xr:uid="{008665E0-C062-44E0-AEBA-8157739924BF}">
      <text>
        <t>[Threaded comment]
Your version of Excel allows you to read this threaded comment; however, any edits to it will get removed if the file is opened in a newer version of Excel. Learn more: https://go.microsoft.com/fwlink/?linkid=870924
Comment:
    "rehabilitative training"</t>
      </text>
    </comment>
    <comment ref="R100" authorId="314" shapeId="0" xr:uid="{1D8B13AC-E2AD-4DA0-A4AD-5064C488225F}">
      <text>
        <t>[Threaded comment]
Your version of Excel allows you to read this threaded comment; however, any edits to it will get removed if the file is opened in a newer version of Excel. Learn more: https://go.microsoft.com/fwlink/?linkid=870924
Comment:
    10-12</t>
      </text>
    </comment>
    <comment ref="T100" authorId="315" shapeId="0" xr:uid="{71689D76-002B-4567-94B7-E61FE97F67FF}">
      <text>
        <t>[Threaded comment]
Your version of Excel allows you to read this threaded comment; however, any edits to it will get removed if the file is opened in a newer version of Excel. Learn more: https://go.microsoft.com/fwlink/?linkid=870924
Comment:
    10-12</t>
      </text>
    </comment>
    <comment ref="AJ100" authorId="316" shapeId="0" xr:uid="{1988D78B-17AA-4F2A-9C13-FF765D16D74A}">
      <text>
        <t>[Threaded comment]
Your version of Excel allows you to read this threaded comment; however, any edits to it will get removed if the file is opened in a newer version of Excel. Learn more: https://go.microsoft.com/fwlink/?linkid=870924
Comment:
    2-5 mins</t>
      </text>
    </comment>
    <comment ref="R101" authorId="317" shapeId="0" xr:uid="{2116E5D8-118C-45DB-B317-B14BF9D2C16C}">
      <text>
        <t>[Threaded comment]
Your version of Excel allows you to read this threaded comment; however, any edits to it will get removed if the file is opened in a newer version of Excel. Learn more: https://go.microsoft.com/fwlink/?linkid=870924
Comment:
    10-12</t>
      </text>
    </comment>
    <comment ref="T101" authorId="318" shapeId="0" xr:uid="{9E95FEC7-BEBE-45AA-B1EB-67C416F1BB8E}">
      <text>
        <t>[Threaded comment]
Your version of Excel allows you to read this threaded comment; however, any edits to it will get removed if the file is opened in a newer version of Excel. Learn more: https://go.microsoft.com/fwlink/?linkid=870924
Comment:
    10-12</t>
      </text>
    </comment>
    <comment ref="AJ101" authorId="319" shapeId="0" xr:uid="{D04C90B2-CC9C-4BCC-80EC-3CD7DFB4A752}">
      <text>
        <t>[Threaded comment]
Your version of Excel allows you to read this threaded comment; however, any edits to it will get removed if the file is opened in a newer version of Excel. Learn more: https://go.microsoft.com/fwlink/?linkid=870924
Comment:
    2-5 mins</t>
      </text>
    </comment>
    <comment ref="R102" authorId="320" shapeId="0" xr:uid="{3F07BF10-F287-49EA-9618-C7FDD3F4B5E7}">
      <text>
        <t>[Threaded comment]
Your version of Excel allows you to read this threaded comment; however, any edits to it will get removed if the file is opened in a newer version of Excel. Learn more: https://go.microsoft.com/fwlink/?linkid=870924
Comment:
    10-15</t>
      </text>
    </comment>
    <comment ref="T102" authorId="321" shapeId="0" xr:uid="{C490CC5A-CAE1-4FE6-91EA-ADD1D604E0A3}">
      <text>
        <t>[Threaded comment]
Your version of Excel allows you to read this threaded comment; however, any edits to it will get removed if the file is opened in a newer version of Excel. Learn more: https://go.microsoft.com/fwlink/?linkid=870924
Comment:
    10-15</t>
      </text>
    </comment>
    <comment ref="U102" authorId="322" shapeId="0" xr:uid="{38EF9F9B-B7CF-4DC1-957C-CEB3689DBD1A}">
      <text>
        <t>[Threaded comment]
Your version of Excel allows you to read this threaded comment; however, any edits to it will get removed if the file is opened in a newer version of Excel. Learn more: https://go.microsoft.com/fwlink/?linkid=870924
Comment:
    "inhalation anaesthetic"</t>
      </text>
    </comment>
    <comment ref="X102" authorId="323" shapeId="0" xr:uid="{38459738-D805-40D4-8DC0-105C8122E93D}">
      <text>
        <t>[Threaded comment]
Your version of Excel allows you to read this threaded comment; however, any edits to it will get removed if the file is opened in a newer version of Excel. Learn more: https://go.microsoft.com/fwlink/?linkid=870924
Comment:
    "inhalation anaesthetic"</t>
      </text>
    </comment>
    <comment ref="G103" authorId="324" shapeId="0" xr:uid="{024629BB-63A7-447B-94C5-8DCC0F59052E}">
      <text>
        <t>[Threaded comment]
Your version of Excel allows you to read this threaded comment; however, any edits to it will get removed if the file is opened in a newer version of Excel. Learn more: https://go.microsoft.com/fwlink/?linkid=870924
Comment:
    SPF Wistar strain</t>
      </text>
    </comment>
    <comment ref="K103" authorId="325" shapeId="0" xr:uid="{E16951CF-6D33-404A-9750-ACF34C331B2D}">
      <text>
        <t>[Threaded comment]
Your version of Excel allows you to read this threaded comment; however, any edits to it will get removed if the file is opened in a newer version of Excel. Learn more: https://go.microsoft.com/fwlink/?linkid=870924
Comment:
    "adult"</t>
      </text>
    </comment>
    <comment ref="AB103" authorId="326" shapeId="0" xr:uid="{D9F8E6B7-D119-457B-A792-3CD119636310}">
      <text>
        <t>[Threaded comment]
Your version of Excel allows you to read this threaded comment; however, any edits to it will get removed if the file is opened in a newer version of Excel. Learn more: https://go.microsoft.com/fwlink/?linkid=870924
Comment:
    neostriatum</t>
      </text>
    </comment>
    <comment ref="AU103" authorId="327" shapeId="0" xr:uid="{7354853E-F46D-4D85-9BEB-D7D1B2E5D64A}">
      <text>
        <t>[Threaded comment]
Your version of Excel allows you to read this threaded comment; however, any edits to it will get removed if the file is opened in a newer version of Excel. Learn more: https://go.microsoft.com/fwlink/?linkid=870924
Comment:
    + nissl + Luxol fast blue</t>
      </text>
    </comment>
    <comment ref="AB104" authorId="328" shapeId="0" xr:uid="{B619B4FE-4473-4DBA-9328-3E73A6885EDE}">
      <text>
        <t>[Threaded comment]
Your version of Excel allows you to read this threaded comment; however, any edits to it will get removed if the file is opened in a newer version of Excel. Learn more: https://go.microsoft.com/fwlink/?linkid=870924
Comment:
    injected into the motor cortex (2 uL) and into the dorsolateral striatum (2 uL)</t>
      </text>
    </comment>
    <comment ref="AH104" authorId="329" shapeId="0" xr:uid="{F17ED5F1-4B3D-477E-9B2F-AB9F2D63FEA6}">
      <text>
        <t>[Threaded comment]
Your version of Excel allows you to read this threaded comment; however, any edits to it will get removed if the file is opened in a newer version of Excel. Learn more: https://go.microsoft.com/fwlink/?linkid=870924
Comment:
    injected into the motor cortex (2 uL) and into the dorsolateral striatum (2 uL)</t>
      </text>
    </comment>
    <comment ref="AJ104" authorId="330" shapeId="0" xr:uid="{F9649571-0BAB-499B-B429-A27C7D57815B}">
      <text>
        <t>[Threaded comment]
Your version of Excel allows you to read this threaded comment; however, any edits to it will get removed if the file is opened in a newer version of Excel. Learn more: https://go.microsoft.com/fwlink/?linkid=870924
Comment:
    1.0 uL/2 min</t>
      </text>
    </comment>
    <comment ref="AL104" authorId="331" shapeId="0" xr:uid="{119C34DF-A06C-41DF-93F4-76CA1F403C3E}">
      <text>
        <t>[Threaded comment]
Your version of Excel allows you to read this threaded comment; however, any edits to it will get removed if the file is opened in a newer version of Excel. Learn more: https://go.microsoft.com/fwlink/?linkid=870924
Comment:
    topical anesthetic Lidocaine</t>
      </text>
    </comment>
    <comment ref="AB105" authorId="332" shapeId="0" xr:uid="{41345F3E-8D6E-474D-8ACC-6F2894D82BF7}">
      <text>
        <t>[Threaded comment]
Your version of Excel allows you to read this threaded comment; however, any edits to it will get removed if the file is opened in a newer version of Excel. Learn more: https://go.microsoft.com/fwlink/?linkid=870924
Comment:
    striatal</t>
      </text>
    </comment>
    <comment ref="AQ105" authorId="333" shapeId="0" xr:uid="{78C32603-BB1F-4701-8755-9FB2990CAD8D}">
      <text>
        <t>[Threaded comment]
Your version of Excel allows you to read this threaded comment; however, any edits to it will get removed if the file is opened in a newer version of Excel. Learn more: https://go.microsoft.com/fwlink/?linkid=870924
Comment:
    Didn't report exact time after stroke when hypoxia was induced</t>
      </text>
    </comment>
    <comment ref="AU105" authorId="334" shapeId="0" xr:uid="{71BC379D-47FB-4773-A0AF-C6E5265B3C8A}">
      <text>
        <t>[Threaded comment]
Your version of Excel allows you to read this threaded comment; however, any edits to it will get removed if the file is opened in a newer version of Excel. Learn more: https://go.microsoft.com/fwlink/?linkid=870924
Comment:
    + nissl + Luxol fast blue</t>
      </text>
    </comment>
    <comment ref="AJ106" authorId="335" shapeId="0" xr:uid="{278E5190-EA17-47A5-AE30-974773BB263D}">
      <text>
        <t>[Threaded comment]
Your version of Excel allows you to read this threaded comment; however, any edits to it will get removed if the file is opened in a newer version of Excel. Learn more: https://go.microsoft.com/fwlink/?linkid=870924
Comment:
    1uL/min</t>
      </text>
    </comment>
    <comment ref="AB107" authorId="336" shapeId="0" xr:uid="{EA717E2A-37AB-409F-9D6A-7895010B461E}">
      <text>
        <t>[Threaded comment]
Your version of Excel allows you to read this threaded comment; however, any edits to it will get removed if the file is opened in a newer version of Excel. Learn more: https://go.microsoft.com/fwlink/?linkid=870924
Comment:
    (1) AP +0.7 mm, ML +2.2 mm, DV −2.0 mm; 
(2) AP +2.3 mm, ML +2.5 mm, DV −2.3 mm; and 
(3) AP +0.7 mm, ML +3.8 mm, DV −5.8mm</t>
      </text>
    </comment>
    <comment ref="AH107" authorId="337" shapeId="0" xr:uid="{6BE1FC2E-2354-4A53-A811-FA69D68A24AF}">
      <text>
        <t>[Threaded comment]
Your version of Excel allows you to read this threaded comment; however, any edits to it will get removed if the file is opened in a newer version of Excel. Learn more: https://go.microsoft.com/fwlink/?linkid=870924
Comment:
    2uL x 3 injections</t>
      </text>
    </comment>
    <comment ref="AJ107" authorId="338" shapeId="0" xr:uid="{3E1421B7-01A2-4636-B697-6BFD663725F2}">
      <text>
        <t>[Threaded comment]
Your version of Excel allows you to read this threaded comment; however, any edits to it will get removed if the file is opened in a newer version of Excel. Learn more: https://go.microsoft.com/fwlink/?linkid=870924
Comment:
    0.5uL/min</t>
      </text>
    </comment>
    <comment ref="K108" authorId="339" shapeId="0" xr:uid="{779AAFAD-AEE8-4232-9928-4E7B246D6B1F}">
      <text>
        <t>[Threaded comment]
Your version of Excel allows you to read this threaded comment; however, any edits to it will get removed if the file is opened in a newer version of Excel. Learn more: https://go.microsoft.com/fwlink/?linkid=870924
Comment:
    18 months</t>
      </text>
    </comment>
    <comment ref="M108" authorId="340" shapeId="0" xr:uid="{27D95F93-EBCB-43F3-B480-687D9F39CAAA}">
      <text>
        <t>[Threaded comment]
Your version of Excel allows you to read this threaded comment; however, any edits to it will get removed if the file is opened in a newer version of Excel. Learn more: https://go.microsoft.com/fwlink/?linkid=870924
Comment:
    20 months</t>
      </text>
    </comment>
    <comment ref="AB108" authorId="341" shapeId="0" xr:uid="{AE669807-6242-405B-B1AF-B1B3BCB34310}">
      <text>
        <t>[Threaded comment]
Your version of Excel allows you to read this threaded comment; however, any edits to it will get removed if the file is opened in a newer version of Excel. Learn more: https://go.microsoft.com/fwlink/?linkid=870924
Comment:
    (1) AP+3.5 mm ML+ 2.8 mm DV - 1.0 mm; 
(2) AP+2 mm ML+2.8 mm DV - 1.0 mm; and 
(3) AP+0.5 mm ML+2.8 mm DV - 1.0 mm</t>
      </text>
    </comment>
    <comment ref="AH108" authorId="342" shapeId="0" xr:uid="{3F5C737D-B7B6-4F76-A797-0E0E1F679FB1}">
      <text>
        <t>[Threaded comment]
Your version of Excel allows you to read this threaded comment; however, any edits to it will get removed if the file is opened in a newer version of Excel. Learn more: https://go.microsoft.com/fwlink/?linkid=870924
Comment:
    1.uL x 3 injections</t>
      </text>
    </comment>
    <comment ref="AJ108" authorId="343" shapeId="0" xr:uid="{A9D09184-5FBA-43D8-AC1E-6B756AFDC748}">
      <text>
        <t>[Threaded comment]
Your version of Excel allows you to read this threaded comment; however, any edits to it will get removed if the file is opened in a newer version of Excel. Learn more: https://go.microsoft.com/fwlink/?linkid=870924
Comment:
    0.5uL/min</t>
      </text>
    </comment>
    <comment ref="AD109" authorId="344" shapeId="0" xr:uid="{A353495A-DA05-43DB-8112-69C0ED2B9636}">
      <text>
        <t>[Threaded comment]
Your version of Excel allows you to read this threaded comment; however, any edits to it will get removed if the file is opened in a newer version of Excel. Learn more: https://go.microsoft.com/fwlink/?linkid=870924
Comment:
    I suspect conscious though</t>
      </text>
    </comment>
    <comment ref="AE109" authorId="345" shapeId="0" xr:uid="{B663ABEA-3154-4F4A-B07E-068220737741}">
      <text>
        <t>[Threaded comment]
Your version of Excel allows you to read this threaded comment; however, any edits to it will get removed if the file is opened in a newer version of Excel. Learn more: https://go.microsoft.com/fwlink/?linkid=870924
Comment:
    Some time after stroke though</t>
      </text>
    </comment>
    <comment ref="AJ109" authorId="346" shapeId="0" xr:uid="{93A32729-6A8A-4193-8F06-E7FA899292B8}">
      <text>
        <t>[Threaded comment]
Your version of Excel allows you to read this threaded comment; however, any edits to it will get removed if the file is opened in a newer version of Excel. Learn more: https://go.microsoft.com/fwlink/?linkid=870924
Comment:
    0.2uL/min</t>
      </text>
    </comment>
    <comment ref="AQ110" authorId="347" shapeId="0" xr:uid="{76247962-8D42-4A32-8107-7900FB31135B}">
      <text>
        <t>[Threaded comment]
Your version of Excel allows you to read this threaded comment; however, any edits to it will get removed if the file is opened in a newer version of Excel. Learn more: https://go.microsoft.com/fwlink/?linkid=870924
Comment:
    10 mins</t>
      </text>
    </comment>
    <comment ref="A111" authorId="348" shapeId="0" xr:uid="{31C9600D-1883-48CB-B3F4-EF36A0F0D30F}">
      <text>
        <t>[Threaded comment]
Your version of Excel allows you to read this threaded comment; however, any edits to it will get removed if the file is opened in a newer version of Excel. Learn more: https://go.microsoft.com/fwlink/?linkid=870924
Comment:
    Reports in cortical + striatal, cortical volumes in cells, striatal in comments</t>
      </text>
    </comment>
    <comment ref="Q111" authorId="349" shapeId="0" xr:uid="{43FF1835-334D-4979-A615-94B793A30801}">
      <text>
        <t>[Threaded comment]
Your version of Excel allows you to read this threaded comment; however, any edits to it will get removed if the file is opened in a newer version of Excel. Learn more: https://go.microsoft.com/fwlink/?linkid=870924
Comment:
    One without vehicle, one with. I took with vehicle</t>
      </text>
    </comment>
    <comment ref="AF111" authorId="350" shapeId="0" xr:uid="{BFC9131C-DC18-47F5-AFF6-34287264FEF7}">
      <text>
        <t>[Threaded comment]
Your version of Excel allows you to read this threaded comment; however, any edits to it will get removed if the file is opened in a newer version of Excel. Learn more: https://go.microsoft.com/fwlink/?linkid=870924
Comment:
    0.1 M</t>
      </text>
    </comment>
    <comment ref="H112" authorId="351" shapeId="0" xr:uid="{AA7C7387-2D10-423A-BC21-73732DD01808}">
      <text>
        <t>[Threaded comment]
Your version of Excel allows you to read this threaded comment; however, any edits to it will get removed if the file is opened in a newer version of Excel. Learn more: https://go.microsoft.com/fwlink/?linkid=870924
Comment:
    Also reported male/female separately but didn't specify which treatment group they were in so couldn't use it</t>
      </text>
    </comment>
    <comment ref="K112" authorId="352" shapeId="0" xr:uid="{F08EB9A0-F255-4050-9B58-F585521FAF3D}">
      <text>
        <t>[Threaded comment]
Your version of Excel allows you to read this threaded comment; however, any edits to it will get removed if the file is opened in a newer version of Excel. Learn more: https://go.microsoft.com/fwlink/?linkid=870924
Comment:
    "adult"</t>
      </text>
    </comment>
    <comment ref="AB112" authorId="353" shapeId="0" xr:uid="{A11B4877-D58F-4742-AA52-F76DBE90B7CE}">
      <text>
        <t>[Threaded comment]
Your version of Excel allows you to read this threaded comment; however, any edits to it will get removed if the file is opened in a newer version of Excel. Learn more: https://go.microsoft.com/fwlink/?linkid=870924
Comment:
    Medial prefrontal cortex (MPFC)</t>
      </text>
    </comment>
    <comment ref="AC112" authorId="354" shapeId="0" xr:uid="{4691DF4A-F269-4F74-9C46-887E058BF02C}">
      <text>
        <t>[Threaded comment]
Your version of Excel allows you to read this threaded comment; however, any edits to it will get removed if the file is opened in a newer version of Excel. Learn more: https://go.microsoft.com/fwlink/?linkid=870924
Comment:
    4 sites at the following Bregma coordinates:
[AP+3.5, ML ± 0.6, DV−5.2] and [AP+2.5, ML ± 0.6, DV−5.0].</t>
      </text>
    </comment>
    <comment ref="AF112" authorId="355" shapeId="0" xr:uid="{1A4D3D04-535E-4068-84C8-1A825E9349DE}">
      <text>
        <t>[Threaded comment]
Your version of Excel allows you to read this threaded comment; however, any edits to it will get removed if the file is opened in a newer version of Excel. Learn more: https://go.microsoft.com/fwlink/?linkid=870924
Comment:
    400pmol*4</t>
      </text>
    </comment>
    <comment ref="AH112" authorId="356" shapeId="0" xr:uid="{D774E7B5-AD79-41B0-9BBB-08AAE2F27138}">
      <text>
        <t>[Threaded comment]
Your version of Excel allows you to read this threaded comment; however, any edits to it will get removed if the file is opened in a newer version of Excel. Learn more: https://go.microsoft.com/fwlink/?linkid=870924
Comment:
    0.8uL*4</t>
      </text>
    </comment>
    <comment ref="AT112" authorId="357" shapeId="0" xr:uid="{89CD87F7-15EB-4388-B21E-7BF5FD0E10DE}">
      <text>
        <t>[Threaded comment]
Your version of Excel allows you to read this threaded comment; however, any edits to it will get removed if the file is opened in a newer version of Excel. Learn more: https://go.microsoft.com/fwlink/?linkid=870924
Comment:
    Possibly MRI</t>
      </text>
    </comment>
    <comment ref="K113" authorId="358" shapeId="0" xr:uid="{E19B2E14-92D4-4701-A3BA-FBAB04D3706B}">
      <text>
        <t>[Threaded comment]
Your version of Excel allows you to read this threaded comment; however, any edits to it will get removed if the file is opened in a newer version of Excel. Learn more: https://go.microsoft.com/fwlink/?linkid=870924
Comment:
    6 months</t>
      </text>
    </comment>
    <comment ref="M113" authorId="359" shapeId="0" xr:uid="{9ECCFC42-C2B5-43F1-BAEB-67165E287184}">
      <text>
        <t>[Threaded comment]
Your version of Excel allows you to read this threaded comment; however, any edits to it will get removed if the file is opened in a newer version of Excel. Learn more: https://go.microsoft.com/fwlink/?linkid=870924
Comment:
    7 months</t>
      </text>
    </comment>
    <comment ref="AF113" authorId="360" shapeId="0" xr:uid="{901671AC-60D9-4B9F-B407-B4F9F8E8037B}">
      <text>
        <t>[Threaded comment]
Your version of Excel allows you to read this threaded comment; however, any edits to it will get removed if the file is opened in a newer version of Excel. Learn more: https://go.microsoft.com/fwlink/?linkid=870924
Comment:
    "3 μl of ET-1 (endothelin-1) (0.5 ml
in 1 ml of PBS; American Peptide Company)."</t>
      </text>
    </comment>
    <comment ref="AV113" authorId="361" shapeId="0" xr:uid="{4786F266-1DB1-47FB-8B1E-48A5F4D36F51}">
      <text>
        <t>[Threaded comment]
Your version of Excel allows you to read this threaded comment; however, any edits to it will get removed if the file is opened in a newer version of Excel. Learn more: https://go.microsoft.com/fwlink/?linkid=870924
Comment:
    Compared to other 3 groups</t>
      </text>
    </comment>
    <comment ref="BA113" authorId="362" shapeId="0" xr:uid="{05E21335-49C5-41CD-AE92-97006D04DBA5}">
      <text>
        <t>[Threaded comment]
Your version of Excel allows you to read this threaded comment; however, any edits to it will get removed if the file is opened in a newer version of Excel. Learn more: https://go.microsoft.com/fwlink/?linkid=870924
Comment:
    Calculated myself in excel</t>
      </text>
    </comment>
    <comment ref="BB113" authorId="363" shapeId="0" xr:uid="{87AF1A1B-BF15-43AF-9E40-99336BE6D938}">
      <text>
        <t>[Threaded comment]
Your version of Excel allows you to read this threaded comment; however, any edits to it will get removed if the file is opened in a newer version of Excel. Learn more: https://go.microsoft.com/fwlink/?linkid=870924
Comment:
    Calculated myself in excel</t>
      </text>
    </comment>
    <comment ref="K114" authorId="364" shapeId="0" xr:uid="{3EFD41E0-0B9E-4F6A-BE58-61A8C2C1974E}">
      <text>
        <t>[Threaded comment]
Your version of Excel allows you to read this threaded comment; however, any edits to it will get removed if the file is opened in a newer version of Excel. Learn more: https://go.microsoft.com/fwlink/?linkid=870924
Comment:
    10 months</t>
      </text>
    </comment>
    <comment ref="M114" authorId="365" shapeId="0" xr:uid="{CE3EF833-7AFA-47FC-BAD0-30CF74A0C776}">
      <text>
        <t>[Threaded comment]
Your version of Excel allows you to read this threaded comment; however, any edits to it will get removed if the file is opened in a newer version of Excel. Learn more: https://go.microsoft.com/fwlink/?linkid=870924
Comment:
    12 months</t>
      </text>
    </comment>
    <comment ref="AF114" authorId="366" shapeId="0" xr:uid="{C9B7302B-3CE2-4E39-8787-E70A9D3AC2AB}">
      <text>
        <t>[Threaded comment]
Your version of Excel allows you to read this threaded comment; however, any edits to it will get removed if the file is opened in a newer version of Excel. Learn more: https://go.microsoft.com/fwlink/?linkid=870924
Comment:
    "3 μl of ET-1 (endothelin-1) (0.5 ml
in 1 ml of PBS; American Peptide Company)."</t>
      </text>
    </comment>
    <comment ref="BA114" authorId="367" shapeId="0" xr:uid="{7C69FB67-A926-4B36-BD2E-60C53A1D5660}">
      <text>
        <t>[Threaded comment]
Your version of Excel allows you to read this threaded comment; however, any edits to it will get removed if the file is opened in a newer version of Excel. Learn more: https://go.microsoft.com/fwlink/?linkid=870924
Comment:
    Calculated myself in excel</t>
      </text>
    </comment>
    <comment ref="BB114" authorId="368" shapeId="0" xr:uid="{4E950117-1C36-47E6-AB53-A8FBB1F4A3B2}">
      <text>
        <t>[Threaded comment]
Your version of Excel allows you to read this threaded comment; however, any edits to it will get removed if the file is opened in a newer version of Excel. Learn more: https://go.microsoft.com/fwlink/?linkid=870924
Comment:
    Calculated myself in excel</t>
      </text>
    </comment>
    <comment ref="K115" authorId="369" shapeId="0" xr:uid="{AD9B4C94-BF69-48FD-8670-E1EE68ADF83B}">
      <text>
        <t>[Threaded comment]
Your version of Excel allows you to read this threaded comment; however, any edits to it will get removed if the file is opened in a newer version of Excel. Learn more: https://go.microsoft.com/fwlink/?linkid=870924
Comment:
    6 months</t>
      </text>
    </comment>
    <comment ref="M115" authorId="370" shapeId="0" xr:uid="{4FC196F8-4D69-48BA-B944-225D8742CB4F}">
      <text>
        <t>[Threaded comment]
Your version of Excel allows you to read this threaded comment; however, any edits to it will get removed if the file is opened in a newer version of Excel. Learn more: https://go.microsoft.com/fwlink/?linkid=870924
Comment:
    7 months</t>
      </text>
    </comment>
    <comment ref="AF115" authorId="371" shapeId="0" xr:uid="{1EC9FA88-E549-4A30-A980-1F0AC2886875}">
      <text>
        <t>[Threaded comment]
Your version of Excel allows you to read this threaded comment; however, any edits to it will get removed if the file is opened in a newer version of Excel. Learn more: https://go.microsoft.com/fwlink/?linkid=870924
Comment:
    "3 μl of ET-1 (endothelin-1) (0.5 ml
in 1 ml of PBS; American Peptide Company)."</t>
      </text>
    </comment>
    <comment ref="BA115" authorId="372" shapeId="0" xr:uid="{74C89DCD-937C-4EE2-8CDA-7082085DF9ED}">
      <text>
        <t>[Threaded comment]
Your version of Excel allows you to read this threaded comment; however, any edits to it will get removed if the file is opened in a newer version of Excel. Learn more: https://go.microsoft.com/fwlink/?linkid=870924
Comment:
    Calculated myself in excel</t>
      </text>
    </comment>
    <comment ref="BB115" authorId="373" shapeId="0" xr:uid="{6A93CBEC-A71E-489D-893B-258B623EAC45}">
      <text>
        <t>[Threaded comment]
Your version of Excel allows you to read this threaded comment; however, any edits to it will get removed if the file is opened in a newer version of Excel. Learn more: https://go.microsoft.com/fwlink/?linkid=870924
Comment:
    Calculated myself in excel</t>
      </text>
    </comment>
    <comment ref="K116" authorId="374" shapeId="0" xr:uid="{5086593F-0930-473B-AF50-F853FFCB21AE}">
      <text>
        <t>[Threaded comment]
Your version of Excel allows you to read this threaded comment; however, any edits to it will get removed if the file is opened in a newer version of Excel. Learn more: https://go.microsoft.com/fwlink/?linkid=870924
Comment:
    10 months</t>
      </text>
    </comment>
    <comment ref="M116" authorId="375" shapeId="0" xr:uid="{9BE2E27F-F563-4067-8B22-DE6BD540D846}">
      <text>
        <t>[Threaded comment]
Your version of Excel allows you to read this threaded comment; however, any edits to it will get removed if the file is opened in a newer version of Excel. Learn more: https://go.microsoft.com/fwlink/?linkid=870924
Comment:
    12 months</t>
      </text>
    </comment>
    <comment ref="AF116" authorId="376" shapeId="0" xr:uid="{61DA58F1-8EA8-40CA-AC73-E82D3428DF0C}">
      <text>
        <t>[Threaded comment]
Your version of Excel allows you to read this threaded comment; however, any edits to it will get removed if the file is opened in a newer version of Excel. Learn more: https://go.microsoft.com/fwlink/?linkid=870924
Comment:
    "3 μl of ET-1 (endothelin-1) (0.5 ml
in 1 ml of PBS; American Peptide Company)."</t>
      </text>
    </comment>
    <comment ref="BA116" authorId="377" shapeId="0" xr:uid="{4DFDE97D-9000-4210-A1C4-8E23A2A85792}">
      <text>
        <t>[Threaded comment]
Your version of Excel allows you to read this threaded comment; however, any edits to it will get removed if the file is opened in a newer version of Excel. Learn more: https://go.microsoft.com/fwlink/?linkid=870924
Comment:
    Calculated myself in excel</t>
      </text>
    </comment>
    <comment ref="BB116" authorId="378" shapeId="0" xr:uid="{2ACC87DE-DDBA-426C-8D7F-B2E97EB310C9}">
      <text>
        <t>[Threaded comment]
Your version of Excel allows you to read this threaded comment; however, any edits to it will get removed if the file is opened in a newer version of Excel. Learn more: https://go.microsoft.com/fwlink/?linkid=870924
Comment:
    Calculated myself in excel</t>
      </text>
    </comment>
    <comment ref="AJ117" authorId="379" shapeId="0" xr:uid="{DF254517-31A2-4636-B495-E43EDCEC09DC}">
      <text>
        <t>[Threaded comment]
Your version of Excel allows you to read this threaded comment; however, any edits to it will get removed if the file is opened in a newer version of Excel. Learn more: https://go.microsoft.com/fwlink/?linkid=870924
Comment:
    1uL/min</t>
      </text>
    </comment>
    <comment ref="AJ118" authorId="380" shapeId="0" xr:uid="{7B0ED94C-701D-4E93-BCA1-AE2F9776F283}">
      <text>
        <t>[Threaded comment]
Your version of Excel allows you to read this threaded comment; however, any edits to it will get removed if the file is opened in a newer version of Excel. Learn more: https://go.microsoft.com/fwlink/?linkid=870924
Comment:
    1uL/min</t>
      </text>
    </comment>
    <comment ref="K119" authorId="381" shapeId="0" xr:uid="{C8A8EACB-CDEC-4F0C-8AC0-43432B0325FC}">
      <text>
        <t>[Threaded comment]
Your version of Excel allows you to read this threaded comment; however, any edits to it will get removed if the file is opened in a newer version of Excel. Learn more: https://go.microsoft.com/fwlink/?linkid=870924
Comment:
    6 months</t>
      </text>
    </comment>
    <comment ref="M119" authorId="382" shapeId="0" xr:uid="{0D137625-1B4F-4072-9390-E42B82DD9FB0}">
      <text>
        <t>[Threaded comment]
Your version of Excel allows you to read this threaded comment; however, any edits to it will get removed if the file is opened in a newer version of Excel. Learn more: https://go.microsoft.com/fwlink/?linkid=870924
Comment:
    7 months</t>
      </text>
    </comment>
    <comment ref="K120" authorId="383" shapeId="0" xr:uid="{441252DF-BCFD-47E8-B9D1-350EDF564112}">
      <text>
        <t>[Threaded comment]
Your version of Excel allows you to read this threaded comment; however, any edits to it will get removed if the file is opened in a newer version of Excel. Learn more: https://go.microsoft.com/fwlink/?linkid=870924
Comment:
    24 months</t>
      </text>
    </comment>
    <comment ref="M120" authorId="384" shapeId="0" xr:uid="{8A519099-5516-40C6-972E-EB81B1A9B451}">
      <text>
        <t>[Threaded comment]
Your version of Excel allows you to read this threaded comment; however, any edits to it will get removed if the file is opened in a newer version of Excel. Learn more: https://go.microsoft.com/fwlink/?linkid=870924
Comment:
    25 months</t>
      </text>
    </comment>
    <comment ref="A121" authorId="385" shapeId="0" xr:uid="{079AEDC0-DFF2-440F-ABD0-C51C454B6949}">
      <text>
        <t>[Threaded comment]
Your version of Excel allows you to read this threaded comment; however, any edits to it will get removed if the file is opened in a newer version of Excel. Learn more: https://go.microsoft.com/fwlink/?linkid=870924
Comment:
    This pdf has unreadable figures due to poor photocopying - I have put a request in to document delivery, come back to this if the new copy has readable figures as the paper itself seems useable. This paper is the second in the field of ET1 stroke I believe.
Update: got document back after 4 tries. Need to convert into toal volume from cortical+striatal</t>
      </text>
    </comment>
    <comment ref="AB121" authorId="386" shapeId="0" xr:uid="{C196697F-0B19-4BD2-827A-9DCCA36121B2}">
      <text>
        <t>[Threaded comment]
Your version of Excel allows you to read this threaded comment; however, any edits to it will get removed if the file is opened in a newer version of Excel. Learn more: https://go.microsoft.com/fwlink/?linkid=870924
Comment:
    Piriform cortex</t>
      </text>
    </comment>
    <comment ref="A122" authorId="387" shapeId="0" xr:uid="{7449ECC0-DF3D-48B0-AD35-54372C2B8B67}">
      <text>
        <t>[Threaded comment]
Your version of Excel allows you to read this threaded comment; however, any edits to it will get removed if the file is opened in a newer version of Excel. Learn more: https://go.microsoft.com/fwlink/?linkid=870924
Comment:
    This pdf has unreadable figures due to poor photocopying - I have put a request in to document delivery, come back to this if the new copy has readable figures as the paper itself seems useable. This paper is the second in the field of ET1 stroke I believe.
Update: got document back after 4 tries. Need to convert into toal volume from cortical+striatal</t>
      </text>
    </comment>
    <comment ref="AB122" authorId="388" shapeId="0" xr:uid="{5ADBE10D-FA12-4C5E-A485-ADC9DDECF532}">
      <text>
        <t>[Threaded comment]
Your version of Excel allows you to read this threaded comment; however, any edits to it will get removed if the file is opened in a newer version of Excel. Learn more: https://go.microsoft.com/fwlink/?linkid=870924
Comment:
    Piriform cortex</t>
      </text>
    </comment>
    <comment ref="A123" authorId="389" shapeId="0" xr:uid="{9469D96F-F9D1-4ADA-8EF8-97C9D1FC97C8}">
      <text>
        <t>[Threaded comment]
Your version of Excel allows you to read this threaded comment; however, any edits to it will get removed if the file is opened in a newer version of Excel. Learn more: https://go.microsoft.com/fwlink/?linkid=870924
Comment:
    Infarct vol calculated from cortical + striatal</t>
      </text>
    </comment>
    <comment ref="K123" authorId="390" shapeId="0" xr:uid="{0E3F9BD6-440D-4645-A298-F592F97746AE}">
      <text>
        <t>[Threaded comment]
Your version of Excel allows you to read this threaded comment; however, any edits to it will get removed if the file is opened in a newer version of Excel. Learn more: https://go.microsoft.com/fwlink/?linkid=870924
Comment:
    "adult"</t>
      </text>
    </comment>
    <comment ref="AB123" authorId="391" shapeId="0" xr:uid="{5A2BE91B-2B99-4DEB-86A3-06C888F3D42D}">
      <text>
        <t>[Threaded comment]
Your version of Excel allows you to read this threaded comment; however, any edits to it will get removed if the file is opened in a newer version of Excel. Learn more: https://go.microsoft.com/fwlink/?linkid=870924
Comment:
    Piriform cortex</t>
      </text>
    </comment>
    <comment ref="A124" authorId="392" shapeId="0" xr:uid="{3AF05D2C-71F9-467F-B866-AA18108F30E0}">
      <text>
        <t>[Threaded comment]
Your version of Excel allows you to read this threaded comment; however, any edits to it will get removed if the file is opened in a newer version of Excel. Learn more: https://go.microsoft.com/fwlink/?linkid=870924
Comment:
    Infarct vol calculated from cortical + striatal</t>
      </text>
    </comment>
    <comment ref="K124" authorId="393" shapeId="0" xr:uid="{D5C142A7-FF03-42D6-B34D-372F09A8CC8F}">
      <text>
        <t>[Threaded comment]
Your version of Excel allows you to read this threaded comment; however, any edits to it will get removed if the file is opened in a newer version of Excel. Learn more: https://go.microsoft.com/fwlink/?linkid=870924
Comment:
    "adult"</t>
      </text>
    </comment>
    <comment ref="AB124" authorId="394" shapeId="0" xr:uid="{1C468514-1529-48C7-84E0-0DFD84B34EE6}">
      <text>
        <t>[Threaded comment]
Your version of Excel allows you to read this threaded comment; however, any edits to it will get removed if the file is opened in a newer version of Excel. Learn more: https://go.microsoft.com/fwlink/?linkid=870924
Comment:
    Piriform cortex</t>
      </text>
    </comment>
    <comment ref="AV124" authorId="395" shapeId="0" xr:uid="{6B88597B-56A6-445E-B204-92A52612EF39}">
      <text>
        <t>[Threaded comment]
Your version of Excel allows you to read this threaded comment; however, any edits to it will get removed if the file is opened in a newer version of Excel. Learn more: https://go.microsoft.com/fwlink/?linkid=870924
Comment:
    When compared to pentobarbital animals</t>
      </text>
    </comment>
    <comment ref="AF125" authorId="396" shapeId="0" xr:uid="{A180F707-0439-4718-97E9-0C3C2230CC98}">
      <text>
        <t>[Threaded comment]
Your version of Excel allows you to read this threaded comment; however, any edits to it will get removed if the file is opened in a newer version of Excel. Learn more: https://go.microsoft.com/fwlink/?linkid=870924
Comment:
    1 ug</t>
      </text>
    </comment>
    <comment ref="AT125" authorId="397" shapeId="0" xr:uid="{2C2790E8-6B68-4484-9B62-F3035B1CB9D0}">
      <text>
        <t>[Threaded comment]
Your version of Excel allows you to read this threaded comment; however, any edits to it will get removed if the file is opened in a newer version of Excel. Learn more: https://go.microsoft.com/fwlink/?linkid=870924
Comment:
    T2 weighted</t>
      </text>
    </comment>
    <comment ref="AF126" authorId="398" shapeId="0" xr:uid="{D1E63E6C-09A4-415A-8647-6F5E77AE7268}">
      <text>
        <t>[Threaded comment]
Your version of Excel allows you to read this threaded comment; however, any edits to it will get removed if the file is opened in a newer version of Excel. Learn more: https://go.microsoft.com/fwlink/?linkid=870924
Comment:
    1 ug</t>
      </text>
    </comment>
    <comment ref="AT126" authorId="399" shapeId="0" xr:uid="{D57B8E1A-5397-441F-A8CA-7EB92DE5461E}">
      <text>
        <t>[Threaded comment]
Your version of Excel allows you to read this threaded comment; however, any edits to it will get removed if the file is opened in a newer version of Excel. Learn more: https://go.microsoft.com/fwlink/?linkid=870924
Comment:
    T2 weighted</t>
      </text>
    </comment>
    <comment ref="AB127" authorId="400" shapeId="0" xr:uid="{1BCBF4BD-83C5-430E-86E5-A3DFED54CA99}">
      <text>
        <t>[Threaded comment]
Your version of Excel allows you to read this threaded comment; however, any edits to it will get removed if the file is opened in a newer version of Excel. Learn more: https://go.microsoft.com/fwlink/?linkid=870924
Comment:
    Piriform cortex</t>
      </text>
    </comment>
    <comment ref="AB128" authorId="401" shapeId="0" xr:uid="{0650C2CF-E83C-4052-8173-A2773D1528D9}">
      <text>
        <t>[Threaded comment]
Your version of Excel allows you to read this threaded comment; however, any edits to it will get removed if the file is opened in a newer version of Excel. Learn more: https://go.microsoft.com/fwlink/?linkid=870924
Comment:
    Piriform cortex</t>
      </text>
    </comment>
    <comment ref="K129" authorId="402" shapeId="0" xr:uid="{F7C62B3A-1C70-4C00-BB60-95F8B45F12F8}">
      <text>
        <t>[Threaded comment]
Your version of Excel allows you to read this threaded comment; however, any edits to it will get removed if the file is opened in a newer version of Excel. Learn more: https://go.microsoft.com/fwlink/?linkid=870924
Comment:
    "adult"</t>
      </text>
    </comment>
    <comment ref="AB129" authorId="403" shapeId="0" xr:uid="{ADDD63E2-4A7E-4967-B0C6-6E62018216D9}">
      <text>
        <t>[Threaded comment]
Your version of Excel allows you to read this threaded comment; however, any edits to it will get removed if the file is opened in a newer version of Excel. Learn more: https://go.microsoft.com/fwlink/?linkid=870924
Comment:
    (1) AP +0.7mm, ML+2.2mm, DV −2.0mm; (2) AP
+2.3mm, ML +2.5mm, DV −2.3mm; and (3) AP +0.7mm, ML
+3.8mm, DV −5.8mm</t>
      </text>
    </comment>
    <comment ref="AH129" authorId="404" shapeId="0" xr:uid="{C568D690-0CA3-4557-A5E9-6DC257AFEC3B}">
      <text>
        <t>[Threaded comment]
Your version of Excel allows you to read this threaded comment; however, any edits to it will get removed if the file is opened in a newer version of Excel. Learn more: https://go.microsoft.com/fwlink/?linkid=870924
Comment:
    2uL x 3</t>
      </text>
    </comment>
    <comment ref="AJ129" authorId="405" shapeId="0" xr:uid="{693167E9-F228-4286-ABAC-B4FE890C6637}">
      <text>
        <t>[Threaded comment]
Your version of Excel allows you to read this threaded comment; however, any edits to it will get removed if the file is opened in a newer version of Excel. Learn more: https://go.microsoft.com/fwlink/?linkid=870924
Comment:
    0.5uL/min</t>
      </text>
    </comment>
    <comment ref="AQ129" authorId="406" shapeId="0" xr:uid="{2767F645-EA87-4CC3-8F7B-9AE0FD84AADF}">
      <text>
        <t>[Threaded comment]
Your version of Excel allows you to read this threaded comment; however, any edits to it will get removed if the file is opened in a newer version of Excel. Learn more: https://go.microsoft.com/fwlink/?linkid=870924
Comment:
    Mention it was consumed in drinking water for 3 weeks but not if this was pre- or post-stroke</t>
      </text>
    </comment>
    <comment ref="K130" authorId="407" shapeId="0" xr:uid="{22CA2666-4E70-4E62-8AFD-6AECE19F1B66}">
      <text>
        <t>[Threaded comment]
Your version of Excel allows you to read this threaded comment; however, any edits to it will get removed if the file is opened in a newer version of Excel. Learn more: https://go.microsoft.com/fwlink/?linkid=870924
Comment:
    18 months</t>
      </text>
    </comment>
    <comment ref="M130" authorId="408" shapeId="0" xr:uid="{8144C8B1-7F05-4F1B-A569-9C8E0E096F9C}">
      <text>
        <t>[Threaded comment]
Your version of Excel allows you to read this threaded comment; however, any edits to it will get removed if the file is opened in a newer version of Excel. Learn more: https://go.microsoft.com/fwlink/?linkid=870924
Comment:
    20 months</t>
      </text>
    </comment>
    <comment ref="AB130" authorId="409" shapeId="0" xr:uid="{2C864C64-829F-4916-8E81-03FE4AD6138B}">
      <text>
        <t>[Threaded comment]
Your version of Excel allows you to read this threaded comment; however, any edits to it will get removed if the file is opened in a newer version of Excel. Learn more: https://go.microsoft.com/fwlink/?linkid=870924
Comment:
    1) AP +3.5 mm, ML +2.8 mm, DV −1.0 mm
(1.5 μl); 2) AP +2 mm, ML +2.8 mm, DV −1.0 mm (1.5 μl);
and 3) AP +0.5 mm, ML +2.8 mm, DV −1.0 mm (1.5 μl).</t>
      </text>
    </comment>
    <comment ref="AH130" authorId="410" shapeId="0" xr:uid="{03A1BDC3-F633-4A3C-9D97-5FC6670D6C38}">
      <text>
        <t>[Threaded comment]
Your version of Excel allows you to read this threaded comment; however, any edits to it will get removed if the file is opened in a newer version of Excel. Learn more: https://go.microsoft.com/fwlink/?linkid=870924
Comment:
    1.5uL x 3</t>
      </text>
    </comment>
    <comment ref="AJ130" authorId="411" shapeId="0" xr:uid="{E6501520-9C81-423A-A820-01B7C935A1C4}">
      <text>
        <t>[Threaded comment]
Your version of Excel allows you to read this threaded comment; however, any edits to it will get removed if the file is opened in a newer version of Excel. Learn more: https://go.microsoft.com/fwlink/?linkid=870924
Comment:
    0.5uL/min</t>
      </text>
    </comment>
    <comment ref="AB131" authorId="412" shapeId="0" xr:uid="{EFE097E8-5D77-4E95-B594-7C0885966D3C}">
      <text>
        <t>[Threaded comment]
Your version of Excel allows you to read this threaded comment; however, any edits to it will get removed if the file is opened in a newer version of Excel. Learn more: https://go.microsoft.com/fwlink/?linkid=870924
Comment:
    (1) AP
+ 0.7 mm, ML +2.2 mm, DV −2.0 mm; (2) AP+ 2.3 mm, ML
+2.5 mm, DV −2.3 mm; [10] AP+ 0.7 mm, ML +3.8 mm, DV
−5.8 mm</t>
      </text>
    </comment>
    <comment ref="AH131" authorId="413" shapeId="0" xr:uid="{590F5626-D3E5-4200-B834-6E49B48376A3}">
      <text>
        <t>[Threaded comment]
Your version of Excel allows you to read this threaded comment; however, any edits to it will get removed if the file is opened in a newer version of Excel. Learn more: https://go.microsoft.com/fwlink/?linkid=870924
Comment:
    2uL x 3</t>
      </text>
    </comment>
    <comment ref="AJ131" authorId="414" shapeId="0" xr:uid="{A7CBBC38-03DC-4FD9-A68E-2D2EDA265FC2}">
      <text>
        <t>[Threaded comment]
Your version of Excel allows you to read this threaded comment; however, any edits to it will get removed if the file is opened in a newer version of Excel. Learn more: https://go.microsoft.com/fwlink/?linkid=870924
Comment:
    0.5uL/min</t>
      </text>
    </comment>
    <comment ref="A132" authorId="415" shapeId="0" xr:uid="{2DD9F18B-FB5A-43A2-B520-96110264824E}">
      <text>
        <t>[Threaded comment]
Your version of Excel allows you to read this threaded comment; however, any edits to it will get removed if the file is opened in a newer version of Excel. Learn more: https://go.microsoft.com/fwlink/?linkid=870924
Comment:
    Volume calculated from cortical + striatal</t>
      </text>
    </comment>
    <comment ref="U132" authorId="416" shapeId="0" xr:uid="{A61A0C05-B566-4CA8-9B49-2BC2B523A10B}">
      <text>
        <t>[Threaded comment]
Your version of Excel allows you to read this threaded comment; however, any edits to it will get removed if the file is opened in a newer version of Excel. Learn more: https://go.microsoft.com/fwlink/?linkid=870924
Comment:
    For cannula/microdialysis surgery</t>
      </text>
    </comment>
    <comment ref="V132" authorId="417" shapeId="0" xr:uid="{D5BDCFA1-8D87-4FB1-98BE-213C2D261654}">
      <text>
        <t>[Threaded comment]
Your version of Excel allows you to read this threaded comment; however, any edits to it will get removed if the file is opened in a newer version of Excel. Learn more: https://go.microsoft.com/fwlink/?linkid=870924
Comment:
    For cannula/microdialysis surgery</t>
      </text>
    </comment>
    <comment ref="X132" authorId="418" shapeId="0" xr:uid="{C028BAEC-5B8B-423D-BAC9-C2C90F3F02D2}">
      <text>
        <t>[Threaded comment]
Your version of Excel allows you to read this threaded comment; however, any edits to it will get removed if the file is opened in a newer version of Excel. Learn more: https://go.microsoft.com/fwlink/?linkid=870924
Comment:
    For the ET1 induction</t>
      </text>
    </comment>
    <comment ref="AB132" authorId="419" shapeId="0" xr:uid="{DE5DC61C-59A7-4833-8A11-9CF4CCF7222A}">
      <text>
        <t>[Threaded comment]
Your version of Excel allows you to read this threaded comment; however, any edits to it will get removed if the file is opened in a newer version of Excel. Learn more: https://go.microsoft.com/fwlink/?linkid=870924
Comment:
    implantation of three intracerebral guides
according to the atlas of Paxinos and Watson (1986): one was
positioned close to the MCA (co-ordinates relative to bregma
AP + 0.9 mm, L + 5.2 mm and V + 3.1 mm); one into the ipsilateral
striatum (AP + 1.2 mm, L + 2.4 mm and V + 2.8 mm); and the third
in the contralateral prefrontal cortex (AP + 3.2 mm, L)3.0 mm and
V + 2.3 mm).
The guides were replaced by a cannula in the MCA
(CMA12, 3 mm probe of which the membrane is removed; CMA,
Stockholm, Sweden), a microdialysis probe in the striatum
(CMA12, 3 mm) and a thermocouple probe in the prefrontal cortex
(HYP-O-SLE, Omega Corporation, Stamford, CT, USA).</t>
      </text>
    </comment>
    <comment ref="AJ132" authorId="420" shapeId="0" xr:uid="{0933B8CC-BF08-4F6A-981E-EA252EBEE85A}">
      <text>
        <t>[Threaded comment]
Your version of Excel allows you to read this threaded comment; however, any edits to it will get removed if the file is opened in a newer version of Excel. Learn more: https://go.microsoft.com/fwlink/?linkid=870924
Comment:
    1uL/min</t>
      </text>
    </comment>
    <comment ref="AK132" authorId="421" shapeId="0" xr:uid="{40AA1EB8-A605-4DBD-9146-8D3C86EAB184}">
      <text>
        <t>[Threaded comment]
Your version of Excel allows you to read this threaded comment; however, any edits to it will get removed if the file is opened in a newer version of Excel. Learn more: https://go.microsoft.com/fwlink/?linkid=870924
Comment:
    But two other sites where probes implanted</t>
      </text>
    </comment>
    <comment ref="AQ132" authorId="422" shapeId="0" xr:uid="{837A7DC7-12C7-47C1-8F0C-5025F64821CA}">
      <text>
        <t>[Threaded comment]
Your version of Excel allows you to read this threaded comment; however, any edits to it will get removed if the file is opened in a newer version of Excel. Learn more: https://go.microsoft.com/fwlink/?linkid=870924
Comment:
    40 mins before</t>
      </text>
    </comment>
    <comment ref="A133" authorId="423" shapeId="0" xr:uid="{75261232-E715-471C-B8F5-60773D02CF6A}">
      <text>
        <t>[Threaded comment]
Your version of Excel allows you to read this threaded comment; however, any edits to it will get removed if the file is opened in a newer version of Excel. Learn more: https://go.microsoft.com/fwlink/?linkid=870924
Comment:
    Volume calculated from cortical + striatal</t>
      </text>
    </comment>
    <comment ref="U133" authorId="424" shapeId="0" xr:uid="{9B2139E0-9DAA-4B5F-A9A4-05022D222C5D}">
      <text>
        <t>[Threaded comment]
Your version of Excel allows you to read this threaded comment; however, any edits to it will get removed if the file is opened in a newer version of Excel. Learn more: https://go.microsoft.com/fwlink/?linkid=870924
Comment:
    For cannula/microdialysis surgery</t>
      </text>
    </comment>
    <comment ref="V133" authorId="425" shapeId="0" xr:uid="{BC68584B-37AF-4F5F-AB52-DEA16E184A83}">
      <text>
        <t>[Threaded comment]
Your version of Excel allows you to read this threaded comment; however, any edits to it will get removed if the file is opened in a newer version of Excel. Learn more: https://go.microsoft.com/fwlink/?linkid=870924
Comment:
    For cannula/microdialysis surgery</t>
      </text>
    </comment>
    <comment ref="X133" authorId="426" shapeId="0" xr:uid="{F380B978-BAA0-4B44-BE4C-8B5FD43C0CCD}">
      <text>
        <t>[Threaded comment]
Your version of Excel allows you to read this threaded comment; however, any edits to it will get removed if the file is opened in a newer version of Excel. Learn more: https://go.microsoft.com/fwlink/?linkid=870924
Comment:
    For the ET1 induction</t>
      </text>
    </comment>
    <comment ref="AB133" authorId="427" shapeId="0" xr:uid="{CF90048F-F67D-4F22-A375-6FE63F7C9708}">
      <text>
        <t>[Threaded comment]
Your version of Excel allows you to read this threaded comment; however, any edits to it will get removed if the file is opened in a newer version of Excel. Learn more: https://go.microsoft.com/fwlink/?linkid=870924
Comment:
    implantation of three intracerebral guides
according to the atlas of Paxinos and Watson (1986): one was
positioned close to the MCA (co-ordinates relative to bregma
AP + 0.9 mm, L + 5.2 mm and V + 3.1 mm); one into the ipsilateral
striatum (AP + 1.2 mm, L + 2.4 mm and V + 2.8 mm); and the third
in the contralateral prefrontal cortex (AP + 3.2 mm, L)3.0 mm and
V + 2.3 mm).
The guides were replaced by a cannula in the MCA
(CMA12, 3 mm probe of which the membrane is removed; CMA,
Stockholm, Sweden), a microdialysis probe in the striatum
(CMA12, 3 mm) and a thermocouple probe in the prefrontal cortex
(HYP-O-SLE, Omega Corporation, Stamford, CT, USA).</t>
      </text>
    </comment>
    <comment ref="AJ133" authorId="428" shapeId="0" xr:uid="{A36BE78F-B235-4847-80C7-0777A61B86BA}">
      <text>
        <t>[Threaded comment]
Your version of Excel allows you to read this threaded comment; however, any edits to it will get removed if the file is opened in a newer version of Excel. Learn more: https://go.microsoft.com/fwlink/?linkid=870924
Comment:
    1uL/min</t>
      </text>
    </comment>
    <comment ref="AK133" authorId="429" shapeId="0" xr:uid="{8C1CD704-2834-4E4C-8A6E-49D3DB20FF47}">
      <text>
        <t>[Threaded comment]
Your version of Excel allows you to read this threaded comment; however, any edits to it will get removed if the file is opened in a newer version of Excel. Learn more: https://go.microsoft.com/fwlink/?linkid=870924
Comment:
    But two other sites where probes implanted</t>
      </text>
    </comment>
    <comment ref="AQ133" authorId="430" shapeId="0" xr:uid="{D33DB6F8-3476-4D4C-BE66-3D62D31192E0}">
      <text>
        <t>[Threaded comment]
Your version of Excel allows you to read this threaded comment; however, any edits to it will get removed if the file is opened in a newer version of Excel. Learn more: https://go.microsoft.com/fwlink/?linkid=870924
Comment:
    40 mins before</t>
      </text>
    </comment>
    <comment ref="G134" authorId="431" shapeId="0" xr:uid="{F386D213-236A-42B9-B178-F97BA431D0BA}">
      <text>
        <t>[Threaded comment]
Your version of Excel allows you to read this threaded comment; however, any edits to it will get removed if the file is opened in a newer version of Excel. Learn more: https://go.microsoft.com/fwlink/?linkid=870924
Comment:
    "CD rats"</t>
      </text>
    </comment>
    <comment ref="AB134" authorId="432" shapeId="0" xr:uid="{82FBB71A-79D2-4A7E-839B-A346497033ED}">
      <text>
        <t>[Threaded comment]
Your version of Excel allows you to read this threaded comment; however, any edits to it will get removed if the file is opened in a newer version of Excel. Learn more: https://go.microsoft.com/fwlink/?linkid=870924
Comment:
    Piriform cortex</t>
      </text>
    </comment>
    <comment ref="AF134" authorId="433" shapeId="0" xr:uid="{702BC106-EFEB-4CF4-8F39-2C6FDD065D0B}">
      <text>
        <t>[Threaded comment]
Your version of Excel allows you to read this threaded comment; however, any edits to it will get removed if the file is opened in a newer version of Excel. Learn more: https://go.microsoft.com/fwlink/?linkid=870924
Comment:
    50 uMol/L</t>
      </text>
    </comment>
    <comment ref="AJ134" authorId="434" shapeId="0" xr:uid="{EF72D373-9FF8-46FB-AB5C-F18321B2BC57}">
      <text>
        <t>[Threaded comment]
Your version of Excel allows you to read this threaded comment; however, any edits to it will get removed if the file is opened in a newer version of Excel. Learn more: https://go.microsoft.com/fwlink/?linkid=870924
Comment:
    1uL/min</t>
      </text>
    </comment>
    <comment ref="K135" authorId="435" shapeId="0" xr:uid="{2A6D9740-B267-43B8-B1CC-B3A034D83E13}">
      <text>
        <t>[Threaded comment]
Your version of Excel allows you to read this threaded comment; however, any edits to it will get removed if the file is opened in a newer version of Excel. Learn more: https://go.microsoft.com/fwlink/?linkid=870924
Comment:
    "adult"</t>
      </text>
    </comment>
    <comment ref="AB135" authorId="436" shapeId="0" xr:uid="{EB64007A-F4F3-4081-904D-B95B1C06DE7F}">
      <text>
        <t>[Threaded comment]
Your version of Excel allows you to read this threaded comment; however, any edits to it will get removed if the file is opened in a newer version of Excel. Learn more: https://go.microsoft.com/fwlink/?linkid=870924
Comment:
    Piriform cortex</t>
      </text>
    </comment>
    <comment ref="AT135" authorId="437" shapeId="0" xr:uid="{DE60BAB1-9EFC-40FD-A86D-A2E0A7E276C3}">
      <text>
        <t>[Threaded comment]
Your version of Excel allows you to read this threaded comment; however, any edits to it will get removed if the file is opened in a newer version of Excel. Learn more: https://go.microsoft.com/fwlink/?linkid=870924
Comment:
    infarct area was determined in unstained sections using the ballistic light method (Callaway et al., 2000)</t>
      </text>
    </comment>
    <comment ref="AW135" authorId="438" shapeId="0" xr:uid="{7F27AB92-8A17-4F52-AB6F-A23BE118F0CD}">
      <text>
        <t>[Threaded comment]
Your version of Excel allows you to read this threaded comment; however, any edits to it will get removed if the file is opened in a newer version of Excel. Learn more: https://go.microsoft.com/fwlink/?linkid=870924
Comment:
    Striatal control mean: 24.05
Striatal control error: 8.1</t>
      </text>
    </comment>
    <comment ref="AY135" authorId="439" shapeId="0" xr:uid="{FE5BF903-320D-4199-BE25-E90C3C0D454C}">
      <text>
        <t>[Threaded comment]
Your version of Excel allows you to read this threaded comment; however, any edits to it will get removed if the file is opened in a newer version of Excel. Learn more: https://go.microsoft.com/fwlink/?linkid=870924
Comment:
    Striatal treatment mean: 7.61
Striatal treatment error: 3.19</t>
      </text>
    </comment>
    <comment ref="K136" authorId="440" shapeId="0" xr:uid="{F9530732-2C9D-44E6-BF31-1936BCA14CF7}">
      <text>
        <t>[Threaded comment]
Your version of Excel allows you to read this threaded comment; however, any edits to it will get removed if the file is opened in a newer version of Excel. Learn more: https://go.microsoft.com/fwlink/?linkid=870924
Comment:
    "adult"</t>
      </text>
    </comment>
    <comment ref="R136" authorId="441" shapeId="0" xr:uid="{E48531B3-5CCA-4386-98B6-7B65B83D5DD9}">
      <text>
        <t>[Threaded comment]
Your version of Excel allows you to read this threaded comment; however, any edits to it will get removed if the file is opened in a newer version of Excel. Learn more: https://go.microsoft.com/fwlink/?linkid=870924
Comment:
    4-5</t>
      </text>
    </comment>
    <comment ref="AB136" authorId="442" shapeId="0" xr:uid="{6566244B-2175-47D6-8226-D86284DAFE2C}">
      <text>
        <t>[Threaded comment]
Your version of Excel allows you to read this threaded comment; however, any edits to it will get removed if the file is opened in a newer version of Excel. Learn more: https://go.microsoft.com/fwlink/?linkid=870924
Comment:
    Piriform cortex</t>
      </text>
    </comment>
    <comment ref="AT136" authorId="443" shapeId="0" xr:uid="{1E6A46D4-2159-4A99-B001-6535FBBF5B89}">
      <text>
        <t>[Threaded comment]
Your version of Excel allows you to read this threaded comment; however, any edits to it will get removed if the file is opened in a newer version of Excel. Learn more: https://go.microsoft.com/fwlink/?linkid=870924
Comment:
    infarct area was determined in unstained sections using the ballistic light method (Callaway et al., 2000)</t>
      </text>
    </comment>
    <comment ref="AW136" authorId="444" shapeId="0" xr:uid="{AA95B1CB-9440-4C78-BC6B-56622E2CBB8D}">
      <text>
        <t>[Threaded comment]
Your version of Excel allows you to read this threaded comment; however, any edits to it will get removed if the file is opened in a newer version of Excel. Learn more: https://go.microsoft.com/fwlink/?linkid=870924
Comment:
    Striatal control mean: 24.82
Striatal control error: 3.0</t>
      </text>
    </comment>
    <comment ref="AB137" authorId="445" shapeId="0" xr:uid="{DE39020E-54C7-4427-BEB1-18B9A9B23DCE}">
      <text>
        <t>[Threaded comment]
Your version of Excel allows you to read this threaded comment; however, any edits to it will get removed if the file is opened in a newer version of Excel. Learn more: https://go.microsoft.com/fwlink/?linkid=870924
Comment:
    1. anteroposterior (AP) +2.3 mm, mediolateral
(ML) F 2.5 mm, dorsoventral (DV) _x0001_2.3 mm (2.0 Al), 2.
AP 0.0 mm, ML F 2.5 mm, DV _x0001_2.3 mm (2.0 Al), 3.
AP +0.7 mm, ML F 3.8 mm, DV _x0001_7.0 mm (1.0 Al)</t>
      </text>
    </comment>
    <comment ref="AH137" authorId="446" shapeId="0" xr:uid="{9A75448A-138B-437C-9056-0004333B0DC9}">
      <text>
        <t>[Threaded comment]
Your version of Excel allows you to read this threaded comment; however, any edits to it will get removed if the file is opened in a newer version of Excel. Learn more: https://go.microsoft.com/fwlink/?linkid=870924
Comment:
    2 + 2 + 1</t>
      </text>
    </comment>
    <comment ref="AO137" authorId="447" shapeId="0" xr:uid="{739F9A32-48A0-4CF9-A077-1C5EC4060981}">
      <text>
        <t>[Threaded comment]
Your version of Excel allows you to read this threaded comment; however, any edits to it will get removed if the file is opened in a newer version of Excel. Learn more: https://go.microsoft.com/fwlink/?linkid=870924
Comment:
    "rehabilitation" - reaching tasks</t>
      </text>
    </comment>
    <comment ref="L138" authorId="448" shapeId="0" xr:uid="{1D3FD6DF-87B9-4B78-8607-0FBE334C6FB1}">
      <text>
        <t>[Threaded comment]
Your version of Excel allows you to read this threaded comment; however, any edits to it will get removed if the file is opened in a newer version of Excel. Learn more: https://go.microsoft.com/fwlink/?linkid=870924
Comment:
    10 days old</t>
      </text>
    </comment>
    <comment ref="AJ138" authorId="449" shapeId="0" xr:uid="{B35C5DBF-3990-4975-8BA9-5BEBFC5B0C97}">
      <text>
        <t>[Threaded comment]
Your version of Excel allows you to read this threaded comment; however, any edits to it will get removed if the file is opened in a newer version of Excel. Learn more: https://go.microsoft.com/fwlink/?linkid=870924
Comment:
    15 s/uL</t>
      </text>
    </comment>
    <comment ref="L139" authorId="450" shapeId="0" xr:uid="{14B66B3F-E766-4F9B-9DCF-D8811FF65D6A}">
      <text>
        <t>[Threaded comment]
Your version of Excel allows you to read this threaded comment; however, any edits to it will get removed if the file is opened in a newer version of Excel. Learn more: https://go.microsoft.com/fwlink/?linkid=870924
Comment:
    10 days old</t>
      </text>
    </comment>
    <comment ref="AJ139" authorId="451" shapeId="0" xr:uid="{7DF79DB1-391C-4979-91F1-5C891A59D3BA}">
      <text>
        <t>[Threaded comment]
Your version of Excel allows you to read this threaded comment; however, any edits to it will get removed if the file is opened in a newer version of Excel. Learn more: https://go.microsoft.com/fwlink/?linkid=870924
Comment:
    15 s/uL</t>
      </text>
    </comment>
    <comment ref="L140" authorId="452" shapeId="0" xr:uid="{DAEFE71C-9C12-4F3F-8D2A-8BA65AEA1C64}">
      <text>
        <t>[Threaded comment]
Your version of Excel allows you to read this threaded comment; however, any edits to it will get removed if the file is opened in a newer version of Excel. Learn more: https://go.microsoft.com/fwlink/?linkid=870924
Comment:
    63 days old</t>
      </text>
    </comment>
    <comment ref="AJ140" authorId="453" shapeId="0" xr:uid="{06D08E53-053C-4CFF-B895-A30B4FB4FA5A}">
      <text>
        <t>[Threaded comment]
Your version of Excel allows you to read this threaded comment; however, any edits to it will get removed if the file is opened in a newer version of Excel. Learn more: https://go.microsoft.com/fwlink/?linkid=870924
Comment:
    15 s/uL</t>
      </text>
    </comment>
    <comment ref="L141" authorId="454" shapeId="0" xr:uid="{E72A6504-FCF6-4740-862B-CC1D1A27564E}">
      <text>
        <t>[Threaded comment]
Your version of Excel allows you to read this threaded comment; however, any edits to it will get removed if the file is opened in a newer version of Excel. Learn more: https://go.microsoft.com/fwlink/?linkid=870924
Comment:
    63 days old</t>
      </text>
    </comment>
    <comment ref="AJ141" authorId="455" shapeId="0" xr:uid="{CECECAB1-FD6B-4CFF-B9FD-8A77495B9B80}">
      <text>
        <t>[Threaded comment]
Your version of Excel allows you to read this threaded comment; however, any edits to it will get removed if the file is opened in a newer version of Excel. Learn more: https://go.microsoft.com/fwlink/?linkid=870924
Comment:
    15 s/uL</t>
      </text>
    </comment>
    <comment ref="L142" authorId="456" shapeId="0" xr:uid="{E7EE7B3D-C95F-4127-B432-BB5998EB6EA4}">
      <text>
        <t>[Threaded comment]
Your version of Excel allows you to read this threaded comment; however, any edits to it will get removed if the file is opened in a newer version of Excel. Learn more: https://go.microsoft.com/fwlink/?linkid=870924
Comment:
    180 days old</t>
      </text>
    </comment>
    <comment ref="AJ142" authorId="457" shapeId="0" xr:uid="{03EC7948-C25C-4CB8-B442-D8577825A5C6}">
      <text>
        <t>[Threaded comment]
Your version of Excel allows you to read this threaded comment; however, any edits to it will get removed if the file is opened in a newer version of Excel. Learn more: https://go.microsoft.com/fwlink/?linkid=870924
Comment:
    15 s/uL</t>
      </text>
    </comment>
    <comment ref="L143" authorId="458" shapeId="0" xr:uid="{3AF43723-6701-44FD-B669-85F978A32318}">
      <text>
        <t>[Threaded comment]
Your version of Excel allows you to read this threaded comment; however, any edits to it will get removed if the file is opened in a newer version of Excel. Learn more: https://go.microsoft.com/fwlink/?linkid=870924
Comment:
    180 days old</t>
      </text>
    </comment>
    <comment ref="AJ143" authorId="459" shapeId="0" xr:uid="{1DA2A7D8-5FDF-4FD9-801E-C54CB0D4BD67}">
      <text>
        <t>[Threaded comment]
Your version of Excel allows you to read this threaded comment; however, any edits to it will get removed if the file is opened in a newer version of Excel. Learn more: https://go.microsoft.com/fwlink/?linkid=870924
Comment:
    15 s/uL</t>
      </text>
    </comment>
    <comment ref="L144" authorId="460" shapeId="0" xr:uid="{8A41FC09-77B0-4277-8840-59F3371FC516}">
      <text>
        <t>[Threaded comment]
Your version of Excel allows you to read this threaded comment; however, any edits to it will get removed if the file is opened in a newer version of Excel. Learn more: https://go.microsoft.com/fwlink/?linkid=870924
Comment:
    10 days old</t>
      </text>
    </comment>
    <comment ref="R144" authorId="461" shapeId="0" xr:uid="{C321ED22-C017-4342-A80D-41702EDD8B43}">
      <text>
        <t>[Threaded comment]
Your version of Excel allows you to read this threaded comment; however, any edits to it will get removed if the file is opened in a newer version of Excel. Learn more: https://go.microsoft.com/fwlink/?linkid=870924
Comment:
    19 females, 11 males</t>
      </text>
    </comment>
    <comment ref="AB144" authorId="462" shapeId="0" xr:uid="{4649E451-E7CC-48A4-A55F-A344FB776E2F}">
      <text>
        <t>[Threaded comment]
Your version of Excel allows you to read this threaded comment; however, any edits to it will get removed if the file is opened in a newer version of Excel. Learn more: https://go.microsoft.com/fwlink/?linkid=870924
Comment:
    Piriform cortex</t>
      </text>
    </comment>
    <comment ref="AJ144" authorId="463" shapeId="0" xr:uid="{753B5C16-AB5C-4B27-9AD5-001F753A7BE3}">
      <text>
        <t>[Threaded comment]
Your version of Excel allows you to read this threaded comment; however, any edits to it will get removed if the file is opened in a newer version of Excel. Learn more: https://go.microsoft.com/fwlink/?linkid=870924
Comment:
    15 s/uL</t>
      </text>
    </comment>
    <comment ref="L145" authorId="464" shapeId="0" xr:uid="{DA29D83E-CF17-4B1A-9970-BD0AD7975DC2}">
      <text>
        <t>[Threaded comment]
Your version of Excel allows you to read this threaded comment; however, any edits to it will get removed if the file is opened in a newer version of Excel. Learn more: https://go.microsoft.com/fwlink/?linkid=870924
Comment:
    42 days</t>
      </text>
    </comment>
    <comment ref="R145" authorId="465" shapeId="0" xr:uid="{F60452F7-6F68-470D-93AF-CBC01CEE7A64}">
      <text>
        <t>[Threaded comment]
Your version of Excel allows you to read this threaded comment; however, any edits to it will get removed if the file is opened in a newer version of Excel. Learn more: https://go.microsoft.com/fwlink/?linkid=870924
Comment:
    15 females, 17 males</t>
      </text>
    </comment>
    <comment ref="AB145" authorId="466" shapeId="0" xr:uid="{629DCC8A-813D-4338-93FB-05D8DEED849B}">
      <text>
        <t>[Threaded comment]
Your version of Excel allows you to read this threaded comment; however, any edits to it will get removed if the file is opened in a newer version of Excel. Learn more: https://go.microsoft.com/fwlink/?linkid=870924
Comment:
    Piriform cortex</t>
      </text>
    </comment>
    <comment ref="AJ145" authorId="467" shapeId="0" xr:uid="{57EBB6A9-37AB-47F6-B74A-980A6036BD89}">
      <text>
        <t>[Threaded comment]
Your version of Excel allows you to read this threaded comment; however, any edits to it will get removed if the file is opened in a newer version of Excel. Learn more: https://go.microsoft.com/fwlink/?linkid=870924
Comment:
    15 s/uL</t>
      </text>
    </comment>
    <comment ref="L146" authorId="468" shapeId="0" xr:uid="{75579467-198B-46DC-9D6E-E4865FA99E40}">
      <text>
        <t>[Threaded comment]
Your version of Excel allows you to read this threaded comment; however, any edits to it will get removed if the file is opened in a newer version of Excel. Learn more: https://go.microsoft.com/fwlink/?linkid=870924
Comment:
    180 days old</t>
      </text>
    </comment>
    <comment ref="R146" authorId="469" shapeId="0" xr:uid="{A99FCA90-B448-4090-86C2-709888DCA10C}">
      <text>
        <t>[Threaded comment]
Your version of Excel allows you to read this threaded comment; however, any edits to it will get removed if the file is opened in a newer version of Excel. Learn more: https://go.microsoft.com/fwlink/?linkid=870924
Comment:
    8 females, 9 males</t>
      </text>
    </comment>
    <comment ref="AB146" authorId="470" shapeId="0" xr:uid="{61A5D8B9-F744-4932-9CCB-AB07D984FCC6}">
      <text>
        <t>[Threaded comment]
Your version of Excel allows you to read this threaded comment; however, any edits to it will get removed if the file is opened in a newer version of Excel. Learn more: https://go.microsoft.com/fwlink/?linkid=870924
Comment:
    Piriform cortex</t>
      </text>
    </comment>
    <comment ref="AJ146" authorId="471" shapeId="0" xr:uid="{7C701988-4337-45C1-8C5B-8FB0905AE5FD}">
      <text>
        <t>[Threaded comment]
Your version of Excel allows you to read this threaded comment; however, any edits to it will get removed if the file is opened in a newer version of Excel. Learn more: https://go.microsoft.com/fwlink/?linkid=870924
Comment:
    15 s/uL</t>
      </text>
    </comment>
    <comment ref="AJ147" authorId="472" shapeId="0" xr:uid="{30001F59-2F0E-4319-8560-AC2C6C41F227}">
      <text>
        <t>[Threaded comment]
Your version of Excel allows you to read this threaded comment; however, any edits to it will get removed if the file is opened in a newer version of Excel. Learn more: https://go.microsoft.com/fwlink/?linkid=870924
Comment:
    0.1 μL/15 seconds</t>
      </text>
    </comment>
    <comment ref="AL147" authorId="473" shapeId="0" xr:uid="{29AB70FC-B699-48DE-A590-033C64A64E15}">
      <text>
        <t>[Threaded comment]
Your version of Excel allows you to read this threaded comment; however, any edits to it will get removed if the file is opened in a newer version of Excel. Learn more: https://go.microsoft.com/fwlink/?linkid=870924
Comment:
    topical</t>
      </text>
    </comment>
    <comment ref="AJ148" authorId="474" shapeId="0" xr:uid="{6EB01C6F-6171-456A-A54E-B8C2FEC0FFFF}">
      <text>
        <t>[Threaded comment]
Your version of Excel allows you to read this threaded comment; however, any edits to it will get removed if the file is opened in a newer version of Excel. Learn more: https://go.microsoft.com/fwlink/?linkid=870924
Comment:
    0.1 μL/15 seconds</t>
      </text>
    </comment>
    <comment ref="AL148" authorId="475" shapeId="0" xr:uid="{688926B4-4A05-45B4-97D1-2C257CA370D6}">
      <text>
        <t>[Threaded comment]
Your version of Excel allows you to read this threaded comment; however, any edits to it will get removed if the file is opened in a newer version of Excel. Learn more: https://go.microsoft.com/fwlink/?linkid=870924
Comment:
    topical</t>
      </text>
    </comment>
    <comment ref="AO148" authorId="476" shapeId="0" xr:uid="{BDF07949-23ED-46A5-8059-0789F5E689CA}">
      <text>
        <t>[Threaded comment]
Your version of Excel allows you to read this threaded comment; however, any edits to it will get removed if the file is opened in a newer version of Excel. Learn more: https://go.microsoft.com/fwlink/?linkid=870924
Comment:
    Rats were dwarves, this is to combat their lack of GH</t>
      </text>
    </comment>
    <comment ref="K149" authorId="477" shapeId="0" xr:uid="{10F9C97D-50EE-4098-9784-B0021503BD9C}">
      <text>
        <t>[Threaded comment]
Your version of Excel allows you to read this threaded comment; however, any edits to it will get removed if the file is opened in a newer version of Excel. Learn more: https://go.microsoft.com/fwlink/?linkid=870924
Comment:
    "adult"</t>
      </text>
    </comment>
    <comment ref="AB149" authorId="478" shapeId="0" xr:uid="{63B255EF-E380-4A06-80A8-2207AE2F9BA1}">
      <text>
        <t>[Threaded comment]
Your version of Excel allows you to read this threaded comment; however, any edits to it will get removed if the file is opened in a newer version of Excel. Learn more: https://go.microsoft.com/fwlink/?linkid=870924
Comment:
    injection 1 (0.0
anteroposterior, +2.5 mediolateral, and -2.1 dorsoventral) and
injection 2 (+2.3 anteroposterior, +2.5 mediolateral, and -1.9
dorsoventral) corresponded to the right motor and right somatosensory
primary cortices, respectively</t>
      </text>
    </comment>
    <comment ref="AF149" authorId="479" shapeId="0" xr:uid="{86C578D8-5934-491D-B567-E1469910B234}">
      <text>
        <t>[Threaded comment]
Your version of Excel allows you to read this threaded comment; however, any edits to it will get removed if the file is opened in a newer version of Excel. Learn more: https://go.microsoft.com/fwlink/?linkid=870924
Comment:
    400pmol*2</t>
      </text>
    </comment>
    <comment ref="AH149" authorId="480" shapeId="0" xr:uid="{4CD45DE0-C753-4276-8786-D60C91B78E38}">
      <text>
        <t>[Threaded comment]
Your version of Excel allows you to read this threaded comment; however, any edits to it will get removed if the file is opened in a newer version of Excel. Learn more: https://go.microsoft.com/fwlink/?linkid=870924
Comment:
    0.5uL*2</t>
      </text>
    </comment>
    <comment ref="AJ149" authorId="481" shapeId="0" xr:uid="{989E5753-E72D-4BB9-B26D-A17095939939}">
      <text>
        <t>[Threaded comment]
Your version of Excel allows you to read this threaded comment; however, any edits to it will get removed if the file is opened in a newer version of Excel. Learn more: https://go.microsoft.com/fwlink/?linkid=870924
Comment:
    0.25 uL/min</t>
      </text>
    </comment>
    <comment ref="U150" authorId="482" shapeId="0" xr:uid="{2685DF9D-BE65-47EA-AA48-CEF648BE5051}">
      <text>
        <t>[Threaded comment]
Your version of Excel allows you to read this threaded comment; however, any edits to it will get removed if the file is opened in a newer version of Excel. Learn more: https://go.microsoft.com/fwlink/?linkid=870924
Comment:
    For cannula implantation</t>
      </text>
    </comment>
    <comment ref="V150" authorId="483" shapeId="0" xr:uid="{0D6ABC13-ADE8-439A-85BC-C3929EDC9A39}">
      <text>
        <t>[Threaded comment]
Your version of Excel allows you to read this threaded comment; however, any edits to it will get removed if the file is opened in a newer version of Excel. Learn more: https://go.microsoft.com/fwlink/?linkid=870924
Comment:
    For cannula implantation</t>
      </text>
    </comment>
    <comment ref="X150" authorId="484" shapeId="0" xr:uid="{CC5CA08B-51DA-4C50-BFDC-A142D9307244}">
      <text>
        <t>[Threaded comment]
Your version of Excel allows you to read this threaded comment; however, any edits to it will get removed if the file is opened in a newer version of Excel. Learn more: https://go.microsoft.com/fwlink/?linkid=870924
Comment:
    For stroke induction</t>
      </text>
    </comment>
    <comment ref="AB150" authorId="485" shapeId="0" xr:uid="{8F5CF139-8454-4955-BF35-85E1614234F9}">
      <text>
        <t>[Threaded comment]
Your version of Excel allows you to read this threaded comment; however, any edits to it will get removed if the file is opened in a newer version of Excel. Learn more: https://go.microsoft.com/fwlink/?linkid=870924
Comment:
    An Et-1 administration probe was positioned close to the
middle cerebral artery (MCA) (relative to bregma: AP
+0.9 mm; L +5.0 mm; V +2.8 mm) and a thermocouple
probe was positioned in the contralateral prefrontal cortex
(AP +3.2 mm; L −3.0 mm; V +2.3 mm)</t>
      </text>
    </comment>
    <comment ref="AJ150" authorId="486" shapeId="0" xr:uid="{392725BF-8354-4A72-BFB6-B70611486710}">
      <text>
        <t>[Threaded comment]
Your version of Excel allows you to read this threaded comment; however, any edits to it will get removed if the file is opened in a newer version of Excel. Learn more: https://go.microsoft.com/fwlink/?linkid=870924
Comment:
    1uL/min</t>
      </text>
    </comment>
    <comment ref="AQ150" authorId="487" shapeId="0" xr:uid="{643582AC-E221-4DE9-8D8D-CDE03346A5E3}">
      <text>
        <t>[Threaded comment]
Your version of Excel allows you to read this threaded comment; however, any edits to it will get removed if the file is opened in a newer version of Excel. Learn more: https://go.microsoft.com/fwlink/?linkid=870924
Comment:
    20 minutes</t>
      </text>
    </comment>
    <comment ref="U151" authorId="488" shapeId="0" xr:uid="{8627BB6E-96C9-49F3-B18C-A4DA73A81BF2}">
      <text>
        <t>[Threaded comment]
Your version of Excel allows you to read this threaded comment; however, any edits to it will get removed if the file is opened in a newer version of Excel. Learn more: https://go.microsoft.com/fwlink/?linkid=870924
Comment:
    For cannula implantation</t>
      </text>
    </comment>
    <comment ref="V151" authorId="489" shapeId="0" xr:uid="{85805DE6-243B-45AB-9881-D567D5215B59}">
      <text>
        <t>[Threaded comment]
Your version of Excel allows you to read this threaded comment; however, any edits to it will get removed if the file is opened in a newer version of Excel. Learn more: https://go.microsoft.com/fwlink/?linkid=870924
Comment:
    For cannula implantation</t>
      </text>
    </comment>
    <comment ref="X151" authorId="490" shapeId="0" xr:uid="{B606A802-FBF9-486E-80D7-1B7924688049}">
      <text>
        <t>[Threaded comment]
Your version of Excel allows you to read this threaded comment; however, any edits to it will get removed if the file is opened in a newer version of Excel. Learn more: https://go.microsoft.com/fwlink/?linkid=870924
Comment:
    For stroke induction</t>
      </text>
    </comment>
    <comment ref="AB151" authorId="491" shapeId="0" xr:uid="{4F55A36D-4E3D-44D7-AFBD-5AFF644F9F0B}">
      <text>
        <t>[Threaded comment]
Your version of Excel allows you to read this threaded comment; however, any edits to it will get removed if the file is opened in a newer version of Excel. Learn more: https://go.microsoft.com/fwlink/?linkid=870924
Comment:
    AnEt-1administrationguidewas positioned close to the MCA (relative to bregma :AP þ0.9 mm; L þ5.0 mm;V þ2.8 mm)andathermocoupleguide waspositionedinthecontralateralprefrontalcortex (AP þ3.2 mm;L _x0002_3.0 mm;V þ2.3 mm)</t>
      </text>
    </comment>
    <comment ref="AJ151" authorId="492" shapeId="0" xr:uid="{FBC974DE-3472-4A9E-AF5D-B3CE5294A33C}">
      <text>
        <t>[Threaded comment]
Your version of Excel allows you to read this threaded comment; however, any edits to it will get removed if the file is opened in a newer version of Excel. Learn more: https://go.microsoft.com/fwlink/?linkid=870924
Comment:
    1uL/min</t>
      </text>
    </comment>
    <comment ref="AQ151" authorId="493" shapeId="0" xr:uid="{C1A47CDA-E6AE-4775-A99B-6621CFE4C4B2}">
      <text>
        <t>[Threaded comment]
Your version of Excel allows you to read this threaded comment; however, any edits to it will get removed if the file is opened in a newer version of Excel. Learn more: https://go.microsoft.com/fwlink/?linkid=870924
Comment:
    20 minutes</t>
      </text>
    </comment>
    <comment ref="U152" authorId="494" shapeId="0" xr:uid="{AF0AC800-3E26-4070-8EDE-CA9D8BC576F6}">
      <text>
        <t>[Threaded comment]
Your version of Excel allows you to read this threaded comment; however, any edits to it will get removed if the file is opened in a newer version of Excel. Learn more: https://go.microsoft.com/fwlink/?linkid=870924
Comment:
    For cannula implantation</t>
      </text>
    </comment>
    <comment ref="V152" authorId="495" shapeId="0" xr:uid="{F188A787-95F6-4C48-B514-863EFC44B9D5}">
      <text>
        <t>[Threaded comment]
Your version of Excel allows you to read this threaded comment; however, any edits to it will get removed if the file is opened in a newer version of Excel. Learn more: https://go.microsoft.com/fwlink/?linkid=870924
Comment:
    For cannula implantation</t>
      </text>
    </comment>
    <comment ref="X152" authorId="496" shapeId="0" xr:uid="{353D3182-BE43-4E24-A89A-C734B39A402A}">
      <text>
        <t>[Threaded comment]
Your version of Excel allows you to read this threaded comment; however, any edits to it will get removed if the file is opened in a newer version of Excel. Learn more: https://go.microsoft.com/fwlink/?linkid=870924
Comment:
    For stroke induction</t>
      </text>
    </comment>
    <comment ref="AB152" authorId="497" shapeId="0" xr:uid="{E9F9B89B-E309-46A8-A964-24D407FF16C7}">
      <text>
        <t>[Threaded comment]
Your version of Excel allows you to read this threaded comment; however, any edits to it will get removed if the file is opened in a newer version of Excel. Learn more: https://go.microsoft.com/fwlink/?linkid=870924
Comment:
    Et-1 administration was positioned close to
the middle cerebral artery (MCA) (relative to bregma: AP
+0.9 mm; L +5.0 mm; V +2.8 mm) and a cannula for the thermocouple
probe was positioned in the contralateral prefrontal cortex
(AP +3.2 mm; L _x0002_3.0 mm; V +2.3 mm)</t>
      </text>
    </comment>
    <comment ref="AJ152" authorId="498" shapeId="0" xr:uid="{8B917FC4-4AC4-49A4-9B93-ECAB8AEEEEA7}">
      <text>
        <t>[Threaded comment]
Your version of Excel allows you to read this threaded comment; however, any edits to it will get removed if the file is opened in a newer version of Excel. Learn more: https://go.microsoft.com/fwlink/?linkid=870924
Comment:
    1uL/min</t>
      </text>
    </comment>
    <comment ref="AQ152" authorId="499" shapeId="0" xr:uid="{B77A3E0E-71D0-4C87-8505-CF4A13D8C280}">
      <text>
        <t>[Threaded comment]
Your version of Excel allows you to read this threaded comment; however, any edits to it will get removed if the file is opened in a newer version of Excel. Learn more: https://go.microsoft.com/fwlink/?linkid=870924
Comment:
    20 minutes</t>
      </text>
    </comment>
    <comment ref="K153" authorId="500" shapeId="0" xr:uid="{E88E7533-19E0-44EE-A0CB-F1B655C660EC}">
      <text>
        <t>[Threaded comment]
Your version of Excel allows you to read this threaded comment; however, any edits to it will get removed if the file is opened in a newer version of Excel. Learn more: https://go.microsoft.com/fwlink/?linkid=870924
Comment:
    "adult"</t>
      </text>
    </comment>
    <comment ref="AB153" authorId="501" shapeId="0" xr:uid="{7016CA6A-B390-472A-8020-1C14EFFEAAF0}">
      <text>
        <t>[Threaded comment]
Your version of Excel allows you to read this threaded comment; however, any edits to it will get removed if the file is opened in a newer version of Excel. Learn more: https://go.microsoft.com/fwlink/?linkid=870924
Comment:
    Motor cortex: (1) AP +0.7 mm, ML +2.2 mm, DV
–2.0 mm; (2)AP+2.3 mm,ML+2.5 mm,DV–2.3 mm;
(3) AP +0.7 mm, ML +3.8 mm, DV –5.8mm (1_x0001_g per
injection site)</t>
      </text>
    </comment>
    <comment ref="AF153" authorId="502" shapeId="0" xr:uid="{87584123-B460-44A3-93CE-CC99F8BB25C1}">
      <text>
        <t>[Threaded comment]
Your version of Excel allows you to read this threaded comment; however, any edits to it will get removed if the file is opened in a newer version of Excel. Learn more: https://go.microsoft.com/fwlink/?linkid=870924
Comment:
    1ug/injection x 3</t>
      </text>
    </comment>
    <comment ref="AJ153" authorId="503" shapeId="0" xr:uid="{A304B18C-F218-4A6C-B89E-A790E3DF6331}">
      <text>
        <t>[Threaded comment]
Your version of Excel allows you to read this threaded comment; however, any edits to it will get removed if the file is opened in a newer version of Excel. Learn more: https://go.microsoft.com/fwlink/?linkid=870924
Comment:
    0.5 ul/min</t>
      </text>
    </comment>
    <comment ref="K154" authorId="504" shapeId="0" xr:uid="{AD2149B3-88E7-4DF5-A7DE-917CB4A2B3B9}">
      <text>
        <t>[Threaded comment]
Your version of Excel allows you to read this threaded comment; however, any edits to it will get removed if the file is opened in a newer version of Excel. Learn more: https://go.microsoft.com/fwlink/?linkid=870924
Comment:
    "adult"</t>
      </text>
    </comment>
    <comment ref="AB154" authorId="505" shapeId="0" xr:uid="{5C983A73-C5ED-4F9F-B33B-5FC80EDD24DA}">
      <text>
        <t>[Threaded comment]
Your version of Excel allows you to read this threaded comment; however, any edits to it will get removed if the file is opened in a newer version of Excel. Learn more: https://go.microsoft.com/fwlink/?linkid=870924
Comment:
    Motor cortex: (1) AP +0.7 mm, ML +2.2 mm, DV
–2.0 mm; (2)AP+2.3 mm,ML+2.5 mm,DV–2.3 mm;
(3) AP +0.7 mm, ML +3.8 mm, DV –5.8mm (1_x0001_g per
injection site)</t>
      </text>
    </comment>
    <comment ref="AF154" authorId="506" shapeId="0" xr:uid="{127E9C04-06B5-47B8-8CC4-F752520D9258}">
      <text>
        <t>[Threaded comment]
Your version of Excel allows you to read this threaded comment; however, any edits to it will get removed if the file is opened in a newer version of Excel. Learn more: https://go.microsoft.com/fwlink/?linkid=870924
Comment:
    1ug/injection x 3</t>
      </text>
    </comment>
    <comment ref="AJ154" authorId="507" shapeId="0" xr:uid="{1FA6CE38-6E83-483E-A6AA-4CED00D8F7C6}">
      <text>
        <t>[Threaded comment]
Your version of Excel allows you to read this threaded comment; however, any edits to it will get removed if the file is opened in a newer version of Excel. Learn more: https://go.microsoft.com/fwlink/?linkid=870924
Comment:
    0.5 ul/min</t>
      </text>
    </comment>
    <comment ref="AB155" authorId="508" shapeId="0" xr:uid="{7D334CC5-40C4-4B8E-A2A7-A8475703082C}">
      <text>
        <t>[Threaded comment]
Your version of Excel allows you to read this threaded comment; however, any edits to it will get removed if the file is opened in a newer version of Excel. Learn more: https://go.microsoft.com/fwlink/?linkid=870924
Comment:
    (1) anteroposterior (AP) +0.7 mm, mediolateral
(ML) +2.2 mm, dorsoventral −2.0 mm; (2) AP +2.3 mm, ML
+2.5 mm, dorsoventral −2.3 mm; and (3) AP +0.7 mm, ML +3.8 mm,
dorsoventral −5.8 mm</t>
      </text>
    </comment>
    <comment ref="AH155" authorId="509" shapeId="0" xr:uid="{49D24FB9-431C-4C19-9CB7-39AACEAEFC35}">
      <text>
        <t>[Threaded comment]
Your version of Excel allows you to read this threaded comment; however, any edits to it will get removed if the file is opened in a newer version of Excel. Learn more: https://go.microsoft.com/fwlink/?linkid=870924
Comment:
    2uL x 3</t>
      </text>
    </comment>
    <comment ref="AJ155" authorId="510" shapeId="0" xr:uid="{D84283CD-A6D3-452A-82B2-01E0661470D0}">
      <text>
        <t>[Threaded comment]
Your version of Excel allows you to read this threaded comment; however, any edits to it will get removed if the file is opened in a newer version of Excel. Learn more: https://go.microsoft.com/fwlink/?linkid=870924
Comment:
    0.5 ul/min</t>
      </text>
    </comment>
    <comment ref="AO155" authorId="511" shapeId="0" xr:uid="{8444BDFE-45CB-4696-835D-EDB6962D7EAA}">
      <text>
        <t>[Threaded comment]
Your version of Excel allows you to read this threaded comment; however, any edits to it will get removed if the file is opened in a newer version of Excel. Learn more: https://go.microsoft.com/fwlink/?linkid=870924
Comment:
    Although named differently, this is really the same as forced limb use (especially between these two papers from the same author). Re-classify as one therapy later</t>
      </text>
    </comment>
    <comment ref="K156" authorId="512" shapeId="0" xr:uid="{E6EF73CA-5D02-4C5A-B464-E21C994331BA}">
      <text>
        <t>[Threaded comment]
Your version of Excel allows you to read this threaded comment; however, any edits to it will get removed if the file is opened in a newer version of Excel. Learn more: https://go.microsoft.com/fwlink/?linkid=870924
Comment:
    "adult"</t>
      </text>
    </comment>
    <comment ref="AL156" authorId="513" shapeId="0" xr:uid="{4FA9C666-7D44-4F21-B129-BC0BBE1FF40A}">
      <text>
        <t>[Threaded comment]
Your version of Excel allows you to read this threaded comment; however, any edits to it will get removed if the file is opened in a newer version of Excel. Learn more: https://go.microsoft.com/fwlink/?linkid=870924
Comment:
    Given in drinking water</t>
      </text>
    </comment>
    <comment ref="AT156" authorId="514" shapeId="0" xr:uid="{66979A1A-F113-4107-9BAF-F956B7ECD796}">
      <text>
        <t>[Threaded comment]
Your version of Excel allows you to read this threaded comment; however, any edits to it will get removed if the file is opened in a newer version of Excel. Learn more: https://go.microsoft.com/fwlink/?linkid=870924
Comment:
    infarct area was determined in unstained sections using the ballistic light method (Callaway et al., 2000)</t>
      </text>
    </comment>
    <comment ref="AU157" authorId="515" shapeId="0" xr:uid="{A9483054-BD6B-4C86-9E19-F6BB25AA2216}">
      <text>
        <t>[Threaded comment]
Your version of Excel allows you to read this threaded comment; however, any edits to it will get removed if the file is opened in a newer version of Excel. Learn more: https://go.microsoft.com/fwlink/?linkid=870924
Comment:
    Also cresyl violet</t>
      </text>
    </comment>
    <comment ref="BA157" authorId="516" shapeId="0" xr:uid="{AC0253D5-1210-45E4-99BB-9030C4014FC7}">
      <text>
        <t>[Threaded comment]
Your version of Excel allows you to read this threaded comment; however, any edits to it will get removed if the file is opened in a newer version of Excel. Learn more: https://go.microsoft.com/fwlink/?linkid=870924
Comment:
    "Percentage of volume of remaining tissue compared with the contralateral hemisphere" - converted this to % damage by subtracting from 100</t>
      </text>
    </comment>
    <comment ref="AJ158" authorId="517" shapeId="0" xr:uid="{368BADB0-751D-4B5D-ACFC-99EB1E3E908A}">
      <text>
        <t>[Threaded comment]
Your version of Excel allows you to read this threaded comment; however, any edits to it will get removed if the file is opened in a newer version of Excel. Learn more: https://go.microsoft.com/fwlink/?linkid=870924
Comment:
    1uL/min</t>
      </text>
    </comment>
    <comment ref="AL158" authorId="518" shapeId="0" xr:uid="{79F75ADD-7C5D-4AE3-B9FF-D519186F1930}">
      <text>
        <t>[Threaded comment]
Your version of Excel allows you to read this threaded comment; however, any edits to it will get removed if the file is opened in a newer version of Excel. Learn more: https://go.microsoft.com/fwlink/?linkid=870924
Comment:
    Topical - Xylocaine brand</t>
      </text>
    </comment>
    <comment ref="AM158" authorId="519" shapeId="0" xr:uid="{71E1D5AB-1259-4FFF-ADED-491B8E072AB3}">
      <text>
        <t>[Threaded comment]
Your version of Excel allows you to read this threaded comment; however, any edits to it will get removed if the file is opened in a newer version of Excel. Learn more: https://go.microsoft.com/fwlink/?linkid=870924
Comment:
    Ketofen brand</t>
      </text>
    </comment>
    <comment ref="AJ159" authorId="520" shapeId="0" xr:uid="{5999A22A-C6CE-44F2-A650-117923842965}">
      <text>
        <t>[Threaded comment]
Your version of Excel allows you to read this threaded comment; however, any edits to it will get removed if the file is opened in a newer version of Excel. Learn more: https://go.microsoft.com/fwlink/?linkid=870924
Comment:
    1uL/min</t>
      </text>
    </comment>
    <comment ref="AL159" authorId="521" shapeId="0" xr:uid="{AF36201E-C386-43BF-9D60-2F37B45ED5B8}">
      <text>
        <t>[Threaded comment]
Your version of Excel allows you to read this threaded comment; however, any edits to it will get removed if the file is opened in a newer version of Excel. Learn more: https://go.microsoft.com/fwlink/?linkid=870924
Comment:
    Topical - Xylocaine brand</t>
      </text>
    </comment>
    <comment ref="AM159" authorId="522" shapeId="0" xr:uid="{519C6AFA-6383-47C2-8E7F-9D46601F1C14}">
      <text>
        <t>[Threaded comment]
Your version of Excel allows you to read this threaded comment; however, any edits to it will get removed if the file is opened in a newer version of Excel. Learn more: https://go.microsoft.com/fwlink/?linkid=870924
Comment:
    Ketofen brand</t>
      </text>
    </comment>
    <comment ref="V160" authorId="523" shapeId="0" xr:uid="{B7C27C59-A493-4983-BC6D-C0B38F0FA58F}">
      <text>
        <t>[Threaded comment]
Your version of Excel allows you to read this threaded comment; however, any edits to it will get removed if the file is opened in a newer version of Excel. Learn more: https://go.microsoft.com/fwlink/?linkid=870924
Comment:
    Reversed at the end with atipamezole</t>
      </text>
    </comment>
    <comment ref="Y160" authorId="524" shapeId="0" xr:uid="{158F2E18-47FE-4B78-B4B5-59DBACD38F16}">
      <text>
        <t>[Threaded comment]
Your version of Excel allows you to read this threaded comment; however, any edits to it will get removed if the file is opened in a newer version of Excel. Learn more: https://go.microsoft.com/fwlink/?linkid=870924
Comment:
    Reversed at the end with atipamezole</t>
      </text>
    </comment>
    <comment ref="AB160" authorId="525" shapeId="0" xr:uid="{62FF2B00-0F96-4F3A-B3C7-1F45394EC9DA}">
      <text>
        <t>[Threaded comment]
Your version of Excel allows you to read this threaded comment; however, any edits to it will get removed if the file is opened in a newer version of Excel. Learn more: https://go.microsoft.com/fwlink/?linkid=870924
Comment:
    sensorimotor cortex. six stereotaxic coordinates in relation to bregma:
(1) AP: 􀀀1.0, ML: +2.5, DV: 􀀀2.3; (2) AP: +1.0, ML: +2.5,
DV: 􀀀2.3; (3) AP: +3.0, ML: +2.5, DV: 􀀀2.3; (4) AP: 􀀀1.0,
ML: +3.5, DV: 􀀀2.3; (5) AP: +1.0, ML: +3.5, DV: 􀀀2.3; and
(6) AP: +3.0, ML: +3.5, DV: 􀀀2.3</t>
      </text>
    </comment>
    <comment ref="AF160" authorId="526" shapeId="0" xr:uid="{382D4D8E-66D8-4DF7-8732-2342ADCFABDB}">
      <text>
        <t>[Threaded comment]
Your version of Excel allows you to read this threaded comment; however, any edits to it will get removed if the file is opened in a newer version of Excel. Learn more: https://go.microsoft.com/fwlink/?linkid=870924
Comment:
    800pmol/2uL = 400pmol/uL</t>
      </text>
    </comment>
    <comment ref="AH160" authorId="527" shapeId="0" xr:uid="{65E4A119-F9F5-4557-A6CE-B0D3E7A68BFE}">
      <text>
        <t>[Threaded comment]
Your version of Excel allows you to read this threaded comment; however, any edits to it will get removed if the file is opened in a newer version of Excel. Learn more: https://go.microsoft.com/fwlink/?linkid=870924
Comment:
    4*2uL</t>
      </text>
    </comment>
    <comment ref="K161" authorId="528" shapeId="0" xr:uid="{BA58ACF3-6A76-4A63-BC48-32BE75B1EED0}">
      <text>
        <t>[Threaded comment]
Your version of Excel allows you to read this threaded comment; however, any edits to it will get removed if the file is opened in a newer version of Excel. Learn more: https://go.microsoft.com/fwlink/?linkid=870924
Comment:
    3 months</t>
      </text>
    </comment>
    <comment ref="M161" authorId="529" shapeId="0" xr:uid="{92E5433A-B14B-4CF5-97C5-413D75C92923}">
      <text>
        <t>[Threaded comment]
Your version of Excel allows you to read this threaded comment; however, any edits to it will get removed if the file is opened in a newer version of Excel. Learn more: https://go.microsoft.com/fwlink/?linkid=870924
Comment:
    5 months</t>
      </text>
    </comment>
    <comment ref="AB161" authorId="530" shapeId="0" xr:uid="{3B12060E-3B29-4AD1-892B-763DA9999646}">
      <text>
        <t>[Threaded comment]
Your version of Excel allows you to read this threaded comment; however, any edits to it will get removed if the file is opened in a newer version of Excel. Learn more: https://go.microsoft.com/fwlink/?linkid=870924
Comment:
    Prefrontal cortex</t>
      </text>
    </comment>
    <comment ref="K162" authorId="531" shapeId="0" xr:uid="{93C69B46-134E-4250-A89B-E8EFEE8B43CE}">
      <text>
        <t>[Threaded comment]
Your version of Excel allows you to read this threaded comment; however, any edits to it will get removed if the file is opened in a newer version of Excel. Learn more: https://go.microsoft.com/fwlink/?linkid=870924
Comment:
    "adult"</t>
      </text>
    </comment>
    <comment ref="AF162" authorId="532" shapeId="0" xr:uid="{AE701669-D171-4FAB-A9C5-25E6ADAC552D}">
      <text>
        <t>[Threaded comment]
Your version of Excel allows you to read this threaded comment; however, any edits to it will get removed if the file is opened in a newer version of Excel. Learn more: https://go.microsoft.com/fwlink/?linkid=870924
Comment:
    400pmol*2</t>
      </text>
    </comment>
    <comment ref="AH162" authorId="533" shapeId="0" xr:uid="{16F3A23C-B88F-4CE9-AAF6-8E1D6E4A3B08}">
      <text>
        <t>[Threaded comment]
Your version of Excel allows you to read this threaded comment; however, any edits to it will get removed if the file is opened in a newer version of Excel. Learn more: https://go.microsoft.com/fwlink/?linkid=870924
Comment:
    2*1uL</t>
      </text>
    </comment>
    <comment ref="AJ162" authorId="534" shapeId="0" xr:uid="{BC90EDA2-F2C9-483F-AE29-102CA7CE10C5}">
      <text>
        <t>[Threaded comment]
Your version of Excel allows you to read this threaded comment; however, any edits to it will get removed if the file is opened in a newer version of Excel. Learn more: https://go.microsoft.com/fwlink/?linkid=870924
Comment:
    0.5uL/min</t>
      </text>
    </comment>
    <comment ref="AL162" authorId="535" shapeId="0" xr:uid="{4CBC9900-F3F3-44D1-9297-58D539B95000}">
      <text>
        <t>[Threaded comment]
Your version of Excel allows you to read this threaded comment; however, any edits to it will get removed if the file is opened in a newer version of Excel. Learn more: https://go.microsoft.com/fwlink/?linkid=870924
Comment:
    Topical - Xylocaine brand</t>
      </text>
    </comment>
    <comment ref="K163" authorId="536" shapeId="0" xr:uid="{105FD75D-6857-48F7-B382-621ED54DE72B}">
      <text>
        <t>[Threaded comment]
Your version of Excel allows you to read this threaded comment; however, any edits to it will get removed if the file is opened in a newer version of Excel. Learn more: https://go.microsoft.com/fwlink/?linkid=870924
Comment:
    "adult"</t>
      </text>
    </comment>
    <comment ref="AB163" authorId="537" shapeId="0" xr:uid="{00FB9588-836D-4A57-A5A1-31EB8C693FF0}">
      <text>
        <t>[Threaded comment]
Your version of Excel allows you to read this threaded comment; however, any edits to it will get removed if the file is opened in a newer version of Excel. Learn more: https://go.microsoft.com/fwlink/?linkid=870924
Comment:
    Medial prefrontal cortex</t>
      </text>
    </comment>
    <comment ref="AF163" authorId="538" shapeId="0" xr:uid="{17A2257C-E465-49C9-A92D-A1F58A959CCD}">
      <text>
        <t>[Threaded comment]
Your version of Excel allows you to read this threaded comment; however, any edits to it will get removed if the file is opened in a newer version of Excel. Learn more: https://go.microsoft.com/fwlink/?linkid=870924
Comment:
    400pmol*2</t>
      </text>
    </comment>
    <comment ref="AH163" authorId="539" shapeId="0" xr:uid="{57C3752E-1401-410D-BBDC-B3B2BFC899CF}">
      <text>
        <t>[Threaded comment]
Your version of Excel allows you to read this threaded comment; however, any edits to it will get removed if the file is opened in a newer version of Excel. Learn more: https://go.microsoft.com/fwlink/?linkid=870924
Comment:
    2*1uL</t>
      </text>
    </comment>
    <comment ref="AJ163" authorId="540" shapeId="0" xr:uid="{43B5F097-A797-4F81-B55F-B57CF571C68A}">
      <text>
        <t>[Threaded comment]
Your version of Excel allows you to read this threaded comment; however, any edits to it will get removed if the file is opened in a newer version of Excel. Learn more: https://go.microsoft.com/fwlink/?linkid=870924
Comment:
    0.5uL/min</t>
      </text>
    </comment>
    <comment ref="AL163" authorId="541" shapeId="0" xr:uid="{73EE8F84-0E08-4049-B740-68AE14348E22}">
      <text>
        <t>[Threaded comment]
Your version of Excel allows you to read this threaded comment; however, any edits to it will get removed if the file is opened in a newer version of Excel. Learn more: https://go.microsoft.com/fwlink/?linkid=870924
Comment:
    Topical - Xylocaine brand</t>
      </text>
    </comment>
    <comment ref="K164" authorId="542" shapeId="0" xr:uid="{32676EF7-D9E4-49D3-BA08-27A862B8B849}">
      <text>
        <t>[Threaded comment]
Your version of Excel allows you to read this threaded comment; however, any edits to it will get removed if the file is opened in a newer version of Excel. Learn more: https://go.microsoft.com/fwlink/?linkid=870924
Comment:
    "adult"</t>
      </text>
    </comment>
    <comment ref="AB164" authorId="543" shapeId="0" xr:uid="{90A5FA07-9DF2-4320-9ADD-8C65B1ACA8EB}">
      <text>
        <t>[Threaded comment]
Your version of Excel allows you to read this threaded comment; however, any edits to it will get removed if the file is opened in a newer version of Excel. Learn more: https://go.microsoft.com/fwlink/?linkid=870924
Comment:
    Orbital prefrontal cortex</t>
      </text>
    </comment>
    <comment ref="AF164" authorId="544" shapeId="0" xr:uid="{D4C19860-6D6B-497A-A5DA-57DD17BDEEA9}">
      <text>
        <t>[Threaded comment]
Your version of Excel allows you to read this threaded comment; however, any edits to it will get removed if the file is opened in a newer version of Excel. Learn more: https://go.microsoft.com/fwlink/?linkid=870924
Comment:
    400pmol*2</t>
      </text>
    </comment>
    <comment ref="AH164" authorId="545" shapeId="0" xr:uid="{573010B1-805E-4A6C-A9FF-605E3BEE5148}">
      <text>
        <t>[Threaded comment]
Your version of Excel allows you to read this threaded comment; however, any edits to it will get removed if the file is opened in a newer version of Excel. Learn more: https://go.microsoft.com/fwlink/?linkid=870924
Comment:
    2*1uL</t>
      </text>
    </comment>
    <comment ref="AJ164" authorId="546" shapeId="0" xr:uid="{8E0B8B1B-5A11-448C-9379-705C8E592661}">
      <text>
        <t>[Threaded comment]
Your version of Excel allows you to read this threaded comment; however, any edits to it will get removed if the file is opened in a newer version of Excel. Learn more: https://go.microsoft.com/fwlink/?linkid=870924
Comment:
    0.5uL/min</t>
      </text>
    </comment>
    <comment ref="AL164" authorId="547" shapeId="0" xr:uid="{48471D0E-B51F-4D35-8786-F099B68BE0CF}">
      <text>
        <t>[Threaded comment]
Your version of Excel allows you to read this threaded comment; however, any edits to it will get removed if the file is opened in a newer version of Excel. Learn more: https://go.microsoft.com/fwlink/?linkid=870924
Comment:
    Topical - Xylocaine brand</t>
      </text>
    </comment>
    <comment ref="K165" authorId="548" shapeId="0" xr:uid="{3E179CFD-59E5-4CFE-AA40-228AB3AB4AD7}">
      <text>
        <t>[Threaded comment]
Your version of Excel allows you to read this threaded comment; however, any edits to it will get removed if the file is opened in a newer version of Excel. Learn more: https://go.microsoft.com/fwlink/?linkid=870924
Comment:
    "adult"</t>
      </text>
    </comment>
    <comment ref="AT165" authorId="549" shapeId="0" xr:uid="{5E01F40D-E481-4BF7-85ED-C15C3101FB18}">
      <text>
        <t>[Threaded comment]
Your version of Excel allows you to read this threaded comment; however, any edits to it will get removed if the file is opened in a newer version of Excel. Learn more: https://go.microsoft.com/fwlink/?linkid=870924
Comment:
    Diffusion weighted</t>
      </text>
    </comment>
    <comment ref="AC166" authorId="550" shapeId="0" xr:uid="{62116317-F71E-4DFE-A0CF-0E710CAE7E49}">
      <text>
        <t>[Threaded comment]
Your version of Excel allows you to read this threaded comment; however, any edits to it will get removed if the file is opened in a newer version of Excel. Learn more: https://go.microsoft.com/fwlink/?linkid=870924
Comment:
    Anterior cerebral artery</t>
      </text>
    </comment>
    <comment ref="AJ166" authorId="551" shapeId="0" xr:uid="{F8DA6C57-78B5-4293-9C80-964788E9D162}">
      <text>
        <t>[Threaded comment]
Your version of Excel allows you to read this threaded comment; however, any edits to it will get removed if the file is opened in a newer version of Excel. Learn more: https://go.microsoft.com/fwlink/?linkid=870924
Comment:
    0.2uL/min</t>
      </text>
    </comment>
    <comment ref="AL166" authorId="552" shapeId="0" xr:uid="{8457E35D-4652-4E81-990D-1476342F5686}">
      <text>
        <t>[Threaded comment]
Your version of Excel allows you to read this threaded comment; however, any edits to it will get removed if the file is opened in a newer version of Excel. Learn more: https://go.microsoft.com/fwlink/?linkid=870924
Comment:
    Topical</t>
      </text>
    </comment>
    <comment ref="AT166" authorId="553" shapeId="0" xr:uid="{30EE0A1B-3D0F-4EB0-BA0D-FF1E70A3C0FE}">
      <text>
        <t>[Threaded comment]
Your version of Excel allows you to read this threaded comment; however, any edits to it will get removed if the file is opened in a newer version of Excel. Learn more: https://go.microsoft.com/fwlink/?linkid=870924
Comment:
    T2 weighted</t>
      </text>
    </comment>
    <comment ref="G167" authorId="554" shapeId="0" xr:uid="{EA9899D0-9AB5-4236-84C1-0459674BE0FF}">
      <text>
        <t>[Threaded comment]
Your version of Excel allows you to read this threaded comment; however, any edits to it will get removed if the file is opened in a newer version of Excel. Learn more: https://go.microsoft.com/fwlink/?linkid=870924
Comment:
    CBH RNU rats</t>
      </text>
    </comment>
    <comment ref="AJ167" authorId="555" shapeId="0" xr:uid="{4BFAF62E-C035-45BA-A013-E46FFE902266}">
      <text>
        <t>[Threaded comment]
Your version of Excel allows you to read this threaded comment; however, any edits to it will get removed if the file is opened in a newer version of Excel. Learn more: https://go.microsoft.com/fwlink/?linkid=870924
Comment:
    0.5uL/min</t>
      </text>
    </comment>
    <comment ref="AB168" authorId="556" shapeId="0" xr:uid="{30FE818F-FC79-42C4-BFBF-36A95321B542}">
      <text>
        <t>[Threaded comment]
Your version of Excel allows you to read this threaded comment; however, any edits to it will get removed if the file is opened in a newer version of Excel. Learn more: https://go.microsoft.com/fwlink/?linkid=870924
Comment:
    anterior forelimb cortex</t>
      </text>
    </comment>
    <comment ref="AH168" authorId="557" shapeId="0" xr:uid="{E33D7671-9F78-451A-8F44-B0CC7E156C96}">
      <text>
        <t>[Threaded comment]
Your version of Excel allows you to read this threaded comment; however, any edits to it will get removed if the file is opened in a newer version of Excel. Learn more: https://go.microsoft.com/fwlink/?linkid=870924
Comment:
    2 x 1uL</t>
      </text>
    </comment>
    <comment ref="AJ168" authorId="558" shapeId="0" xr:uid="{0311959F-492B-4B96-A596-6A7446DEF029}">
      <text>
        <t>[Threaded comment]
Your version of Excel allows you to read this threaded comment; however, any edits to it will get removed if the file is opened in a newer version of Excel. Learn more: https://go.microsoft.com/fwlink/?linkid=870924
Comment:
    0.2uL/min</t>
      </text>
    </comment>
    <comment ref="AO168" authorId="559" shapeId="0" xr:uid="{1E057F32-0A62-4CC6-9101-ADDC65B3C888}">
      <text>
        <t>[Threaded comment]
Your version of Excel allows you to read this threaded comment; however, any edits to it will get removed if the file is opened in a newer version of Excel. Learn more: https://go.microsoft.com/fwlink/?linkid=870924
Comment:
    High fat diet</t>
      </text>
    </comment>
    <comment ref="K169" authorId="560" shapeId="0" xr:uid="{E6C2C889-07A1-42BE-B9F2-322AC793DE4E}">
      <text>
        <t>[Threaded comment]
Your version of Excel allows you to read this threaded comment; however, any edits to it will get removed if the file is opened in a newer version of Excel. Learn more: https://go.microsoft.com/fwlink/?linkid=870924
Comment:
    3 months</t>
      </text>
    </comment>
    <comment ref="M169" authorId="561" shapeId="0" xr:uid="{F764EFD4-63EF-4801-B77A-1EDF6A21F43F}">
      <text>
        <t>[Threaded comment]
Your version of Excel allows you to read this threaded comment; however, any edits to it will get removed if the file is opened in a newer version of Excel. Learn more: https://go.microsoft.com/fwlink/?linkid=870924
Comment:
    6 months</t>
      </text>
    </comment>
    <comment ref="AB169" authorId="562" shapeId="0" xr:uid="{EECB2DCB-79A3-44CF-8440-629538131F9E}">
      <text>
        <t>[Threaded comment]
Your version of Excel allows you to read this threaded comment; however, any edits to it will get removed if the file is opened in a newer version of Excel. Learn more: https://go.microsoft.com/fwlink/?linkid=870924
Comment:
    anterior forelimb cortex</t>
      </text>
    </comment>
    <comment ref="AH169" authorId="563" shapeId="0" xr:uid="{52FC7B48-8941-4034-8D0A-AFAA64BBCA4F}">
      <text>
        <t>[Threaded comment]
Your version of Excel allows you to read this threaded comment; however, any edits to it will get removed if the file is opened in a newer version of Excel. Learn more: https://go.microsoft.com/fwlink/?linkid=870924
Comment:
    2 x 1uL</t>
      </text>
    </comment>
    <comment ref="AJ169" authorId="564" shapeId="0" xr:uid="{847E2252-411B-415E-9BA3-E51EC1484FBD}">
      <text>
        <t>[Threaded comment]
Your version of Excel allows you to read this threaded comment; however, any edits to it will get removed if the file is opened in a newer version of Excel. Learn more: https://go.microsoft.com/fwlink/?linkid=870924
Comment:
    0.2uL/min</t>
      </text>
    </comment>
    <comment ref="R170" authorId="565" shapeId="0" xr:uid="{64549081-EB6F-406C-809A-E90752CC4A44}">
      <text>
        <t>[Threaded comment]
Your version of Excel allows you to read this threaded comment; however, any edits to it will get removed if the file is opened in a newer version of Excel. Learn more: https://go.microsoft.com/fwlink/?linkid=870924
Comment:
    6-11</t>
      </text>
    </comment>
    <comment ref="AU170" authorId="566" shapeId="0" xr:uid="{A17CBD76-F82D-44CC-92FF-126238A08300}">
      <text>
        <t>[Threaded comment]
Your version of Excel allows you to read this threaded comment; however, any edits to it will get removed if the file is opened in a newer version of Excel. Learn more: https://go.microsoft.com/fwlink/?linkid=870924
Comment:
    +cresyl violet</t>
      </text>
    </comment>
    <comment ref="R171" authorId="567" shapeId="0" xr:uid="{34F09BDB-9C71-4D0E-BD55-F88593C0E0B1}">
      <text>
        <t>[Threaded comment]
Your version of Excel allows you to read this threaded comment; however, any edits to it will get removed if the file is opened in a newer version of Excel. Learn more: https://go.microsoft.com/fwlink/?linkid=870924
Comment:
    6-11</t>
      </text>
    </comment>
    <comment ref="AU171" authorId="568" shapeId="0" xr:uid="{6CC1B850-80AD-4CD3-9797-97436B68BE57}">
      <text>
        <t>[Threaded comment]
Your version of Excel allows you to read this threaded comment; however, any edits to it will get removed if the file is opened in a newer version of Excel. Learn more: https://go.microsoft.com/fwlink/?linkid=870924
Comment:
    +cresyl violet</t>
      </text>
    </comment>
    <comment ref="R172" authorId="569" shapeId="0" xr:uid="{AE7D0897-EBD5-42CD-8739-DF0963C5A42F}">
      <text>
        <t>[Threaded comment]
Your version of Excel allows you to read this threaded comment; however, any edits to it will get removed if the file is opened in a newer version of Excel. Learn more: https://go.microsoft.com/fwlink/?linkid=870924
Comment:
    6-11</t>
      </text>
    </comment>
    <comment ref="AU172" authorId="570" shapeId="0" xr:uid="{DBE8454A-4CA6-4CC0-8D3E-AB6A4646990C}">
      <text>
        <t>[Threaded comment]
Your version of Excel allows you to read this threaded comment; however, any edits to it will get removed if the file is opened in a newer version of Excel. Learn more: https://go.microsoft.com/fwlink/?linkid=870924
Comment:
    +cresyl violet</t>
      </text>
    </comment>
    <comment ref="R173" authorId="571" shapeId="0" xr:uid="{DED78E75-F1CD-4C35-897C-D9D39C8EC0DF}">
      <text>
        <t>[Threaded comment]
Your version of Excel allows you to read this threaded comment; however, any edits to it will get removed if the file is opened in a newer version of Excel. Learn more: https://go.microsoft.com/fwlink/?linkid=870924
Comment:
    6-11</t>
      </text>
    </comment>
    <comment ref="AU173" authorId="572" shapeId="0" xr:uid="{16B327E8-8197-47F0-B2E8-B1B9829F18B4}">
      <text>
        <t>[Threaded comment]
Your version of Excel allows you to read this threaded comment; however, any edits to it will get removed if the file is opened in a newer version of Excel. Learn more: https://go.microsoft.com/fwlink/?linkid=870924
Comment:
    +cresyl violet</t>
      </text>
    </comment>
    <comment ref="R174" authorId="573" shapeId="0" xr:uid="{03D9AD96-4B0A-4500-AB38-4C1089E1EEA1}">
      <text>
        <t>[Threaded comment]
Your version of Excel allows you to read this threaded comment; however, any edits to it will get removed if the file is opened in a newer version of Excel. Learn more: https://go.microsoft.com/fwlink/?linkid=870924
Comment:
    6-11</t>
      </text>
    </comment>
    <comment ref="AU174" authorId="574" shapeId="0" xr:uid="{2687B953-8C19-41C7-87B3-3F80909A3185}">
      <text>
        <t>[Threaded comment]
Your version of Excel allows you to read this threaded comment; however, any edits to it will get removed if the file is opened in a newer version of Excel. Learn more: https://go.microsoft.com/fwlink/?linkid=870924
Comment:
    +cresyl violet</t>
      </text>
    </comment>
    <comment ref="U175" authorId="575" shapeId="0" xr:uid="{35781939-217E-42B5-AD91-E0EBDCC30289}">
      <text>
        <t>[Threaded comment]
Your version of Excel allows you to read this threaded comment; however, any edits to it will get removed if the file is opened in a newer version of Excel. Learn more: https://go.microsoft.com/fwlink/?linkid=870924
Comment:
    Brand Avertin</t>
      </text>
    </comment>
    <comment ref="X175" authorId="576" shapeId="0" xr:uid="{DC932A38-C95F-47E2-9EDC-B76B82E15F98}">
      <text>
        <t>[Threaded comment]
Your version of Excel allows you to read this threaded comment; however, any edits to it will get removed if the file is opened in a newer version of Excel. Learn more: https://go.microsoft.com/fwlink/?linkid=870924
Comment:
    Brand Avertin</t>
      </text>
    </comment>
    <comment ref="AB175" authorId="577" shapeId="0" xr:uid="{9E80A834-5197-4C34-BB77-DCB29D3F235F}">
      <text>
        <t>[Threaded comment]
Your version of Excel allows you to read this threaded comment; however, any edits to it will get removed if the file is opened in a newer version of Excel. Learn more: https://go.microsoft.com/fwlink/?linkid=870924
Comment:
    Forelimb cortex</t>
      </text>
    </comment>
    <comment ref="AH175" authorId="578" shapeId="0" xr:uid="{E702D8F5-C932-49A9-BDE3-9026E4394E5B}">
      <text>
        <t>[Threaded comment]
Your version of Excel allows you to read this threaded comment; however, any edits to it will get removed if the file is opened in a newer version of Excel. Learn more: https://go.microsoft.com/fwlink/?linkid=870924
Comment:
    3*0.33uL</t>
      </text>
    </comment>
    <comment ref="AJ175" authorId="579" shapeId="0" xr:uid="{CC39DACA-D895-45B1-8FA7-729C2532BB1D}">
      <text>
        <t>[Threaded comment]
Your version of Excel allows you to read this threaded comment; however, any edits to it will get removed if the file is opened in a newer version of Excel. Learn more: https://go.microsoft.com/fwlink/?linkid=870924
Comment:
    3*1min10sec</t>
      </text>
    </comment>
    <comment ref="AN175" authorId="580" shapeId="0" xr:uid="{428D1646-8FBC-4576-95DE-79891C363773}">
      <text>
        <t>[Threaded comment]
Your version of Excel allows you to read this threaded comment; however, any edits to it will get removed if the file is opened in a newer version of Excel. Learn more: https://go.microsoft.com/fwlink/?linkid=870924
Comment:
    + topical "antibacterial powder"</t>
      </text>
    </comment>
    <comment ref="U176" authorId="581" shapeId="0" xr:uid="{56C0EA0B-5796-4632-B9E1-DE313BFF57A0}">
      <text>
        <t>[Threaded comment]
Your version of Excel allows you to read this threaded comment; however, any edits to it will get removed if the file is opened in a newer version of Excel. Learn more: https://go.microsoft.com/fwlink/?linkid=870924
Comment:
    Hypnorm/Dormicum brand</t>
      </text>
    </comment>
    <comment ref="V176" authorId="582" shapeId="0" xr:uid="{78C7D3C0-9059-427D-A882-E54042429DBF}">
      <text>
        <t>[Threaded comment]
Your version of Excel allows you to read this threaded comment; however, any edits to it will get removed if the file is opened in a newer version of Excel. Learn more: https://go.microsoft.com/fwlink/?linkid=870924
Comment:
    Hypnorm/Dormicum brand</t>
      </text>
    </comment>
    <comment ref="X176" authorId="583" shapeId="0" xr:uid="{3AE59822-D428-47DB-A969-FE6B521A59CB}">
      <text>
        <t>[Threaded comment]
Your version of Excel allows you to read this threaded comment; however, any edits to it will get removed if the file is opened in a newer version of Excel. Learn more: https://go.microsoft.com/fwlink/?linkid=870924
Comment:
    Hypnorm/Dormicum brand</t>
      </text>
    </comment>
    <comment ref="Y176" authorId="584" shapeId="0" xr:uid="{904F4335-8CD6-40BD-ADB1-991B9D61C097}">
      <text>
        <t>[Threaded comment]
Your version of Excel allows you to read this threaded comment; however, any edits to it will get removed if the file is opened in a newer version of Excel. Learn more: https://go.microsoft.com/fwlink/?linkid=870924
Comment:
    Hypnorm/Dormicum brand</t>
      </text>
    </comment>
    <comment ref="AB176" authorId="585" shapeId="0" xr:uid="{4587A2EB-72B6-48B4-BEEA-9BC9B958482C}">
      <text>
        <t>[Threaded comment]
Your version of Excel allows you to read this threaded comment; however, any edits to it will get removed if the file is opened in a newer version of Excel. Learn more: https://go.microsoft.com/fwlink/?linkid=870924
Comment:
    Say injection into piriform cortex but appear to focus on striatal part of it</t>
      </text>
    </comment>
    <comment ref="AL176" authorId="586" shapeId="0" xr:uid="{C930E3A3-67F3-46A7-830E-F58AC833B4F4}">
      <text>
        <t>[Threaded comment]
Your version of Excel allows you to read this threaded comment; however, any edits to it will get removed if the file is opened in a newer version of Excel. Learn more: https://go.microsoft.com/fwlink/?linkid=870924
Comment:
    Topical</t>
      </text>
    </comment>
    <comment ref="AM176" authorId="587" shapeId="0" xr:uid="{90AF3031-AD0A-4775-B0E1-8C6F3D2E560C}">
      <text>
        <t>[Threaded comment]
Your version of Excel allows you to read this threaded comment; however, any edits to it will get removed if the file is opened in a newer version of Excel. Learn more: https://go.microsoft.com/fwlink/?linkid=870924
Comment:
    Temgesic brand</t>
      </text>
    </comment>
    <comment ref="U177" authorId="588" shapeId="0" xr:uid="{57740B26-31CB-4203-A57C-6D226BD750F3}">
      <text>
        <t>[Threaded comment]
Your version of Excel allows you to read this threaded comment; however, any edits to it will get removed if the file is opened in a newer version of Excel. Learn more: https://go.microsoft.com/fwlink/?linkid=870924
Comment:
    Hypnorm/Dormicum brand</t>
      </text>
    </comment>
    <comment ref="V177" authorId="589" shapeId="0" xr:uid="{0FCA0B4C-45D9-4608-AF71-00DE02BDB56B}">
      <text>
        <t>[Threaded comment]
Your version of Excel allows you to read this threaded comment; however, any edits to it will get removed if the file is opened in a newer version of Excel. Learn more: https://go.microsoft.com/fwlink/?linkid=870924
Comment:
    Hypnorm/Dormicum brand</t>
      </text>
    </comment>
    <comment ref="X177" authorId="590" shapeId="0" xr:uid="{ED3E5891-78A6-4028-A811-3D21F1C5E1BC}">
      <text>
        <t>[Threaded comment]
Your version of Excel allows you to read this threaded comment; however, any edits to it will get removed if the file is opened in a newer version of Excel. Learn more: https://go.microsoft.com/fwlink/?linkid=870924
Comment:
    Hypnorm/Dormicum brand</t>
      </text>
    </comment>
    <comment ref="Y177" authorId="591" shapeId="0" xr:uid="{0DBE1F67-9D01-47EF-A0AF-1AA290449D5F}">
      <text>
        <t>[Threaded comment]
Your version of Excel allows you to read this threaded comment; however, any edits to it will get removed if the file is opened in a newer version of Excel. Learn more: https://go.microsoft.com/fwlink/?linkid=870924
Comment:
    Hypnorm/Dormicum brand</t>
      </text>
    </comment>
    <comment ref="AB177" authorId="592" shapeId="0" xr:uid="{7B21A412-E993-46DC-A346-A745043EFBC8}">
      <text>
        <t>[Threaded comment]
Your version of Excel allows you to read this threaded comment; however, any edits to it will get removed if the file is opened in a newer version of Excel. Learn more: https://go.microsoft.com/fwlink/?linkid=870924
Comment:
    Say injection into piriform cortex but appear to focus on striatal part of it</t>
      </text>
    </comment>
    <comment ref="AL177" authorId="593" shapeId="0" xr:uid="{81199F8A-63CB-4E70-BCA4-D7C695814679}">
      <text>
        <t>[Threaded comment]
Your version of Excel allows you to read this threaded comment; however, any edits to it will get removed if the file is opened in a newer version of Excel. Learn more: https://go.microsoft.com/fwlink/?linkid=870924
Comment:
    Topical</t>
      </text>
    </comment>
    <comment ref="AM177" authorId="594" shapeId="0" xr:uid="{88650F19-0528-4B0E-ABCD-5B92783AA091}">
      <text>
        <t>[Threaded comment]
Your version of Excel allows you to read this threaded comment; however, any edits to it will get removed if the file is opened in a newer version of Excel. Learn more: https://go.microsoft.com/fwlink/?linkid=870924
Comment:
    Temgesic brand</t>
      </text>
    </comment>
    <comment ref="AW177" authorId="595" shapeId="0" xr:uid="{D3564604-A973-4F96-A821-F1F772FDBD4F}">
      <text>
        <t>[Threaded comment]
Your version of Excel allows you to read this threaded comment; however, any edits to it will get removed if the file is opened in a newer version of Excel. Learn more: https://go.microsoft.com/fwlink/?linkid=870924
Comment:
    Had 3 values coming up just under 0 when I extracted data from graph, so have made them 0.001 as a minimum infarct volume</t>
      </text>
    </comment>
    <comment ref="AX177" authorId="596" shapeId="0" xr:uid="{45C75B8A-CD24-4F40-AB55-467CE830656F}">
      <text>
        <t>[Threaded comment]
Your version of Excel allows you to read this threaded comment; however, any edits to it will get removed if the file is opened in a newer version of Excel. Learn more: https://go.microsoft.com/fwlink/?linkid=870924
Comment:
    Had 3 values coming up just under 0 when I extracted data from graph, so have made them 0.001 as a minimum infarct volume</t>
      </text>
    </comment>
    <comment ref="A178" authorId="597" shapeId="0" xr:uid="{125CCAE1-EF00-42C1-A4E4-82EACAD5C667}">
      <text>
        <t>[Threaded comment]
Your version of Excel allows you to read this threaded comment; however, any edits to it will get removed if the file is opened in a newer version of Excel. Learn more: https://go.microsoft.com/fwlink/?linkid=870924
Comment:
    Volumes calculated from cortical + striatal</t>
      </text>
    </comment>
    <comment ref="K178" authorId="598" shapeId="0" xr:uid="{96581BED-F87C-42FC-8A51-015753A55BB3}">
      <text>
        <t>[Threaded comment]
Your version of Excel allows you to read this threaded comment; however, any edits to it will get removed if the file is opened in a newer version of Excel. Learn more: https://go.microsoft.com/fwlink/?linkid=870924
Comment:
    "adult"</t>
      </text>
    </comment>
    <comment ref="AB178" authorId="599" shapeId="0" xr:uid="{212BEEE1-9447-41E4-B39D-37D7ACD717E1}">
      <text>
        <t>[Threaded comment]
Your version of Excel allows you to read this threaded comment; however, any edits to it will get removed if the file is opened in a newer version of Excel. Learn more: https://go.microsoft.com/fwlink/?linkid=870924
Comment:
    Piriform cortex</t>
      </text>
    </comment>
    <comment ref="AJ178" authorId="600" shapeId="0" xr:uid="{A64AA737-B0BF-4819-8C82-4BC45B679343}">
      <text>
        <t>[Threaded comment]
Your version of Excel allows you to read this threaded comment; however, any edits to it will get removed if the file is opened in a newer version of Excel. Learn more: https://go.microsoft.com/fwlink/?linkid=870924
Comment:
    0.5uL/min</t>
      </text>
    </comment>
    <comment ref="AT178" authorId="601" shapeId="0" xr:uid="{87E9E0B9-9250-4D2B-9FFB-5ACCE2011000}">
      <text>
        <t>[Threaded comment]
Your version of Excel allows you to read this threaded comment; however, any edits to it will get removed if the file is opened in a newer version of Excel. Learn more: https://go.microsoft.com/fwlink/?linkid=870924
Comment:
    infarct area was determined in unstained sections using the ballistic light method (Callaway et al., 2000)</t>
      </text>
    </comment>
    <comment ref="AB179" authorId="602" shapeId="0" xr:uid="{C9DE7AE3-F95B-4853-BBA5-BB1A5752DF0C}">
      <text>
        <t>[Threaded comment]
Your version of Excel allows you to read this threaded comment; however, any edits to it will get removed if the file is opened in a newer version of Excel. Learn more: https://go.microsoft.com/fwlink/?linkid=870924
Comment:
    Motor prefrontal cortex</t>
      </text>
    </comment>
    <comment ref="AL179" authorId="603" shapeId="0" xr:uid="{DC591F1E-53FE-4954-AC57-1FD0B4BD8046}">
      <text>
        <t>[Threaded comment]
Your version of Excel allows you to read this threaded comment; however, any edits to it will get removed if the file is opened in a newer version of Excel. Learn more: https://go.microsoft.com/fwlink/?linkid=870924
Comment:
    Topical - Xylocaine brand</t>
      </text>
    </comment>
    <comment ref="AF180" authorId="604" shapeId="0" xr:uid="{FA827CCC-5635-4736-88F4-ACC580820832}">
      <text>
        <t>[Threaded comment]
Your version of Excel allows you to read this threaded comment; however, any edits to it will get removed if the file is opened in a newer version of Excel. Learn more: https://go.microsoft.com/fwlink/?linkid=870924
Comment:
    20pmol/uL</t>
      </text>
    </comment>
    <comment ref="AL180" authorId="605" shapeId="0" xr:uid="{535A6545-B9E3-4223-80A5-5BFB0543B348}">
      <text>
        <t>[Threaded comment]
Your version of Excel allows you to read this threaded comment; however, any edits to it will get removed if the file is opened in a newer version of Excel. Learn more: https://go.microsoft.com/fwlink/?linkid=870924
Comment:
    Topical</t>
      </text>
    </comment>
    <comment ref="AN180" authorId="606" shapeId="0" xr:uid="{16BA435E-0997-4958-BE0E-F9575B6FA904}">
      <text>
        <t>[Threaded comment]
Your version of Excel allows you to read this threaded comment; however, any edits to it will get removed if the file is opened in a newer version of Excel. Learn more: https://go.microsoft.com/fwlink/?linkid=870924
Comment:
    Bacibact powder, Orion</t>
      </text>
    </comment>
    <comment ref="AB181" authorId="607" shapeId="0" xr:uid="{25DFD7FA-3CC0-44CB-9F80-C7A22BE8AC0E}">
      <text>
        <t>[Threaded comment]
Your version of Excel allows you to read this threaded comment; however, any edits to it will get removed if the file is opened in a newer version of Excel. Learn more: https://go.microsoft.com/fwlink/?linkid=870924
Comment:
    striatal</t>
      </text>
    </comment>
    <comment ref="AJ181" authorId="608" shapeId="0" xr:uid="{C2D87775-BE8D-4A50-A763-CD33D5D12305}">
      <text>
        <t>[Threaded comment]
Your version of Excel allows you to read this threaded comment; however, any edits to it will get removed if the file is opened in a newer version of Excel. Learn more: https://go.microsoft.com/fwlink/?linkid=870924
Comment:
    250nL/min</t>
      </text>
    </comment>
    <comment ref="AL181" authorId="609" shapeId="0" xr:uid="{9D641768-05EA-469C-AB08-6B7C469AE8F8}">
      <text>
        <t>[Threaded comment]
Your version of Excel allows you to read this threaded comment; however, any edits to it will get removed if the file is opened in a newer version of Excel. Learn more: https://go.microsoft.com/fwlink/?linkid=870924
Comment:
    Plus bupivacaine cream</t>
      </text>
    </comment>
    <comment ref="AJ182" authorId="610" shapeId="0" xr:uid="{538BEA87-3DBF-45E0-9125-E3E6F4CFF2C2}">
      <text>
        <t>[Threaded comment]
Your version of Excel allows you to read this threaded comment; however, any edits to it will get removed if the file is opened in a newer version of Excel. Learn more: https://go.microsoft.com/fwlink/?linkid=870924
Comment:
    250nL/min</t>
      </text>
    </comment>
    <comment ref="AL182" authorId="611" shapeId="0" xr:uid="{7AAA70D2-B5E1-464D-B911-FD4BDD8AD3A4}">
      <text>
        <t>[Threaded comment]
Your version of Excel allows you to read this threaded comment; however, any edits to it will get removed if the file is opened in a newer version of Excel. Learn more: https://go.microsoft.com/fwlink/?linkid=870924
Comment:
    Plus bupivacaine cream</t>
      </text>
    </comment>
    <comment ref="AB183" authorId="612" shapeId="0" xr:uid="{06AAFBA8-CACA-4D81-80E7-FFF960B4ACBE}">
      <text>
        <t>[Threaded comment]
Your version of Excel allows you to read this threaded comment; however, any edits to it will get removed if the file is opened in a newer version of Excel. Learn more: https://go.microsoft.com/fwlink/?linkid=870924
Comment:
    Two injections, one cortical one striatal</t>
      </text>
    </comment>
    <comment ref="AJ183" authorId="613" shapeId="0" xr:uid="{49AEC69F-7AB8-4C03-B8F4-824D184E3CA8}">
      <text>
        <t>[Threaded comment]
Your version of Excel allows you to read this threaded comment; however, any edits to it will get removed if the file is opened in a newer version of Excel. Learn more: https://go.microsoft.com/fwlink/?linkid=870924
Comment:
    250nL/min</t>
      </text>
    </comment>
    <comment ref="AL183" authorId="614" shapeId="0" xr:uid="{322B7634-6258-4A9A-8726-CA1103BB425B}">
      <text>
        <t>[Threaded comment]
Your version of Excel allows you to read this threaded comment; however, any edits to it will get removed if the file is opened in a newer version of Excel. Learn more: https://go.microsoft.com/fwlink/?linkid=870924
Comment:
    Plus bupivacaine cream</t>
      </text>
    </comment>
    <comment ref="AB184" authorId="615" shapeId="0" xr:uid="{F21E79A5-1029-4AD0-BB82-F7AE5CCAA96E}">
      <text>
        <t>[Threaded comment]
Your version of Excel allows you to read this threaded comment; however, any edits to it will get removed if the file is opened in a newer version of Excel. Learn more: https://go.microsoft.com/fwlink/?linkid=870924
Comment:
    pial application in caudal forelimb area</t>
      </text>
    </comment>
    <comment ref="AO184" authorId="616" shapeId="0" xr:uid="{142F56C6-9A16-4EB3-B010-D0968C4472E6}">
      <text>
        <t>[Threaded comment]
Your version of Excel allows you to read this threaded comment; however, any edits to it will get removed if the file is opened in a newer version of Excel. Learn more: https://go.microsoft.com/fwlink/?linkid=870924
Comment:
    motor skill training with the nonparetic forelimb (NPT)</t>
      </text>
    </comment>
    <comment ref="K185" authorId="617" shapeId="0" xr:uid="{25625FA3-6BB8-4CCA-9C2F-05CC4DB4C175}">
      <text>
        <t>[Threaded comment]
Your version of Excel allows you to read this threaded comment; however, any edits to it will get removed if the file is opened in a newer version of Excel. Learn more: https://go.microsoft.com/fwlink/?linkid=870924
Comment:
    "adult"</t>
      </text>
    </comment>
    <comment ref="AF185" authorId="618" shapeId="0" xr:uid="{5688D2BE-0132-4CA1-8DED-DCC0D1A28A27}">
      <text>
        <t>[Threaded comment]
Your version of Excel allows you to read this threaded comment; however, any edits to it will get removed if the file is opened in a newer version of Excel. Learn more: https://go.microsoft.com/fwlink/?linkid=870924
Comment:
    total</t>
      </text>
    </comment>
    <comment ref="AH185" authorId="619" shapeId="0" xr:uid="{C23D9C25-C491-4466-8C20-8247B6DAB7D1}">
      <text>
        <t>[Threaded comment]
Your version of Excel allows you to read this threaded comment; however, any edits to it will get removed if the file is opened in a newer version of Excel. Learn more: https://go.microsoft.com/fwlink/?linkid=870924
Comment:
    2*2uL</t>
      </text>
    </comment>
    <comment ref="AJ185" authorId="620" shapeId="0" xr:uid="{683C7CD0-1480-4C1C-B681-D1DA335C79BD}">
      <text>
        <t>[Threaded comment]
Your version of Excel allows you to read this threaded comment; however, any edits to it will get removed if the file is opened in a newer version of Excel. Learn more: https://go.microsoft.com/fwlink/?linkid=870924
Comment:
    1uL/min</t>
      </text>
    </comment>
    <comment ref="AL185" authorId="621" shapeId="0" xr:uid="{6B591298-2526-4534-9D4B-32BCFFA1ED10}">
      <text>
        <t>[Threaded comment]
Your version of Excel allows you to read this threaded comment; however, any edits to it will get removed if the file is opened in a newer version of Excel. Learn more: https://go.microsoft.com/fwlink/?linkid=870924
Comment:
    Brand Marcaine</t>
      </text>
    </comment>
    <comment ref="AT185" authorId="622" shapeId="0" xr:uid="{BB14B719-D248-42A2-8AE6-5891C336164E}">
      <text>
        <t>[Threaded comment]
Your version of Excel allows you to read this threaded comment; however, any edits to it will get removed if the file is opened in a newer version of Excel. Learn more: https://go.microsoft.com/fwlink/?linkid=870924
Comment:
    T2 weighted</t>
      </text>
    </comment>
    <comment ref="AB186" authorId="623" shapeId="0" xr:uid="{03715210-5BD9-4A54-887D-644E078F28ED}">
      <text>
        <t>[Threaded comment]
Your version of Excel allows you to read this threaded comment; however, any edits to it will get removed if the file is opened in a newer version of Excel. Learn more: https://go.microsoft.com/fwlink/?linkid=870924
Comment:
    caudate putamen</t>
      </text>
    </comment>
    <comment ref="AJ186" authorId="624" shapeId="0" xr:uid="{FA438965-CE3D-47FD-8653-713C80717236}">
      <text>
        <t>[Threaded comment]
Your version of Excel allows you to read this threaded comment; however, any edits to it will get removed if the file is opened in a newer version of Excel. Learn more: https://go.microsoft.com/fwlink/?linkid=870924
Comment:
    0.5uL/min</t>
      </text>
    </comment>
    <comment ref="AL186" authorId="625" shapeId="0" xr:uid="{D5226364-AE1A-4B21-A8FB-AC35D06906E4}">
      <text>
        <t>[Threaded comment]
Your version of Excel allows you to read this threaded comment; however, any edits to it will get removed if the file is opened in a newer version of Excel. Learn more: https://go.microsoft.com/fwlink/?linkid=870924
Comment:
    Xylocaine injection</t>
      </text>
    </comment>
    <comment ref="K187" authorId="626" shapeId="0" xr:uid="{A860A9D3-7C9C-43B3-84DA-5F74A45A86CD}">
      <text>
        <t>[Threaded comment]
Your version of Excel allows you to read this threaded comment; however, any edits to it will get removed if the file is opened in a newer version of Excel. Learn more: https://go.microsoft.com/fwlink/?linkid=870924
Comment:
    "adult"</t>
      </text>
    </comment>
    <comment ref="AB187" authorId="627" shapeId="0" xr:uid="{DA3EF076-9D92-48AB-A140-1EBE4B5EB8E0}">
      <text>
        <t>[Threaded comment]
Your version of Excel allows you to read this threaded comment; however, any edits to it will get removed if the file is opened in a newer version of Excel. Learn more: https://go.microsoft.com/fwlink/?linkid=870924
Comment:
    Medial prefrontal cortex</t>
      </text>
    </comment>
    <comment ref="AJ187" authorId="628" shapeId="0" xr:uid="{E98AAA49-50CA-4609-ACDD-EC4578BEFB83}">
      <text>
        <t>[Threaded comment]
Your version of Excel allows you to read this threaded comment; however, any edits to it will get removed if the file is opened in a newer version of Excel. Learn more: https://go.microsoft.com/fwlink/?linkid=870924
Comment:
    0.4uL/min</t>
      </text>
    </comment>
    <comment ref="AL187" authorId="629" shapeId="0" xr:uid="{8F449576-4937-4F3F-904B-71E8DBB4F08D}">
      <text>
        <t>[Threaded comment]
Your version of Excel allows you to read this threaded comment; however, any edits to it will get removed if the file is opened in a newer version of Excel. Learn more: https://go.microsoft.com/fwlink/?linkid=870924
Comment:
    topical</t>
      </text>
    </comment>
    <comment ref="AF188" authorId="630" shapeId="0" xr:uid="{04CF846C-F203-427B-8D54-49BFC38B8868}">
      <text>
        <t>[Threaded comment]
Your version of Excel allows you to read this threaded comment; however, any edits to it will get removed if the file is opened in a newer version of Excel. Learn more: https://go.microsoft.com/fwlink/?linkid=870924
Comment:
    "10^-7-10^-4 M in 25 uL of sterile
saline]. This represents application of minute amounts of
the peptide (e.g., 2.5 nmol for 10^-4 M)." so they reported per uL. I am using their example to list these in nmol absolute amounts</t>
      </text>
    </comment>
    <comment ref="AU188" authorId="631" shapeId="0" xr:uid="{C3F7B71F-F84B-4222-A93C-C8D0073E92BB}">
      <text>
        <t>[Threaded comment]
Your version of Excel allows you to read this threaded comment; however, any edits to it will get removed if the file is opened in a newer version of Excel. Learn more: https://go.microsoft.com/fwlink/?linkid=870924
Comment:
    Or cresyl violet + luxol fast blue</t>
      </text>
    </comment>
    <comment ref="AF189" authorId="632" shapeId="0" xr:uid="{50D3F14E-F9C0-4A90-B4CD-4B931BBAA268}">
      <text>
        <t>[Threaded comment]
Your version of Excel allows you to read this threaded comment; however, any edits to it will get removed if the file is opened in a newer version of Excel. Learn more: https://go.microsoft.com/fwlink/?linkid=870924
Comment:
    "10^-7-10^-4 M in 25 uL of sterile
saline]. This represents application of minute amounts of
the peptide (e.g., 2.5 nmol for 10^-4 M)." so they reported per uL. I am using their example to list these in nmol absolute amounts</t>
      </text>
    </comment>
    <comment ref="AU189" authorId="633" shapeId="0" xr:uid="{D7105D5D-C70F-42BD-91DE-D045D9564702}">
      <text>
        <t>[Threaded comment]
Your version of Excel allows you to read this threaded comment; however, any edits to it will get removed if the file is opened in a newer version of Excel. Learn more: https://go.microsoft.com/fwlink/?linkid=870924
Comment:
    Or cresyl violet + luxol fast blue</t>
      </text>
    </comment>
    <comment ref="AF190" authorId="634" shapeId="0" xr:uid="{12F7040A-C3B1-4BF8-BB4A-1F5FBD998A77}">
      <text>
        <t>[Threaded comment]
Your version of Excel allows you to read this threaded comment; however, any edits to it will get removed if the file is opened in a newer version of Excel. Learn more: https://go.microsoft.com/fwlink/?linkid=870924
Comment:
    "10^-7-10^-4 M in 25 uL of sterile
saline]. This represents application of minute amounts of
the peptide (e.g., 2.5 nmol for 10^-4 M)." so they reported per uL. I am using their example to list these in nmol absolute amounts</t>
      </text>
    </comment>
    <comment ref="AU190" authorId="635" shapeId="0" xr:uid="{D44820CA-819F-46F1-845A-0F546F65E1B6}">
      <text>
        <t>[Threaded comment]
Your version of Excel allows you to read this threaded comment; however, any edits to it will get removed if the file is opened in a newer version of Excel. Learn more: https://go.microsoft.com/fwlink/?linkid=870924
Comment:
    Or cresyl violet + luxol fast blue</t>
      </text>
    </comment>
    <comment ref="AF191" authorId="636" shapeId="0" xr:uid="{9017259D-D330-4EB3-B69E-EDE100B61871}">
      <text>
        <t>[Threaded comment]
Your version of Excel allows you to read this threaded comment; however, any edits to it will get removed if the file is opened in a newer version of Excel. Learn more: https://go.microsoft.com/fwlink/?linkid=870924
Comment:
    "10^-7-10^-4 M in 25 uL of sterile
saline]. This represents application of minute amounts of
the peptide (e.g., 2.5 nmol for 10^-4 M)." so they reported mol per 25uL. I am using their example to list these in nmol absolute amounts</t>
      </text>
    </comment>
    <comment ref="AU191" authorId="637" shapeId="0" xr:uid="{78D6457C-15F3-4114-88A7-D71F5FE563F6}">
      <text>
        <t>[Threaded comment]
Your version of Excel allows you to read this threaded comment; however, any edits to it will get removed if the file is opened in a newer version of Excel. Learn more: https://go.microsoft.com/fwlink/?linkid=870924
Comment:
    Or cresyl violet + luxol fast blue</t>
      </text>
    </comment>
    <comment ref="A192" authorId="638" shapeId="0" xr:uid="{9DBC9B2D-BF06-4081-9876-1933221CCCC7}">
      <text>
        <t>[Threaded comment]
Your version of Excel allows you to read this threaded comment; however, any edits to it will get removed if the file is opened in a newer version of Excel. Learn more: https://go.microsoft.com/fwlink/?linkid=870924
Comment:
    Volume calculated from cortical + striatal</t>
      </text>
    </comment>
    <comment ref="K192" authorId="639" shapeId="0" xr:uid="{DAB18A97-DD42-4E0C-8CC1-6664B5ED83AC}">
      <text>
        <t>[Threaded comment]
Your version of Excel allows you to read this threaded comment; however, any edits to it will get removed if the file is opened in a newer version of Excel. Learn more: https://go.microsoft.com/fwlink/?linkid=870924
Comment:
    "adult"</t>
      </text>
    </comment>
    <comment ref="AB192" authorId="640" shapeId="0" xr:uid="{E816636D-01AA-4857-85B2-864B983B1BB2}">
      <text>
        <t>[Threaded comment]
Your version of Excel allows you to read this threaded comment; however, any edits to it will get removed if the file is opened in a newer version of Excel. Learn more: https://go.microsoft.com/fwlink/?linkid=870924
Comment:
    Piriform cortex</t>
      </text>
    </comment>
    <comment ref="L193" authorId="641" shapeId="0" xr:uid="{FA8FFD50-64FB-4750-A73B-20C75E5BA6F2}">
      <text>
        <t>[Threaded comment]
Your version of Excel allows you to read this threaded comment; however, any edits to it will get removed if the file is opened in a newer version of Excel. Learn more: https://go.microsoft.com/fwlink/?linkid=870924
Comment:
    3 months</t>
      </text>
    </comment>
    <comment ref="AB193" authorId="642" shapeId="0" xr:uid="{03FF4BFC-A0AA-4BE6-A425-9735AE657E9F}">
      <text>
        <t>[Threaded comment]
Your version of Excel allows you to read this threaded comment; however, any edits to it will get removed if the file is opened in a newer version of Excel. Learn more: https://go.microsoft.com/fwlink/?linkid=870924
Comment:
    One cortical one striatal</t>
      </text>
    </comment>
    <comment ref="AF193" authorId="643" shapeId="0" xr:uid="{C8512441-034E-493A-8F13-69E48BDA39D6}">
      <text>
        <t>[Threaded comment]
Your version of Excel allows you to read this threaded comment; however, any edits to it will get removed if the file is opened in a newer version of Excel. Learn more: https://go.microsoft.com/fwlink/?linkid=870924
Comment:
    800*2 injections</t>
      </text>
    </comment>
    <comment ref="AL193" authorId="644" shapeId="0" xr:uid="{83CBF66F-39E2-418B-A0DC-9E7E810A2FF1}">
      <text>
        <t>[Threaded comment]
Your version of Excel allows you to read this threaded comment; however, any edits to it will get removed if the file is opened in a newer version of Excel. Learn more: https://go.microsoft.com/fwlink/?linkid=870924
Comment:
    Topical</t>
      </text>
    </comment>
    <comment ref="AT193" authorId="645" shapeId="0" xr:uid="{FEF1A519-A35D-482C-90AF-80EDB1822E65}">
      <text>
        <t>[Threaded comment]
Your version of Excel allows you to read this threaded comment; however, any edits to it will get removed if the file is opened in a newer version of Excel. Learn more: https://go.microsoft.com/fwlink/?linkid=870924
Comment:
    the volume of lesion plus atrophy was stereologically
estimated using the Cavalieri procedure</t>
      </text>
    </comment>
    <comment ref="A194" authorId="646" shapeId="0" xr:uid="{3534922E-9974-4B89-A7D6-24C814708827}">
      <text>
        <t>[Threaded comment]
Your version of Excel allows you to read this threaded comment; however, any edits to it will get removed if the file is opened in a newer version of Excel. Learn more: https://go.microsoft.com/fwlink/?linkid=870924
Comment:
    Volumes calculated from cortical + striatal</t>
      </text>
    </comment>
    <comment ref="AH194" authorId="647" shapeId="0" xr:uid="{B99C8817-9CF9-4117-B646-5D79B91B64A9}">
      <text>
        <t>[Threaded comment]
Your version of Excel allows you to read this threaded comment; however, any edits to it will get removed if the file is opened in a newer version of Excel. Learn more: https://go.microsoft.com/fwlink/?linkid=870924
Comment:
    2uL*2</t>
      </text>
    </comment>
    <comment ref="AJ194" authorId="648" shapeId="0" xr:uid="{545C1AD5-4D3A-4A6E-81C1-11E8B8D837E4}">
      <text>
        <t>[Threaded comment]
Your version of Excel allows you to read this threaded comment; however, any edits to it will get removed if the file is opened in a newer version of Excel. Learn more: https://go.microsoft.com/fwlink/?linkid=870924
Comment:
    0.25uL/min</t>
      </text>
    </comment>
    <comment ref="AL194" authorId="649" shapeId="0" xr:uid="{69CF7FCB-B252-450A-A83A-CED8A4172288}">
      <text>
        <t>[Threaded comment]
Your version of Excel allows you to read this threaded comment; however, any edits to it will get removed if the file is opened in a newer version of Excel. Learn more: https://go.microsoft.com/fwlink/?linkid=870924
Comment:
    topical</t>
      </text>
    </comment>
    <comment ref="L195" authorId="650" shapeId="0" xr:uid="{8F81C1E1-1BBA-4B8E-ABC8-CE377031547A}">
      <text>
        <t>[Threaded comment]
Your version of Excel allows you to read this threaded comment; however, any edits to it will get removed if the file is opened in a newer version of Excel. Learn more: https://go.microsoft.com/fwlink/?linkid=870924
Comment:
    100 days</t>
      </text>
    </comment>
    <comment ref="U195" authorId="651" shapeId="0" xr:uid="{37ECA692-0FFC-48F6-9447-AF52F0C4168A}">
      <text>
        <t>[Threaded comment]
Your version of Excel allows you to read this threaded comment; however, any edits to it will get removed if the file is opened in a newer version of Excel. Learn more: https://go.microsoft.com/fwlink/?linkid=870924
Comment:
    Brand mix Equithesin</t>
      </text>
    </comment>
    <comment ref="V195" authorId="652" shapeId="0" xr:uid="{E48B0BC7-A7A1-4E5E-9DF9-9F09B07A9CAE}">
      <text>
        <t>[Threaded comment]
Your version of Excel allows you to read this threaded comment; however, any edits to it will get removed if the file is opened in a newer version of Excel. Learn more: https://go.microsoft.com/fwlink/?linkid=870924
Comment:
    Brand mix Equithesin</t>
      </text>
    </comment>
    <comment ref="W195" authorId="653" shapeId="0" xr:uid="{C36120DE-AF6B-4987-B6BF-63C5EDD6CFA5}">
      <text>
        <t>[Threaded comment]
Your version of Excel allows you to read this threaded comment; however, any edits to it will get removed if the file is opened in a newer version of Excel. Learn more: https://go.microsoft.com/fwlink/?linkid=870924
Comment:
    To combat respiratory depression from equithesin</t>
      </text>
    </comment>
    <comment ref="X195" authorId="654" shapeId="0" xr:uid="{92F52FA6-0581-403F-93AB-B5330DCE0CC0}">
      <text>
        <t>[Threaded comment]
Your version of Excel allows you to read this threaded comment; however, any edits to it will get removed if the file is opened in a newer version of Excel. Learn more: https://go.microsoft.com/fwlink/?linkid=870924
Comment:
    Brand mix Equithesin</t>
      </text>
    </comment>
    <comment ref="Y195" authorId="655" shapeId="0" xr:uid="{4AB29074-0C1A-469E-8D09-7A355758A4EC}">
      <text>
        <t>[Threaded comment]
Your version of Excel allows you to read this threaded comment; however, any edits to it will get removed if the file is opened in a newer version of Excel. Learn more: https://go.microsoft.com/fwlink/?linkid=870924
Comment:
    Brand mix Equithesin</t>
      </text>
    </comment>
    <comment ref="Z195" authorId="656" shapeId="0" xr:uid="{26A3178E-B870-4A02-A461-C2CA092C719A}">
      <text>
        <t>[Threaded comment]
Your version of Excel allows you to read this threaded comment; however, any edits to it will get removed if the file is opened in a newer version of Excel. Learn more: https://go.microsoft.com/fwlink/?linkid=870924
Comment:
    To combat respiratory depression from equithesin</t>
      </text>
    </comment>
    <comment ref="AB195" authorId="657" shapeId="0" xr:uid="{90A44CA0-F926-4D40-B242-83C43CD1BCC9}">
      <text>
        <t>[Threaded comment]
Your version of Excel allows you to read this threaded comment; however, any edits to it will get removed if the file is opened in a newer version of Excel. Learn more: https://go.microsoft.com/fwlink/?linkid=870924
Comment:
    Sensorimotor cortex</t>
      </text>
    </comment>
    <comment ref="AG195" authorId="658" shapeId="0" xr:uid="{69E48879-FA00-4DFA-834F-C7010C71F156}">
      <text>
        <t>[Threaded comment]
Your version of Excel allows you to read this threaded comment; however, any edits to it will get removed if the file is opened in a newer version of Excel. Learn more: https://go.microsoft.com/fwlink/?linkid=870924
Comment:
    Reported as uM</t>
      </text>
    </comment>
    <comment ref="AH195" authorId="659" shapeId="0" xr:uid="{AE54C166-FA22-4E16-8E51-A6FB6E8FBEB2}">
      <text>
        <t>[Threaded comment]
Your version of Excel allows you to read this threaded comment; however, any edits to it will get removed if the file is opened in a newer version of Excel. Learn more: https://go.microsoft.com/fwlink/?linkid=870924
Comment:
    2uL*2</t>
      </text>
    </comment>
    <comment ref="AJ195" authorId="660" shapeId="0" xr:uid="{715C8751-EE1F-4ECC-9DDF-03DE8B1D5248}">
      <text>
        <t>[Threaded comment]
Your version of Excel allows you to read this threaded comment; however, any edits to it will get removed if the file is opened in a newer version of Excel. Learn more: https://go.microsoft.com/fwlink/?linkid=870924
Comment:
    "two 2.0 μl applications separated
by 2 min"</t>
      </text>
    </comment>
    <comment ref="AK195" authorId="661" shapeId="0" xr:uid="{5F082279-EB3C-4623-A20C-4DD308B822B7}">
      <text>
        <t>[Threaded comment]
Your version of Excel allows you to read this threaded comment; however, any edits to it will get removed if the file is opened in a newer version of Excel. Learn more: https://go.microsoft.com/fwlink/?linkid=870924
Comment:
    2 doses, one location</t>
      </text>
    </comment>
    <comment ref="AS195" authorId="662" shapeId="0" xr:uid="{B5DD1AF4-E315-4579-AE37-6DA5E29BCE73}">
      <text>
        <t>[Threaded comment]
Your version of Excel allows you to read this threaded comment; however, any edits to it will get removed if the file is opened in a newer version of Excel. Learn more: https://go.microsoft.com/fwlink/?linkid=870924
Comment:
    Days 46-51, averaged this to 48.5</t>
      </text>
    </comment>
    <comment ref="R196" authorId="663" shapeId="0" xr:uid="{21CA7E20-7535-4ED8-B94A-83E58DF043FD}">
      <text>
        <t>[Threaded comment]
Your version of Excel allows you to read this threaded comment; however, any edits to it will get removed if the file is opened in a newer version of Excel. Learn more: https://go.microsoft.com/fwlink/?linkid=870924
Comment:
    10-15</t>
      </text>
    </comment>
    <comment ref="T196" authorId="664" shapeId="0" xr:uid="{7DAB3A6F-4424-4DC5-8E5A-BA6E7C579FD5}">
      <text>
        <t>[Threaded comment]
Your version of Excel allows you to read this threaded comment; however, any edits to it will get removed if the file is opened in a newer version of Excel. Learn more: https://go.microsoft.com/fwlink/?linkid=870924
Comment:
    10-15</t>
      </text>
    </comment>
    <comment ref="U196" authorId="665" shapeId="0" xr:uid="{8BBA8700-C550-493C-8DBE-F1CA6B52C827}">
      <text>
        <t>[Threaded comment]
Your version of Excel allows you to read this threaded comment; however, any edits to it will get removed if the file is opened in a newer version of Excel. Learn more: https://go.microsoft.com/fwlink/?linkid=870924
Comment:
    "inhalation anaesthetic"</t>
      </text>
    </comment>
    <comment ref="X196" authorId="666" shapeId="0" xr:uid="{9E5465D0-E8A4-4AC1-AEF4-00325F767FFA}">
      <text>
        <t>[Threaded comment]
Your version of Excel allows you to read this threaded comment; however, any edits to it will get removed if the file is opened in a newer version of Excel. Learn more: https://go.microsoft.com/fwlink/?linkid=870924
Comment:
    "inhalation anaesthetic"</t>
      </text>
    </comment>
    <comment ref="K199" authorId="667" shapeId="0" xr:uid="{BA115022-D2E5-4350-A4C1-774126C91917}">
      <text>
        <t>[Threaded comment]
Your version of Excel allows you to read this threaded comment; however, any edits to it will get removed if the file is opened in a newer version of Excel. Learn more: https://go.microsoft.com/fwlink/?linkid=870924
Comment:
    2 months</t>
      </text>
    </comment>
    <comment ref="M199" authorId="668" shapeId="0" xr:uid="{F26D5E12-C3FC-423E-BA20-37CD80D12277}">
      <text>
        <t>[Threaded comment]
Your version of Excel allows you to read this threaded comment; however, any edits to it will get removed if the file is opened in a newer version of Excel. Learn more: https://go.microsoft.com/fwlink/?linkid=870924
Comment:
    4 months</t>
      </text>
    </comment>
    <comment ref="AB199" authorId="669" shapeId="0" xr:uid="{3DB4F163-2C3D-4CC3-A7FF-4E6D37AF1A1D}">
      <text>
        <t xml:space="preserve">[Threaded comment]
Your version of Excel allows you to read this threaded comment; however, any edits to it will get removed if the file is opened in a newer version of Excel. Learn more: https://go.microsoft.com/fwlink/?linkid=870924
Comment:
    Motor cortex, (i) 0.0 anterior–posterior (AP), +1.50 medial–lateral (ML),−1.2 dorsal–ventral (DV) and (ii) 0.0 AP, +1.75 ML, −1.2 DV. </t>
      </text>
    </comment>
    <comment ref="AH199" authorId="670" shapeId="0" xr:uid="{6894E9D9-02BC-4F41-95B4-4489BD9F30CF}">
      <text>
        <t>[Threaded comment]
Your version of Excel allows you to read this threaded comment; however, any edits to it will get removed if the file is opened in a newer version of Excel. Learn more: https://go.microsoft.com/fwlink/?linkid=870924
Comment:
    2*1uL</t>
      </text>
    </comment>
    <comment ref="AJ199" authorId="671" shapeId="0" xr:uid="{0D519C72-62EA-403E-917D-D9D5B711C9A0}">
      <text>
        <t>[Threaded comment]
Your version of Excel allows you to read this threaded comment; however, any edits to it will get removed if the file is opened in a newer version of Excel. Learn more: https://go.microsoft.com/fwlink/?linkid=870924
Comment:
    0.1uL/min</t>
      </text>
    </comment>
    <comment ref="AV199" authorId="672" shapeId="0" xr:uid="{C1BB90B4-A60D-41DD-9F23-42C453A3FAFB}">
      <text>
        <t>[Threaded comment]
Your version of Excel allows you to read this threaded comment; however, any edits to it will get removed if the file is opened in a newer version of Excel. Learn more: https://go.microsoft.com/fwlink/?linkid=870924
Comment:
    2 and 3 ET1 injections compared</t>
      </text>
    </comment>
    <comment ref="K200" authorId="673" shapeId="0" xr:uid="{9DEBEC4A-3868-4F01-8255-F73CAE1384AC}">
      <text>
        <t>[Threaded comment]
Your version of Excel allows you to read this threaded comment; however, any edits to it will get removed if the file is opened in a newer version of Excel. Learn more: https://go.microsoft.com/fwlink/?linkid=870924
Comment:
    2 months</t>
      </text>
    </comment>
    <comment ref="M200" authorId="674" shapeId="0" xr:uid="{31846135-71C6-4314-9DD3-01F9213D334A}">
      <text>
        <t>[Threaded comment]
Your version of Excel allows you to read this threaded comment; however, any edits to it will get removed if the file is opened in a newer version of Excel. Learn more: https://go.microsoft.com/fwlink/?linkid=870924
Comment:
    4 months</t>
      </text>
    </comment>
    <comment ref="AB200" authorId="675" shapeId="0" xr:uid="{E2C07E86-7F19-4022-83EF-7DC1E0F8CEE7}">
      <text>
        <t xml:space="preserve">[Threaded comment]
Your version of Excel allows you to read this threaded comment; however, any edits to it will get removed if the file is opened in a newer version of Excel. Learn more: https://go.microsoft.com/fwlink/?linkid=870924
Comment:
    Motor cortex, (i) +0.4 AP, +1.6 ML,−1.2 DV, (ii) +0.2 AP, +1.35 ML, −1.2 DV, and (iii) 0.0 AP, +1.75 ML,−1.2 DV </t>
      </text>
    </comment>
    <comment ref="AH200" authorId="676" shapeId="0" xr:uid="{6D93D4B5-3FBE-4E6B-A303-EFC0D6AA0A97}">
      <text>
        <t>[Threaded comment]
Your version of Excel allows you to read this threaded comment; however, any edits to it will get removed if the file is opened in a newer version of Excel. Learn more: https://go.microsoft.com/fwlink/?linkid=870924
Comment:
    3*1uL</t>
      </text>
    </comment>
    <comment ref="AV200" authorId="677" shapeId="0" xr:uid="{754BB590-A6D4-4098-A9C3-918E21276B68}">
      <text>
        <t>[Threaded comment]
Your version of Excel allows you to read this threaded comment; however, any edits to it will get removed if the file is opened in a newer version of Excel. Learn more: https://go.microsoft.com/fwlink/?linkid=870924
Comment:
    2 and 3 ET1 injections compared</t>
      </text>
    </comment>
    <comment ref="L201" authorId="678" shapeId="0" xr:uid="{CB1E4409-9D0B-4020-8314-8E3271DC6080}">
      <text>
        <t>[Threaded comment]
Your version of Excel allows you to read this threaded comment; however, any edits to it will get removed if the file is opened in a newer version of Excel. Learn more: https://go.microsoft.com/fwlink/?linkid=870924
Comment:
    3 months</t>
      </text>
    </comment>
    <comment ref="K202" authorId="679" shapeId="0" xr:uid="{4FBDDEF9-E406-4373-A2AC-758EBFE3CC2D}">
      <text>
        <t>[Threaded comment]
Your version of Excel allows you to read this threaded comment; however, any edits to it will get removed if the file is opened in a newer version of Excel. Learn more: https://go.microsoft.com/fwlink/?linkid=870924
Comment:
    20 months</t>
      </text>
    </comment>
    <comment ref="M202" authorId="680" shapeId="0" xr:uid="{D0EF97F9-4233-4E04-B971-FBDC2DD3086E}">
      <text>
        <t>[Threaded comment]
Your version of Excel allows you to read this threaded comment; however, any edits to it will get removed if the file is opened in a newer version of Excel. Learn more: https://go.microsoft.com/fwlink/?linkid=870924
Comment:
    23 months</t>
      </text>
    </comment>
    <comment ref="AB202" authorId="681" shapeId="0" xr:uid="{ACFD2FC8-D08E-4209-B91B-33EF2A3D0B54}">
      <text>
        <t>[Threaded comment]
Your version of Excel allows you to read this threaded comment; however, any edits to it will get removed if the file is opened in a newer version of Excel. Learn more: https://go.microsoft.com/fwlink/?linkid=870924
Comment:
    Sensorimotor cortex</t>
      </text>
    </comment>
    <comment ref="AF202" authorId="682" shapeId="0" xr:uid="{20A47CE7-ABB2-4F5B-B5CD-466A677B29D1}">
      <text>
        <t>[Threaded comment]
Your version of Excel allows you to read this threaded comment; however, any edits to it will get removed if the file is opened in a newer version of Excel. Learn more: https://go.microsoft.com/fwlink/?linkid=870924
Comment:
    0.5 μg/uL</t>
      </text>
    </comment>
    <comment ref="AH202" authorId="683" shapeId="0" xr:uid="{41989220-A4EA-448E-A67F-8D502242EBFD}">
      <text>
        <t>[Threaded comment]
Your version of Excel allows you to read this threaded comment; however, any edits to it will get removed if the file is opened in a newer version of Excel. Learn more: https://go.microsoft.com/fwlink/?linkid=870924
Comment:
    4*2uL</t>
      </text>
    </comment>
    <comment ref="AJ202" authorId="684" shapeId="0" xr:uid="{4C62B003-6F6F-4026-80BA-1ADCAF1C5434}">
      <text>
        <t>[Threaded comment]
Your version of Excel allows you to read this threaded comment; however, any edits to it will get removed if the file is opened in a newer version of Excel. Learn more: https://go.microsoft.com/fwlink/?linkid=870924
Comment:
    0.5uL/min</t>
      </text>
    </comment>
    <comment ref="AU202" authorId="685" shapeId="0" xr:uid="{E4A1F8D2-BF6F-4BEA-BB6F-4ABE92D05CEA}">
      <text>
        <t>[Threaded comment]
Your version of Excel allows you to read this threaded comment; however, any edits to it will get removed if the file is opened in a newer version of Excel. Learn more: https://go.microsoft.com/fwlink/?linkid=870924
Comment:
    Neurotrace Nissl</t>
      </text>
    </comment>
    <comment ref="K203" authorId="686" shapeId="0" xr:uid="{67FF1B49-9698-4FC4-AEBC-5D3B8EDA5F62}">
      <text>
        <t>[Threaded comment]
Your version of Excel allows you to read this threaded comment; however, any edits to it will get removed if the file is opened in a newer version of Excel. Learn more: https://go.microsoft.com/fwlink/?linkid=870924
Comment:
    85 days</t>
      </text>
    </comment>
    <comment ref="M203" authorId="687" shapeId="0" xr:uid="{2ED7AE6F-CD49-4EEB-938A-FEB1CC9E2114}">
      <text>
        <t>[Threaded comment]
Your version of Excel allows you to read this threaded comment; however, any edits to it will get removed if the file is opened in a newer version of Excel. Learn more: https://go.microsoft.com/fwlink/?linkid=870924
Comment:
    95 days</t>
      </text>
    </comment>
    <comment ref="U203" authorId="688" shapeId="0" xr:uid="{732FF771-284D-4FEF-AD2C-65B1F004382B}">
      <text>
        <t>[Threaded comment]
Your version of Excel allows you to read this threaded comment; however, any edits to it will get removed if the file is opened in a newer version of Excel. Learn more: https://go.microsoft.com/fwlink/?linkid=870924
Comment:
    Avertin brand</t>
      </text>
    </comment>
    <comment ref="X203" authorId="689" shapeId="0" xr:uid="{B77CF858-D482-44AF-B0D1-2EA1E0A165E8}">
      <text>
        <t>[Threaded comment]
Your version of Excel allows you to read this threaded comment; however, any edits to it will get removed if the file is opened in a newer version of Excel. Learn more: https://go.microsoft.com/fwlink/?linkid=870924
Comment:
    Avertin brand</t>
      </text>
    </comment>
    <comment ref="AB203" authorId="690" shapeId="0" xr:uid="{684A0389-DC45-4D01-9C54-F84D83881F18}">
      <text>
        <t>[Threaded comment]
Your version of Excel allows you to read this threaded comment; however, any edits to it will get removed if the file is opened in a newer version of Excel. Learn more: https://go.microsoft.com/fwlink/?linkid=870924
Comment:
    Caudal forelimb area</t>
      </text>
    </comment>
    <comment ref="AH203" authorId="691" shapeId="0" xr:uid="{0F8E543F-D2F8-4072-8400-33B662B74E85}">
      <text>
        <t>[Threaded comment]
Your version of Excel allows you to read this threaded comment; however, any edits to it will get removed if the file is opened in a newer version of Excel. Learn more: https://go.microsoft.com/fwlink/?linkid=870924
Comment:
    200nL*3</t>
      </text>
    </comment>
    <comment ref="K204" authorId="692" shapeId="0" xr:uid="{5B59976E-697D-4120-BBF0-E83B2F0CF3EA}">
      <text>
        <t>[Threaded comment]
Your version of Excel allows you to read this threaded comment; however, any edits to it will get removed if the file is opened in a newer version of Excel. Learn more: https://go.microsoft.com/fwlink/?linkid=870924
Comment:
    3 months</t>
      </text>
    </comment>
    <comment ref="M204" authorId="693" shapeId="0" xr:uid="{F79B0B69-D516-4011-88B0-C5FE61363F1B}">
      <text>
        <t>[Threaded comment]
Your version of Excel allows you to read this threaded comment; however, any edits to it will get removed if the file is opened in a newer version of Excel. Learn more: https://go.microsoft.com/fwlink/?linkid=870924
Comment:
    5 months</t>
      </text>
    </comment>
    <comment ref="AB204" authorId="694" shapeId="0" xr:uid="{C845DFC1-F4B8-4D8B-9712-91F18E5474C2}">
      <text>
        <t>[Threaded comment]
Your version of Excel allows you to read this threaded comment; however, any edits to it will get removed if the file is opened in a newer version of Excel. Learn more: https://go.microsoft.com/fwlink/?linkid=870924
Comment:
    Sensorimotor cortex</t>
      </text>
    </comment>
    <comment ref="AF204" authorId="695" shapeId="0" xr:uid="{863C979C-1A78-4AC7-B262-34C261E90B6E}">
      <text>
        <t>[Threaded comment]
Your version of Excel allows you to read this threaded comment; however, any edits to it will get removed if the file is opened in a newer version of Excel. Learn more: https://go.microsoft.com/fwlink/?linkid=870924
Comment:
    0.2ug/uL</t>
      </text>
    </comment>
    <comment ref="AN204" authorId="696" shapeId="0" xr:uid="{1B441377-7F9D-42D4-A0B1-8B52E9B93601}">
      <text>
        <t>[Threaded comment]
Your version of Excel allows you to read this threaded comment; however, any edits to it will get removed if the file is opened in a newer version of Excel. Learn more: https://go.microsoft.com/fwlink/?linkid=870924
Comment:
    "antibiotic ointment"</t>
      </text>
    </comment>
    <comment ref="L205" authorId="697" shapeId="0" xr:uid="{19F51D57-C0C9-4DC6-A00A-AF0B041FE628}">
      <text>
        <t>[Threaded comment]
Your version of Excel allows you to read this threaded comment; however, any edits to it will get removed if the file is opened in a newer version of Excel. Learn more: https://go.microsoft.com/fwlink/?linkid=870924
Comment:
    3 months</t>
      </text>
    </comment>
    <comment ref="AB205" authorId="698" shapeId="0" xr:uid="{EEE7C83E-AA5F-4A56-B39C-81938B44CF4F}">
      <text>
        <t>[Threaded comment]
Your version of Excel allows you to read this threaded comment; however, any edits to it will get removed if the file is opened in a newer version of Excel. Learn more: https://go.microsoft.com/fwlink/?linkid=870924
Comment:
    caudal forelimb area</t>
      </text>
    </comment>
    <comment ref="AH205" authorId="699" shapeId="0" xr:uid="{A8133FDF-34C0-4586-A565-3CEF37ED0924}">
      <text>
        <t>[Threaded comment]
Your version of Excel allows you to read this threaded comment; however, any edits to it will get removed if the file is opened in a newer version of Excel. Learn more: https://go.microsoft.com/fwlink/?linkid=870924
Comment:
    330nL*6</t>
      </text>
    </comment>
    <comment ref="AJ205" authorId="700" shapeId="0" xr:uid="{F55621F8-3817-4C93-9EF6-1BED674BACC5}">
      <text>
        <t>[Threaded comment]
Your version of Excel allows you to read this threaded comment; however, any edits to it will get removed if the file is opened in a newer version of Excel. Learn more: https://go.microsoft.com/fwlink/?linkid=870924
Comment:
    3nL/sec = 180nL/min = 0.18uL/min</t>
      </text>
    </comment>
    <comment ref="AL205" authorId="701" shapeId="0" xr:uid="{92922672-C8B2-4EAA-9AE9-C22A635CE630}">
      <text>
        <t>[Threaded comment]
Your version of Excel allows you to read this threaded comment; however, any edits to it will get removed if the file is opened in a newer version of Excel. Learn more: https://go.microsoft.com/fwlink/?linkid=870924
Comment:
    Gave 4 analgesics/antibiotics, have listed top concentrations here. Full list: "At the end of the procedure all
animals received dexamethasone (Vetoquinol; 1 mg/kg),
enrofloxacin (Baytril; 10 mg/kg), carprofen (Rimadyl; 10
mg/kg), and buprenorphine (Temgesic; 0.005 mg/kg)."</t>
      </text>
    </comment>
    <comment ref="AM205" authorId="702" shapeId="0" xr:uid="{481673E9-8440-456E-BFBB-0A0CF2703E5A}">
      <text>
        <t>[Threaded comment]
Your version of Excel allows you to read this threaded comment; however, any edits to it will get removed if the file is opened in a newer version of Excel. Learn more: https://go.microsoft.com/fwlink/?linkid=870924
Comment:
    Gave 4 analgesics/antibiotics, have listed top concentrations here. Full list: "At the end of the procedure all
animals received dexamethasone (Vetoquinol; 1 mg/kg),
enrofloxacin (Baytril; 10 mg/kg), carprofen (Rimadyl; 10
mg/kg), and buprenorphine (Temgesic; 0.005 mg/kg)."</t>
      </text>
    </comment>
    <comment ref="AN205" authorId="703" shapeId="0" xr:uid="{2D6D6A14-EB8F-4150-B187-216CBE15BC1F}">
      <text>
        <t>[Threaded comment]
Your version of Excel allows you to read this threaded comment; however, any edits to it will get removed if the file is opened in a newer version of Excel. Learn more: https://go.microsoft.com/fwlink/?linkid=870924
Comment:
    Gave 4 analgesics/antibiotics, have listed top concentrations here. Full list: "At the end of the procedure all
animals received dexamethasone (Vetoquinol; 1 mg/kg),
enrofloxacin (Baytril; 10 mg/kg), carprofen (Rimadyl; 10
mg/kg), and buprenorphine (Temgesic; 0.005 mg/kg)."</t>
      </text>
    </comment>
    <comment ref="L206" authorId="704" shapeId="0" xr:uid="{E4B1D749-496D-47A7-8CA7-2E4E45B2A9C5}">
      <text>
        <t>[Threaded comment]
Your version of Excel allows you to read this threaded comment; however, any edits to it will get removed if the file is opened in a newer version of Excel. Learn more: https://go.microsoft.com/fwlink/?linkid=870924
Comment:
    3 months</t>
      </text>
    </comment>
    <comment ref="AB206" authorId="705" shapeId="0" xr:uid="{EEAE7ACA-EF34-479B-A6FB-CB9BA1BF8C2B}">
      <text>
        <t>[Threaded comment]
Your version of Excel allows you to read this threaded comment; however, any edits to it will get removed if the file is opened in a newer version of Excel. Learn more: https://go.microsoft.com/fwlink/?linkid=870924
Comment:
    caudal forelimb area</t>
      </text>
    </comment>
    <comment ref="AH206" authorId="706" shapeId="0" xr:uid="{0F096E66-85CA-4A6C-AB2D-840EB15207AD}">
      <text>
        <t>[Threaded comment]
Your version of Excel allows you to read this threaded comment; however, any edits to it will get removed if the file is opened in a newer version of Excel. Learn more: https://go.microsoft.com/fwlink/?linkid=870924
Comment:
    330nL*12</t>
      </text>
    </comment>
    <comment ref="AJ206" authorId="707" shapeId="0" xr:uid="{99B3FE00-4995-4FE7-A1EB-9D3CC13FA49B}">
      <text>
        <t>[Threaded comment]
Your version of Excel allows you to read this threaded comment; however, any edits to it will get removed if the file is opened in a newer version of Excel. Learn more: https://go.microsoft.com/fwlink/?linkid=870924
Comment:
    3nL/sec = 180nL/min = 0.18uL/min</t>
      </text>
    </comment>
    <comment ref="AL206" authorId="708" shapeId="0" xr:uid="{B78C405C-6CE3-4658-8DD8-7C175B88E046}">
      <text>
        <t>[Threaded comment]
Your version of Excel allows you to read this threaded comment; however, any edits to it will get removed if the file is opened in a newer version of Excel. Learn more: https://go.microsoft.com/fwlink/?linkid=870924
Comment:
    Gave 4 analgesics/antibiotics, have listed top concentrations here. Full list: "At the end of the procedure all
animals received dexamethasone (Vetoquinol; 1 mg/kg),
enrofloxacin (Baytril; 10 mg/kg), carprofen (Rimadyl; 10
mg/kg), and buprenorphine (Temgesic; 0.005 mg/kg)."</t>
      </text>
    </comment>
    <comment ref="AM206" authorId="709" shapeId="0" xr:uid="{E7787289-DD6C-46E3-87B2-5ADAE05F058A}">
      <text>
        <t>[Threaded comment]
Your version of Excel allows you to read this threaded comment; however, any edits to it will get removed if the file is opened in a newer version of Excel. Learn more: https://go.microsoft.com/fwlink/?linkid=870924
Comment:
    Gave 4 analgesics/antibiotics, have listed top concentrations here. Full list: "At the end of the procedure all
animals received dexamethasone (Vetoquinol; 1 mg/kg),
enrofloxacin (Baytril; 10 mg/kg), carprofen (Rimadyl; 10
mg/kg), and buprenorphine (Temgesic; 0.005 mg/kg)."</t>
      </text>
    </comment>
    <comment ref="AN206" authorId="710" shapeId="0" xr:uid="{F1299A5F-53ED-4DF8-813A-F8B6E19752D2}">
      <text>
        <t>[Threaded comment]
Your version of Excel allows you to read this threaded comment; however, any edits to it will get removed if the file is opened in a newer version of Excel. Learn more: https://go.microsoft.com/fwlink/?linkid=870924
Comment:
    Gave 4 analgesics/antibiotics, have listed top concentrations here. Full list: "At the end of the procedure all
animals received dexamethasone (Vetoquinol; 1 mg/kg),
enrofloxacin (Baytril; 10 mg/kg), carprofen (Rimadyl; 10
mg/kg), and buprenorphine (Temgesic; 0.005 mg/kg)."</t>
      </text>
    </comment>
    <comment ref="U207" authorId="711" shapeId="0" xr:uid="{17E03BCA-A597-4512-916B-488C50278EFF}">
      <text>
        <t>[Threaded comment]
Your version of Excel allows you to read this threaded comment; however, any edits to it will get removed if the file is opened in a newer version of Excel. Learn more: https://go.microsoft.com/fwlink/?linkid=870924
Comment:
    For implantation</t>
      </text>
    </comment>
    <comment ref="V207" authorId="712" shapeId="0" xr:uid="{A6D11B15-5F14-4321-BB88-47ED94463544}">
      <text>
        <t>[Threaded comment]
Your version of Excel allows you to read this threaded comment; however, any edits to it will get removed if the file is opened in a newer version of Excel. Learn more: https://go.microsoft.com/fwlink/?linkid=870924
Comment:
    For implantation</t>
      </text>
    </comment>
    <comment ref="X207" authorId="713" shapeId="0" xr:uid="{340BF9A8-CBA7-4608-8D07-6559161B9288}">
      <text>
        <t>[Threaded comment]
Your version of Excel allows you to read this threaded comment; however, any edits to it will get removed if the file is opened in a newer version of Excel. Learn more: https://go.microsoft.com/fwlink/?linkid=870924
Comment:
    For stroke induction</t>
      </text>
    </comment>
    <comment ref="AJ207" authorId="714" shapeId="0" xr:uid="{9C0E5A4C-340F-48A8-A34F-7778133F9625}">
      <text>
        <t>[Threaded comment]
Your version of Excel allows you to read this threaded comment; however, any edits to it will get removed if the file is opened in a newer version of Excel. Learn more: https://go.microsoft.com/fwlink/?linkid=870924
Comment:
    1uL/min</t>
      </text>
    </comment>
    <comment ref="U208" authorId="715" shapeId="0" xr:uid="{24E1467F-D794-4B4E-85A3-A0DC551BF7D2}">
      <text>
        <t>[Threaded comment]
Your version of Excel allows you to read this threaded comment; however, any edits to it will get removed if the file is opened in a newer version of Excel. Learn more: https://go.microsoft.com/fwlink/?linkid=870924
Comment:
    Saffan brand</t>
      </text>
    </comment>
    <comment ref="X208" authorId="716" shapeId="0" xr:uid="{A736B577-E263-45E9-9765-6A94E029E6C7}">
      <text>
        <t>[Threaded comment]
Your version of Excel allows you to read this threaded comment; however, any edits to it will get removed if the file is opened in a newer version of Excel. Learn more: https://go.microsoft.com/fwlink/?linkid=870924
Comment:
    Saffan brand</t>
      </text>
    </comment>
    <comment ref="AH208" authorId="717" shapeId="0" xr:uid="{6EE5535E-DAD7-4D4C-A62A-8AF1BA816A9D}">
      <text>
        <t>[Threaded comment]
Your version of Excel allows you to read this threaded comment; however, any edits to it will get removed if the file is opened in a newer version of Excel. Learn more: https://go.microsoft.com/fwlink/?linkid=870924
Comment:
    5uL/min for 5 mins</t>
      </text>
    </comment>
    <comment ref="AJ208" authorId="718" shapeId="0" xr:uid="{B2D600D8-4421-498D-82AA-651457344C95}">
      <text>
        <t>[Threaded comment]
Your version of Excel allows you to read this threaded comment; however, any edits to it will get removed if the file is opened in a newer version of Excel. Learn more: https://go.microsoft.com/fwlink/?linkid=870924
Comment:
    5uL/min for 5 mins</t>
      </text>
    </comment>
    <comment ref="AU208" authorId="719" shapeId="0" xr:uid="{1D12CA4E-E46D-40C0-B086-073AFC234FBA}">
      <text>
        <t>[Threaded comment]
Your version of Excel allows you to read this threaded comment; however, any edits to it will get removed if the file is opened in a newer version of Excel. Learn more: https://go.microsoft.com/fwlink/?linkid=870924
Comment:
    + Luxol fast blue</t>
      </text>
    </comment>
    <comment ref="U209" authorId="720" shapeId="0" xr:uid="{87B6FC0F-D78C-46B4-A0BF-2A259260869F}">
      <text>
        <t>[Threaded comment]
Your version of Excel allows you to read this threaded comment; however, any edits to it will get removed if the file is opened in a newer version of Excel. Learn more: https://go.microsoft.com/fwlink/?linkid=870924
Comment:
    Saffan brand</t>
      </text>
    </comment>
    <comment ref="X209" authorId="721" shapeId="0" xr:uid="{47839D50-3997-47E1-BA53-C708CE7DBC8D}">
      <text>
        <t>[Threaded comment]
Your version of Excel allows you to read this threaded comment; however, any edits to it will get removed if the file is opened in a newer version of Excel. Learn more: https://go.microsoft.com/fwlink/?linkid=870924
Comment:
    Saffan brand</t>
      </text>
    </comment>
    <comment ref="AH209" authorId="722" shapeId="0" xr:uid="{E7A5D328-330B-4D38-8515-69578DEBABA2}">
      <text>
        <t>[Threaded comment]
Your version of Excel allows you to read this threaded comment; however, any edits to it will get removed if the file is opened in a newer version of Excel. Learn more: https://go.microsoft.com/fwlink/?linkid=870924
Comment:
    5uL/min for 5 mins</t>
      </text>
    </comment>
    <comment ref="AJ209" authorId="723" shapeId="0" xr:uid="{01EFA46E-9C61-43C4-83CF-93D27DFBC2FB}">
      <text>
        <t>[Threaded comment]
Your version of Excel allows you to read this threaded comment; however, any edits to it will get removed if the file is opened in a newer version of Excel. Learn more: https://go.microsoft.com/fwlink/?linkid=870924
Comment:
    5uL/min for 5 mins</t>
      </text>
    </comment>
    <comment ref="AU209" authorId="724" shapeId="0" xr:uid="{88EEACA0-3BA8-451F-8E97-08739527697C}">
      <text>
        <t>[Threaded comment]
Your version of Excel allows you to read this threaded comment; however, any edits to it will get removed if the file is opened in a newer version of Excel. Learn more: https://go.microsoft.com/fwlink/?linkid=870924
Comment:
    + Luxol fast blue</t>
      </text>
    </comment>
    <comment ref="U210" authorId="725" shapeId="0" xr:uid="{E4829CFC-CB27-4E0C-A69A-C3B7E8659385}">
      <text>
        <t>[Threaded comment]
Your version of Excel allows you to read this threaded comment; however, any edits to it will get removed if the file is opened in a newer version of Excel. Learn more: https://go.microsoft.com/fwlink/?linkid=870924
Comment:
    Saffan brand</t>
      </text>
    </comment>
    <comment ref="X210" authorId="726" shapeId="0" xr:uid="{DC0A300F-1727-41FE-9CD9-242438FAF76B}">
      <text>
        <t>[Threaded comment]
Your version of Excel allows you to read this threaded comment; however, any edits to it will get removed if the file is opened in a newer version of Excel. Learn more: https://go.microsoft.com/fwlink/?linkid=870924
Comment:
    Saffan brand</t>
      </text>
    </comment>
    <comment ref="AH210" authorId="727" shapeId="0" xr:uid="{07AE4379-DE32-4356-B6DA-28DC7A03D3B5}">
      <text>
        <t>[Threaded comment]
Your version of Excel allows you to read this threaded comment; however, any edits to it will get removed if the file is opened in a newer version of Excel. Learn more: https://go.microsoft.com/fwlink/?linkid=870924
Comment:
    5uL/min for 5 mins</t>
      </text>
    </comment>
    <comment ref="AJ210" authorId="728" shapeId="0" xr:uid="{3F693959-7382-448B-821B-546BC799FAE5}">
      <text>
        <t>[Threaded comment]
Your version of Excel allows you to read this threaded comment; however, any edits to it will get removed if the file is opened in a newer version of Excel. Learn more: https://go.microsoft.com/fwlink/?linkid=870924
Comment:
    5uL/min for 5 mins</t>
      </text>
    </comment>
    <comment ref="AU210" authorId="729" shapeId="0" xr:uid="{3B949BD0-F790-4681-9B6D-88214D92F0BC}">
      <text>
        <t>[Threaded comment]
Your version of Excel allows you to read this threaded comment; however, any edits to it will get removed if the file is opened in a newer version of Excel. Learn more: https://go.microsoft.com/fwlink/?linkid=870924
Comment:
    + Luxol fast blue</t>
      </text>
    </comment>
    <comment ref="AJ211" authorId="730" shapeId="0" xr:uid="{9AC57EE9-AF2F-4570-AD49-34C923EB74B6}">
      <text>
        <t>[Threaded comment]
Your version of Excel allows you to read this threaded comment; however, any edits to it will get removed if the file is opened in a newer version of Excel. Learn more: https://go.microsoft.com/fwlink/?linkid=870924
Comment:
    0.6uL/min</t>
      </text>
    </comment>
    <comment ref="AB212" authorId="731" shapeId="0" xr:uid="{71D42EA3-12C0-431D-95B7-50F0A521957E}">
      <text>
        <t>[Threaded comment]
Your version of Excel allows you to read this threaded comment; however, any edits to it will get removed if the file is opened in a newer version of Excel. Learn more: https://go.microsoft.com/fwlink/?linkid=870924
Comment:
    Anterior cerebral arteries bilateral occlusion</t>
      </text>
    </comment>
    <comment ref="AC212" authorId="732" shapeId="0" xr:uid="{1A236EF3-BC70-42C7-89B1-E023E6AED8A5}">
      <text>
        <t>[Threaded comment]
Your version of Excel allows you to read this threaded comment; however, any edits to it will get removed if the file is opened in a newer version of Excel. Learn more: https://go.microsoft.com/fwlink/?linkid=870924
Comment:
    Anterior cerebral arteries bilateral occlusion</t>
      </text>
    </comment>
    <comment ref="AH212" authorId="733" shapeId="0" xr:uid="{F4A6EF50-4BDE-425D-A41C-F0309DE05CF8}">
      <text>
        <t>[Threaded comment]
Your version of Excel allows you to read this threaded comment; however, any edits to it will get removed if the file is opened in a newer version of Excel. Learn more: https://go.microsoft.com/fwlink/?linkid=870924
Comment:
    1uL*3</t>
      </text>
    </comment>
    <comment ref="AJ212" authorId="734" shapeId="0" xr:uid="{BF755B07-4D67-4DFC-AB04-8F3BBB1DBA5B}">
      <text>
        <t>[Threaded comment]
Your version of Excel allows you to read this threaded comment; however, any edits to it will get removed if the file is opened in a newer version of Excel. Learn more: https://go.microsoft.com/fwlink/?linkid=870924
Comment:
    1uL/10sec = 6uL/min
injected as 3 *1uL injections at same site</t>
      </text>
    </comment>
    <comment ref="K213" authorId="735" shapeId="0" xr:uid="{2A73160E-6944-4ABB-9DC2-18EDF73BA0C5}">
      <text>
        <t>[Threaded comment]
Your version of Excel allows you to read this threaded comment; however, any edits to it will get removed if the file is opened in a newer version of Excel. Learn more: https://go.microsoft.com/fwlink/?linkid=870924
Comment:
    3.5 months</t>
      </text>
    </comment>
    <comment ref="M213" authorId="736" shapeId="0" xr:uid="{9D4C2D78-E20E-456E-8764-E724E8CDD6DE}">
      <text>
        <t>[Threaded comment]
Your version of Excel allows you to read this threaded comment; however, any edits to it will get removed if the file is opened in a newer version of Excel. Learn more: https://go.microsoft.com/fwlink/?linkid=870924
Comment:
    4 months</t>
      </text>
    </comment>
    <comment ref="AB213" authorId="737" shapeId="0" xr:uid="{9DC4C15D-FDA1-44F6-9EE1-4AA5D38F9408}">
      <text>
        <t>[Threaded comment]
Your version of Excel allows you to read this threaded comment; however, any edits to it will get removed if the file is opened in a newer version of Excel. Learn more: https://go.microsoft.com/fwlink/?linkid=870924
Comment:
    Targeted at specific coordinates relative to bregma as follows: anterior/posterior +3.0,medial/lateral ±0.7, dorsal/ventral −4.5,</t>
      </text>
    </comment>
    <comment ref="AH213" authorId="738" shapeId="0" xr:uid="{B5B32B39-696B-4DC4-B42C-978A03D0878D}">
      <text>
        <t>[Threaded comment]
Your version of Excel allows you to read this threaded comment; however, any edits to it will get removed if the file is opened in a newer version of Excel. Learn more: https://go.microsoft.com/fwlink/?linkid=870924
Comment:
    1uL each side</t>
      </text>
    </comment>
    <comment ref="AL213" authorId="739" shapeId="0" xr:uid="{E0237449-521F-48D4-96B1-BA4792B23CA8}">
      <text>
        <t>[Threaded comment]
Your version of Excel allows you to read this threaded comment; however, any edits to it will get removed if the file is opened in a newer version of Excel. Learn more: https://go.microsoft.com/fwlink/?linkid=870924
Comment:
    Xylocaine topical</t>
      </text>
    </comment>
    <comment ref="AB214" authorId="740" shapeId="0" xr:uid="{70F8F752-7D4C-463F-B782-68891803F768}">
      <text>
        <t>[Threaded comment]
Your version of Excel allows you to read this threaded comment; however, any edits to it will get removed if the file is opened in a newer version of Excel. Learn more: https://go.microsoft.com/fwlink/?linkid=870924
Comment:
    Motor cortex</t>
      </text>
    </comment>
    <comment ref="AS214" authorId="741" shapeId="0" xr:uid="{0B402834-9529-43D1-ADD5-4B8A718408FD}">
      <text>
        <t>[Threaded comment]
Your version of Excel allows you to read this threaded comment; however, any edits to it will get removed if the file is opened in a newer version of Excel. Learn more: https://go.microsoft.com/fwlink/?linkid=870924
Comment:
    Combined data from 10 days and 1 month, noting 1 month here</t>
      </text>
    </comment>
    <comment ref="AB215" authorId="742" shapeId="0" xr:uid="{96021854-BB71-4948-9619-7229D9E529EF}">
      <text>
        <t>[Threaded comment]
Your version of Excel allows you to read this threaded comment; however, any edits to it will get removed if the file is opened in a newer version of Excel. Learn more: https://go.microsoft.com/fwlink/?linkid=870924
Comment:
    Motor cortex</t>
      </text>
    </comment>
    <comment ref="AS215" authorId="743" shapeId="0" xr:uid="{65432FCF-8FDA-438E-8384-9E9CBA6B51A9}">
      <text>
        <t>[Threaded comment]
Your version of Excel allows you to read this threaded comment; however, any edits to it will get removed if the file is opened in a newer version of Excel. Learn more: https://go.microsoft.com/fwlink/?linkid=870924
Comment:
    Combined data from 10 days and 1 month, noting 1 month here</t>
      </text>
    </comment>
    <comment ref="AB216" authorId="744" shapeId="0" xr:uid="{DB37761C-BB3C-4406-8345-AEFEF442DDB7}">
      <text>
        <t>[Threaded comment]
Your version of Excel allows you to read this threaded comment; however, any edits to it will get removed if the file is opened in a newer version of Excel. Learn more: https://go.microsoft.com/fwlink/?linkid=870924
Comment:
    Motor cortex</t>
      </text>
    </comment>
    <comment ref="AS216" authorId="745" shapeId="0" xr:uid="{06B5926A-FA39-4B94-90DD-54D893F2BDB6}">
      <text>
        <t>[Threaded comment]
Your version of Excel allows you to read this threaded comment; however, any edits to it will get removed if the file is opened in a newer version of Excel. Learn more: https://go.microsoft.com/fwlink/?linkid=870924
Comment:
    Combined data from 10 days and 1 month, noting 1 month here</t>
      </text>
    </comment>
    <comment ref="AB217" authorId="746" shapeId="0" xr:uid="{BF71951D-0220-438E-A1E6-ECFC15B9C165}">
      <text>
        <t>[Threaded comment]
Your version of Excel allows you to read this threaded comment; however, any edits to it will get removed if the file is opened in a newer version of Excel. Learn more: https://go.microsoft.com/fwlink/?linkid=870924
Comment:
    Motor cortex</t>
      </text>
    </comment>
    <comment ref="AF217" authorId="747" shapeId="0" xr:uid="{1F696C08-69B0-4D9E-A5A8-880D792C6E3B}">
      <text>
        <t>[Threaded comment]
Your version of Excel allows you to read this threaded comment; however, any edits to it will get removed if the file is opened in a newer version of Excel. Learn more: https://go.microsoft.com/fwlink/?linkid=870924
Comment:
    2*400pmol injections</t>
      </text>
    </comment>
    <comment ref="AH217" authorId="748" shapeId="0" xr:uid="{BD74DE13-4F40-4A9E-8217-9F9F6A6D4FF6}">
      <text>
        <t>[Threaded comment]
Your version of Excel allows you to read this threaded comment; however, any edits to it will get removed if the file is opened in a newer version of Excel. Learn more: https://go.microsoft.com/fwlink/?linkid=870924
Comment:
    2*2uL</t>
      </text>
    </comment>
    <comment ref="AJ217" authorId="749" shapeId="0" xr:uid="{D12A524C-F345-4812-A6D5-7C215DA725EB}">
      <text>
        <t>[Threaded comment]
Your version of Excel allows you to read this threaded comment; however, any edits to it will get removed if the file is opened in a newer version of Excel. Learn more: https://go.microsoft.com/fwlink/?linkid=870924
Comment:
    1uL/2min = 0.5uL/min</t>
      </text>
    </comment>
    <comment ref="AS217" authorId="750" shapeId="0" xr:uid="{191973E6-67F9-4DE0-BD44-AD1C5E948BDE}">
      <text>
        <t>[Threaded comment]
Your version of Excel allows you to read this threaded comment; however, any edits to it will get removed if the file is opened in a newer version of Excel. Learn more: https://go.microsoft.com/fwlink/?linkid=870924
Comment:
    Combined data from 10 days and 1 month, noting 1 month here</t>
      </text>
    </comment>
    <comment ref="AB218" authorId="751" shapeId="0" xr:uid="{4EE485F6-0BD5-46E7-AF0B-CA92DE18E047}">
      <text>
        <t>[Threaded comment]
Your version of Excel allows you to read this threaded comment; however, any edits to it will get removed if the file is opened in a newer version of Excel. Learn more: https://go.microsoft.com/fwlink/?linkid=870924
Comment:
    Motor cortex</t>
      </text>
    </comment>
    <comment ref="AF218" authorId="752" shapeId="0" xr:uid="{BAFCCE94-E641-4071-8BB5-CEEF34D086BF}">
      <text>
        <t>[Threaded comment]
Your version of Excel allows you to read this threaded comment; however, any edits to it will get removed if the file is opened in a newer version of Excel. Learn more: https://go.microsoft.com/fwlink/?linkid=870924
Comment:
    2*800pmol injections</t>
      </text>
    </comment>
    <comment ref="AH218" authorId="753" shapeId="0" xr:uid="{E2017BA8-C18A-453D-BBAC-BB79C45F445D}">
      <text>
        <t>[Threaded comment]
Your version of Excel allows you to read this threaded comment; however, any edits to it will get removed if the file is opened in a newer version of Excel. Learn more: https://go.microsoft.com/fwlink/?linkid=870924
Comment:
    2*2uL</t>
      </text>
    </comment>
    <comment ref="AJ218" authorId="754" shapeId="0" xr:uid="{750A6283-1985-4754-8E96-911377068DBE}">
      <text>
        <t>[Threaded comment]
Your version of Excel allows you to read this threaded comment; however, any edits to it will get removed if the file is opened in a newer version of Excel. Learn more: https://go.microsoft.com/fwlink/?linkid=870924
Comment:
    1uL/2min = 0.5uL/min</t>
      </text>
    </comment>
    <comment ref="AS218" authorId="755" shapeId="0" xr:uid="{7945BF49-1527-4691-9E2A-412367BF8029}">
      <text>
        <t>[Threaded comment]
Your version of Excel allows you to read this threaded comment; however, any edits to it will get removed if the file is opened in a newer version of Excel. Learn more: https://go.microsoft.com/fwlink/?linkid=870924
Comment:
    Combined data from 10 days and 1 month, noting 1 month here</t>
      </text>
    </comment>
    <comment ref="AB219" authorId="756" shapeId="0" xr:uid="{EEBC4AD3-B0A9-4FE1-8AD8-3F51DBC49ABB}">
      <text>
        <t>[Threaded comment]
Your version of Excel allows you to read this threaded comment; however, any edits to it will get removed if the file is opened in a newer version of Excel. Learn more: https://go.microsoft.com/fwlink/?linkid=870924
Comment:
    Motor cortex</t>
      </text>
    </comment>
    <comment ref="AF219" authorId="757" shapeId="0" xr:uid="{80588FF1-5172-4B0E-B454-7DF57CEEF197}">
      <text>
        <t>[Threaded comment]
Your version of Excel allows you to read this threaded comment; however, any edits to it will get removed if the file is opened in a newer version of Excel. Learn more: https://go.microsoft.com/fwlink/?linkid=870924
Comment:
    3*800pmol injections</t>
      </text>
    </comment>
    <comment ref="AH219" authorId="758" shapeId="0" xr:uid="{6D0A636D-C8BF-43AF-9806-8DDD4CC1C28E}">
      <text>
        <t>[Threaded comment]
Your version of Excel allows you to read this threaded comment; however, any edits to it will get removed if the file is opened in a newer version of Excel. Learn more: https://go.microsoft.com/fwlink/?linkid=870924
Comment:
    3*2uL</t>
      </text>
    </comment>
    <comment ref="AJ219" authorId="759" shapeId="0" xr:uid="{DD44DDC3-65F3-43FF-8994-E9386F8C1CFB}">
      <text>
        <t>[Threaded comment]
Your version of Excel allows you to read this threaded comment; however, any edits to it will get removed if the file is opened in a newer version of Excel. Learn more: https://go.microsoft.com/fwlink/?linkid=870924
Comment:
    1uL/2min = 0.5uL/min</t>
      </text>
    </comment>
    <comment ref="AS219" authorId="760" shapeId="0" xr:uid="{F3E89BED-D44F-4370-B31E-4733A863FAF2}">
      <text>
        <t>[Threaded comment]
Your version of Excel allows you to read this threaded comment; however, any edits to it will get removed if the file is opened in a newer version of Excel. Learn more: https://go.microsoft.com/fwlink/?linkid=870924
Comment:
    Combined data from 10 days and 1 month, noting 1 month here</t>
      </text>
    </comment>
    <comment ref="AB220" authorId="761" shapeId="0" xr:uid="{BAF43448-1AF2-444C-9C5F-FA3CB3972A2C}">
      <text>
        <t>[Threaded comment]
Your version of Excel allows you to read this threaded comment; however, any edits to it will get removed if the file is opened in a newer version of Excel. Learn more: https://go.microsoft.com/fwlink/?linkid=870924
Comment:
    Motor cortex + striatum</t>
      </text>
    </comment>
    <comment ref="AF220" authorId="762" shapeId="0" xr:uid="{4E844A7D-102F-4595-B0B1-898B11ED9408}">
      <text>
        <t>[Threaded comment]
Your version of Excel allows you to read this threaded comment; however, any edits to it will get removed if the file is opened in a newer version of Excel. Learn more: https://go.microsoft.com/fwlink/?linkid=870924
Comment:
    2 cortical injections of
400 pmol each+1 striatal injection of 400 pmol</t>
      </text>
    </comment>
    <comment ref="AH220" authorId="763" shapeId="0" xr:uid="{011DAC58-3942-40E0-8F88-385E9B5264F2}">
      <text>
        <t>[Threaded comment]
Your version of Excel allows you to read this threaded comment; however, any edits to it will get removed if the file is opened in a newer version of Excel. Learn more: https://go.microsoft.com/fwlink/?linkid=870924
Comment:
    3*2uL</t>
      </text>
    </comment>
    <comment ref="AJ220" authorId="764" shapeId="0" xr:uid="{FE69BC2E-8383-42E6-B791-F9B97E147810}">
      <text>
        <t>[Threaded comment]
Your version of Excel allows you to read this threaded comment; however, any edits to it will get removed if the file is opened in a newer version of Excel. Learn more: https://go.microsoft.com/fwlink/?linkid=870924
Comment:
    1uL/2min = 0.5uL/min</t>
      </text>
    </comment>
    <comment ref="AS220" authorId="765" shapeId="0" xr:uid="{A77D1336-14AC-419D-8742-7ED1E6573BF4}">
      <text>
        <t>[Threaded comment]
Your version of Excel allows you to read this threaded comment; however, any edits to it will get removed if the file is opened in a newer version of Excel. Learn more: https://go.microsoft.com/fwlink/?linkid=870924
Comment:
    Combined data from 10 days and 1 month, noting 1 month here</t>
      </text>
    </comment>
    <comment ref="AB221" authorId="766" shapeId="0" xr:uid="{7938A2FC-EC45-4E2A-90E9-0F673C0CBA63}">
      <text>
        <t>[Threaded comment]
Your version of Excel allows you to read this threaded comment; however, any edits to it will get removed if the file is opened in a newer version of Excel. Learn more: https://go.microsoft.com/fwlink/?linkid=870924
Comment:
    Motor cortex + striatum</t>
      </text>
    </comment>
    <comment ref="AF221" authorId="767" shapeId="0" xr:uid="{631C1E86-3406-4487-B23F-02AC8890198F}">
      <text>
        <t>[Threaded comment]
Your version of Excel allows you to read this threaded comment; however, any edits to it will get removed if the file is opened in a newer version of Excel. Learn more: https://go.microsoft.com/fwlink/?linkid=870924
Comment:
    2 cortical of 800 pmol each+1 striatal
injection of 800 pmol</t>
      </text>
    </comment>
    <comment ref="AH221" authorId="768" shapeId="0" xr:uid="{BB53887E-F174-4F80-81E3-BE925C006F59}">
      <text>
        <t>[Threaded comment]
Your version of Excel allows you to read this threaded comment; however, any edits to it will get removed if the file is opened in a newer version of Excel. Learn more: https://go.microsoft.com/fwlink/?linkid=870924
Comment:
    3*2uL</t>
      </text>
    </comment>
    <comment ref="AJ221" authorId="769" shapeId="0" xr:uid="{B480E113-DADA-47FC-B56E-AC4DA3520C2A}">
      <text>
        <t>[Threaded comment]
Your version of Excel allows you to read this threaded comment; however, any edits to it will get removed if the file is opened in a newer version of Excel. Learn more: https://go.microsoft.com/fwlink/?linkid=870924
Comment:
    1uL/2min = 0.5uL/min</t>
      </text>
    </comment>
    <comment ref="AS221" authorId="770" shapeId="0" xr:uid="{7038780F-DBDD-415A-BB30-BFB4E67FC319}">
      <text>
        <t>[Threaded comment]
Your version of Excel allows you to read this threaded comment; however, any edits to it will get removed if the file is opened in a newer version of Excel. Learn more: https://go.microsoft.com/fwlink/?linkid=870924
Comment:
    Combined data from 10 days and 1 month, noting 1 month here</t>
      </text>
    </comment>
    <comment ref="AS222" authorId="771" shapeId="0" xr:uid="{5C32BC4E-0534-48FA-A214-BE7800E2D767}">
      <text>
        <t>[Threaded comment]
Your version of Excel allows you to read this threaded comment; however, any edits to it will get removed if the file is opened in a newer version of Excel. Learn more: https://go.microsoft.com/fwlink/?linkid=870924
Comment:
    Combined data from 10 days and 1 month, noting 1 month here</t>
      </text>
    </comment>
    <comment ref="AJ223" authorId="772" shapeId="0" xr:uid="{1CA30571-5375-4E1C-90F8-E87F266B68B7}">
      <text>
        <t>[Threaded comment]
Your version of Excel allows you to read this threaded comment; however, any edits to it will get removed if the file is opened in a newer version of Excel. Learn more: https://go.microsoft.com/fwlink/?linkid=870924
Comment:
    50uL/min</t>
      </text>
    </comment>
    <comment ref="AH224" authorId="773" shapeId="0" xr:uid="{967CA58B-BBBE-4B82-829C-43AB425DCECC}">
      <text>
        <t>[Threaded comment]
Your version of Excel allows you to read this threaded comment; however, any edits to it will get removed if the file is opened in a newer version of Excel. Learn more: https://go.microsoft.com/fwlink/?linkid=870924
Comment:
    4*50uL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tc={3E71E478-F35A-4DF7-BC3D-52C9733DEFC7}</author>
    <author>tc={2865CEEA-F5BC-43F8-BBD4-965E760CC218}</author>
    <author>tc={EF4927E9-F3F5-4A4C-88D1-AC0156D50CB6}</author>
    <author>tc={4E867794-C8B6-4E50-ACDE-B2A5B4C093E4}</author>
    <author>tc={7AE89696-4845-47E3-B897-1781F700E251}</author>
    <author>tc={D1496B3E-B148-4D76-B4A7-F98CEC6AF153}</author>
    <author>tc={2B1FB8BF-6A44-40B4-AA47-9F9A2F58C427}</author>
    <author>tc={79BDB44A-80AD-4002-959A-7B4563F7FB66}</author>
    <author>tc={34E9D505-0723-4196-A56F-F88DA0E57A2C}</author>
    <author>tc={D36D80E3-10B9-49C4-A0C0-4DBBE884D917}</author>
    <author>tc={86227224-4774-45FA-9D07-E8E389AD5A3B}</author>
    <author>tc={EFD30E45-D740-458B-89FD-7080FAD2A8C9}</author>
    <author>tc={AB03463F-1998-4248-8FAE-096588F54132}</author>
    <author>tc={80D1A119-F2C9-4E7E-BFD5-3ED5BAE1AB2E}</author>
    <author>tc={AB783EB3-09F1-406C-ADBC-56DD36E432C4}</author>
    <author>tc={964871FD-BAE0-4662-88B8-96310B2031D8}</author>
    <author>tc={48672C56-689B-4B90-B9DC-F1A46956D4CB}</author>
    <author>tc={3D65D073-A4DF-4B05-9E7B-0C0B30FEDC07}</author>
    <author>tc={AE23CA46-6DC7-42C8-84ED-D0C37740B6BA}</author>
    <author>tc={A7BEFE07-9CBF-42CD-B046-977AEA33AB36}</author>
    <author>tc={221E8897-2761-4899-9110-CAE542F596F0}</author>
    <author>tc={275B291B-4443-4723-9FFC-5BF200A17054}</author>
    <author>tc={F6D5E8B2-688D-46D3-848E-BEE293EB1957}</author>
    <author>tc={8429AEAC-D527-4152-8502-92A68B61FBB5}</author>
  </authors>
  <commentList>
    <comment ref="R11" authorId="0" shapeId="0" xr:uid="{3E71E478-F35A-4DF7-BC3D-52C9733DEFC7}">
      <text>
        <t>[Threaded comment]
Your version of Excel allows you to read this threaded comment; however, any edits to it will get removed if the file is opened in a newer version of Excel. Learn more: https://go.microsoft.com/fwlink/?linkid=870924
Comment:
    DOI: 10.1016/s0165-0270(00)00278-8</t>
      </text>
    </comment>
    <comment ref="V14" authorId="1" shapeId="0" xr:uid="{2865CEEA-F5BC-43F8-BBD4-965E760CC218}">
      <text>
        <t>[Threaded comment]
Your version of Excel allows you to read this threaded comment; however, any edits to it will get removed if the file is opened in a newer version of Excel. Learn more: https://go.microsoft.com/fwlink/?linkid=870924
Comment:
    Also known as Menzies scale</t>
      </text>
    </comment>
    <comment ref="G20" authorId="2" shapeId="0" xr:uid="{EF4927E9-F3F5-4A4C-88D1-AC0156D50CB6}">
      <text>
        <t>[Threaded comment]
Your version of Excel allows you to read this threaded comment; however, any edits to it will get removed if the file is opened in a newer version of Excel. Learn more: https://go.microsoft.com/fwlink/?linkid=870924
Comment:
    mixture of water, chloral hydrate, magnesium sulfate, propylene glycol, ethanol, and nembutal</t>
      </text>
    </comment>
    <comment ref="V21" authorId="3" shapeId="0" xr:uid="{4E867794-C8B6-4E50-ACDE-B2A5B4C093E4}">
      <text>
        <t>[Threaded comment]
Your version of Excel allows you to read this threaded comment; however, any edits to it will get removed if the file is opened in a newer version of Excel. Learn more: https://go.microsoft.com/fwlink/?linkid=870924
Comment:
    E.Z. Longa, P.R. Weinstein, S. Carlson, R. Cummins, Reversible middle cerebral
artery occlusion without craniectomy in rats, Stroke 20 (January (1)) (1989) 84–91.</t>
      </text>
    </comment>
    <comment ref="B24" authorId="4" shapeId="0" xr:uid="{7AE89696-4845-47E3-B897-1781F700E251}">
      <text>
        <t>[Threaded comment]
Your version of Excel allows you to read this threaded comment; however, any edits to it will get removed if the file is opened in a newer version of Excel. Learn more: https://go.microsoft.com/fwlink/?linkid=870924
Comment:
    C57BL/6 background</t>
      </text>
    </comment>
    <comment ref="V24" authorId="5" shapeId="0" xr:uid="{D1496B3E-B148-4D76-B4A7-F98CEC6AF153}">
      <text>
        <t>[Threaded comment]
Your version of Excel allows you to read this threaded comment; however, any edits to it will get removed if the file is opened in a newer version of Excel. Learn more: https://go.microsoft.com/fwlink/?linkid=870924
Comment:
    0-4 scale = Menzies scale</t>
      </text>
    </comment>
    <comment ref="V27" authorId="6" shapeId="0" xr:uid="{2B1FB8BF-6A44-40B4-AA47-9F9A2F58C427}">
      <text>
        <t>[Threaded comment]
Your version of Excel allows you to read this threaded comment; however, any edits to it will get removed if the file is opened in a newer version of Excel. Learn more: https://go.microsoft.com/fwlink/?linkid=870924
Comment:
    Sensori-motor dysfunction was assessed by using a score of 1, 0.5, and 0: (1) — the paw is immediately placed on the table surface; (0.5) — the limb is extended, but with some movements and attempts to place the paw on the surface of the table; (0) — the paw is totally immobilized, hanging down, with no movement.</t>
      </text>
    </comment>
    <comment ref="V28" authorId="7" shapeId="0" xr:uid="{79BDB44A-80AD-4002-959A-7B4563F7FB66}">
      <text>
        <t>[Threaded comment]
Your version of Excel allows you to read this threaded comment; however, any edits to it will get removed if the file is opened in a newer version of Excel. Learn more: https://go.microsoft.com/fwlink/?linkid=870924
Comment:
    score 0: no neurological deficits, score 1: mildly abnormal posture or mild hemiplegia, score 2: severely abnormal posture or severe hemiplegia. total score 0 is the lowest and total score 4 is the highest</t>
      </text>
    </comment>
    <comment ref="B31" authorId="8" shapeId="0" xr:uid="{34E9D505-0723-4196-A56F-F88DA0E57A2C}">
      <text>
        <t>[Threaded comment]
Your version of Excel allows you to read this threaded comment; however, any edits to it will get removed if the file is opened in a newer version of Excel. Learn more: https://go.microsoft.com/fwlink/?linkid=870924
Comment:
    based on C57BL/6</t>
      </text>
    </comment>
    <comment ref="B52" authorId="9" shapeId="0" xr:uid="{D36D80E3-10B9-49C4-A0C0-4DBBE884D917}">
      <text>
        <t>[Threaded comment]
Your version of Excel allows you to read this threaded comment; however, any edits to it will get removed if the file is opened in a newer version of Excel. Learn more: https://go.microsoft.com/fwlink/?linkid=870924
Comment:
    C57BL6/CNr genetic background</t>
      </text>
    </comment>
    <comment ref="B57" authorId="10" shapeId="0" xr:uid="{86227224-4774-45FA-9D07-E8E389AD5A3B}">
      <text>
        <t>[Threaded comment]
Your version of Excel allows you to read this threaded comment; however, any edits to it will get removed if the file is opened in a newer version of Excel. Learn more: https://go.microsoft.com/fwlink/?linkid=870924
Comment:
    C57BL/6xDBA background</t>
      </text>
    </comment>
    <comment ref="B59" authorId="11" shapeId="0" xr:uid="{EFD30E45-D740-458B-89FD-7080FAD2A8C9}">
      <text>
        <t>[Threaded comment]
Your version of Excel allows you to read this threaded comment; however, any edits to it will get removed if the file is opened in a newer version of Excel. Learn more: https://go.microsoft.com/fwlink/?linkid=870924
Comment:
    C57BL6 background</t>
      </text>
    </comment>
    <comment ref="B60" authorId="12" shapeId="0" xr:uid="{AB03463F-1998-4248-8FAE-096588F54132}">
      <text>
        <t>[Threaded comment]
Your version of Excel allows you to read this threaded comment; however, any edits to it will get removed if the file is opened in a newer version of Excel. Learn more: https://go.microsoft.com/fwlink/?linkid=870924
Comment:
    neuron-specific expression of human equilibrative nucleoside transporter 1</t>
      </text>
    </comment>
    <comment ref="B84" authorId="13" shapeId="0" xr:uid="{80D1A119-F2C9-4E7E-BFD5-3ED5BAE1AB2E}">
      <text>
        <t>[Threaded comment]
Your version of Excel allows you to read this threaded comment; however, any edits to it will get removed if the file is opened in a newer version of Excel. Learn more: https://go.microsoft.com/fwlink/?linkid=870924
Comment:
    C57BL/6 background</t>
      </text>
    </comment>
    <comment ref="B85" authorId="14" shapeId="0" xr:uid="{AB783EB3-09F1-406C-ADBC-56DD36E432C4}">
      <text>
        <t>[Threaded comment]
Your version of Excel allows you to read this threaded comment; however, any edits to it will get removed if the file is opened in a newer version of Excel. Learn more: https://go.microsoft.com/fwlink/?linkid=870924
Comment:
    plasma phospholipid transfer protein transgenic mice, C57BL/6 background</t>
      </text>
    </comment>
    <comment ref="B86" authorId="15" shapeId="0" xr:uid="{964871FD-BAE0-4662-88B8-96310B2031D8}">
      <text>
        <t>[Threaded comment]
Your version of Excel allows you to read this threaded comment; however, any edits to it will get removed if the file is opened in a newer version of Excel. Learn more: https://go.microsoft.com/fwlink/?linkid=870924
Comment:
    plasma phospholipid transfer protein transgenic mice, C57BL/6 background</t>
      </text>
    </comment>
    <comment ref="B88" authorId="16" shapeId="0" xr:uid="{48672C56-689B-4B90-B9DC-F1A46956D4CB}">
      <text>
        <t>[Threaded comment]
Your version of Excel allows you to read this threaded comment; however, any edits to it will get removed if the file is opened in a newer version of Excel. Learn more: https://go.microsoft.com/fwlink/?linkid=870924
Comment:
    C57BL6 background</t>
      </text>
    </comment>
    <comment ref="B89" authorId="17" shapeId="0" xr:uid="{3D65D073-A4DF-4B05-9E7B-0C0B30FEDC07}">
      <text>
        <t>[Threaded comment]
Your version of Excel allows you to read this threaded comment; however, any edits to it will get removed if the file is opened in a newer version of Excel. Learn more: https://go.microsoft.com/fwlink/?linkid=870924
Comment:
    "a quadruple knock-out mouse (Q4) that lacks four ECM components: brevican, neurocan, tenascin-C and tenascin-R" seems to be based on 129S1/SvImJ mice</t>
      </text>
    </comment>
    <comment ref="B94" authorId="18" shapeId="0" xr:uid="{AE23CA46-6DC7-42C8-84ED-D0C37740B6BA}">
      <text>
        <t>[Threaded comment]
Your version of Excel allows you to read this threaded comment; however, any edits to it will get removed if the file is opened in a newer version of Excel. Learn more: https://go.microsoft.com/fwlink/?linkid=870924
Comment:
    introgressing a loss-of-function mutation in the p22phox gene from the Matsumoto Eosinophilia Shinshu (MES) rat to stroke prone spontaneously hypertensive rats (SHRSP), we constructed the SHRSP-based congenic strain lacking the P22PHOX expression (i.e., lacking NADPH oxidases [NOX] activities) (SHRSP.MES-Cybames/Izm; hereafter referred to as SP.MES)</t>
      </text>
    </comment>
    <comment ref="B95" authorId="19" shapeId="0" xr:uid="{A7BEFE07-9CBF-42CD-B046-977AEA33AB36}">
      <text>
        <t>[Threaded comment]
Your version of Excel allows you to read this threaded comment; however, any edits to it will get removed if the file is opened in a newer version of Excel. Learn more: https://go.microsoft.com/fwlink/?linkid=870924
Comment:
    Secreted protein acidic rich in cysteine (SPARC) is a matricellular protein that modulates the activity of growth factors, cytokines, and extracellular matrix to play multiple roles in tissue development and repair, such as cellular adhesion, migration, and proliferation. based on B6129SF2/J mouse</t>
      </text>
    </comment>
    <comment ref="N113" authorId="20" shapeId="0" xr:uid="{221E8897-2761-4899-9110-CAE542F596F0}">
      <text>
        <t>[Threaded comment]
Your version of Excel allows you to read this threaded comment; however, any edits to it will get removed if the file is opened in a newer version of Excel. Learn more: https://go.microsoft.com/fwlink/?linkid=870924
Comment:
    carbamylated analogs of chimeric derivatives, erythropoietin with the Fc fragment of human IgG1</t>
      </text>
    </comment>
    <comment ref="N114" authorId="21" shapeId="0" xr:uid="{275B291B-4443-4723-9FFC-5BF200A17054}">
      <text>
        <t>[Threaded comment]
Your version of Excel allows you to read this threaded comment; however, any edits to it will get removed if the file is opened in a newer version of Excel. Learn more: https://go.microsoft.com/fwlink/?linkid=870924
Comment:
    erythropoietin with TR (Muc1) human glycopeptide</t>
      </text>
    </comment>
    <comment ref="N136" authorId="22" shapeId="0" xr:uid="{F6D5E8B2-688D-46D3-848E-BEE293EB1957}">
      <text>
        <t>[Threaded comment]
Your version of Excel allows you to read this threaded comment; however, any edits to it will get removed if the file is opened in a newer version of Excel. Learn more: https://go.microsoft.com/fwlink/?linkid=870924
Comment:
    might be GC-2h, is russian, translates as "antiamnestic ACTION HUMAN dipeptide mimetic of nerve growth factor "</t>
      </text>
    </comment>
    <comment ref="N259" authorId="23" shapeId="0" xr:uid="{8429AEAC-D527-4152-8502-92A68B61FBB5}">
      <text>
        <t>[Threaded comment]
Your version of Excel allows you to read this threaded comment; however, any edits to it will get removed if the file is opened in a newer version of Excel. Learn more: https://go.microsoft.com/fwlink/?linkid=870924
Comment:
    a form of t-PA</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<sst xmlns="http://schemas.openxmlformats.org/spreadsheetml/2006/main" count="9894" uniqueCount="1244">
  <si>
    <t>Variable name</t>
  </si>
  <si>
    <t>Variable type</t>
  </si>
  <si>
    <t>Variable description</t>
  </si>
  <si>
    <t>Notes</t>
  </si>
  <si>
    <t>Year</t>
  </si>
  <si>
    <t>Title</t>
  </si>
  <si>
    <t>Diabetes</t>
  </si>
  <si>
    <t>Strain</t>
  </si>
  <si>
    <t>NA</t>
  </si>
  <si>
    <t>NR</t>
  </si>
  <si>
    <t>Sprague-Dawley</t>
  </si>
  <si>
    <t>Wistar</t>
  </si>
  <si>
    <t>None</t>
  </si>
  <si>
    <t>Author</t>
  </si>
  <si>
    <t>Sex</t>
  </si>
  <si>
    <t>Animal</t>
  </si>
  <si>
    <t>Anaesthetic</t>
  </si>
  <si>
    <t>Publication_code</t>
  </si>
  <si>
    <t>Text</t>
  </si>
  <si>
    <t>Numeric (four digits)</t>
  </si>
  <si>
    <t>Full title of the paper</t>
  </si>
  <si>
    <t>Unique code for the article/publication, in the form of Author_Year. The "Author" section is the surname of the first author. If there are multiple publications from the same author in the same year an a/b/c will be added to the end to tell them apart. Example: Author_Year_a</t>
  </si>
  <si>
    <t>Year the paper was published</t>
  </si>
  <si>
    <t>Rat</t>
  </si>
  <si>
    <t>Mouse</t>
  </si>
  <si>
    <t xml:space="preserve">All drop-down menu items are listed under the name of their variable. </t>
  </si>
  <si>
    <t>This sheet contains all the drop-down menus used in the "Data Extraction" tab.</t>
  </si>
  <si>
    <t>All lists should contain "NR" for "not reported" and "NA" for "not applicable".</t>
  </si>
  <si>
    <t>Not a binary variable (male/female) as some cohorts could be mixed sexes</t>
  </si>
  <si>
    <t>Many mouse transgenic strains have varible names for the same strain. As a result of this some sub-strains will be grouped together into their highest common strain.</t>
  </si>
  <si>
    <t>Comparison_identifier</t>
  </si>
  <si>
    <t>The sex of the cohort of animals for this comparison.</t>
  </si>
  <si>
    <t xml:space="preserve">Letter to describe which comparison in the paper is noted on this line. For example: If a paper has one control group of animals and two treatment groups, each one of those treatment groups would have their own line (labelled as "a" and "b" in this variable) and the control group results would be repeated on both lines. </t>
  </si>
  <si>
    <t>Female</t>
  </si>
  <si>
    <t>Male</t>
  </si>
  <si>
    <t>Mixed</t>
  </si>
  <si>
    <t>Pig</t>
  </si>
  <si>
    <t>Guinea Pig</t>
  </si>
  <si>
    <t>Primate</t>
  </si>
  <si>
    <t>Tree Shrew</t>
  </si>
  <si>
    <t>Rabbit</t>
  </si>
  <si>
    <t>Cat</t>
  </si>
  <si>
    <t>Dog</t>
  </si>
  <si>
    <t>Zebrafish</t>
  </si>
  <si>
    <t>Fly (Drosophila)</t>
  </si>
  <si>
    <t>Other</t>
  </si>
  <si>
    <t>Wistar-Kyoto</t>
  </si>
  <si>
    <t>Long Evans</t>
  </si>
  <si>
    <t>Spontaneously Hypertensive Rat (SHR)</t>
  </si>
  <si>
    <t>Fischer 344</t>
  </si>
  <si>
    <t>Colour coding</t>
  </si>
  <si>
    <t>Variable relates to outcome</t>
  </si>
  <si>
    <t>Variable relates to paper/study information</t>
  </si>
  <si>
    <t>Variable relates to study design</t>
  </si>
  <si>
    <t>Variable relates to animal model of stroke</t>
  </si>
  <si>
    <t>Variable relates to intervention/treatment</t>
  </si>
  <si>
    <t>N_animals_control</t>
  </si>
  <si>
    <t>N_animals_treatment</t>
  </si>
  <si>
    <t>Number of animals in the control group.</t>
  </si>
  <si>
    <t>Number of animals in the treatment group.</t>
  </si>
  <si>
    <t>Total number of control groups in the study.</t>
  </si>
  <si>
    <t>If the animal species has a subspecies (e.g. with primates) or a strain (e.g. with rats and transgenic mice) it will be reported here.</t>
  </si>
  <si>
    <t>The species of animal used in the experiment. Some options are not strictly species but rather groups of animals such as "primate".</t>
  </si>
  <si>
    <t>Total number of treatment groups in the study.</t>
  </si>
  <si>
    <t>N_control_groups</t>
  </si>
  <si>
    <t>N_treatment_groups</t>
  </si>
  <si>
    <t>Halothane</t>
  </si>
  <si>
    <t>Desflurane</t>
  </si>
  <si>
    <t>Isoflurane</t>
  </si>
  <si>
    <t>Sevoflurane</t>
  </si>
  <si>
    <t>Chloral hydrate</t>
  </si>
  <si>
    <t>Ketamine</t>
  </si>
  <si>
    <t>Acepromazine</t>
  </si>
  <si>
    <t>Lister Hooded Rat</t>
  </si>
  <si>
    <t>Text (drop down menu)</t>
  </si>
  <si>
    <t>Treatment</t>
  </si>
  <si>
    <t>Treatment_class</t>
  </si>
  <si>
    <t>If the study does not contain a treatment but instead contains groups that it compares (such as a group of young mice to a group of old mice) these data will be recorded as control data for different cohorts and treatment will be listed as "none"</t>
  </si>
  <si>
    <t>What treatment (if any) has been applied to the animals (eg exercise, hypothermia, TPA, other drugs)</t>
  </si>
  <si>
    <t>A set of groups to classify the treatments by their mode of action (eg is the treatment a thrombolytic? Anti-inflammatory? Etc.)</t>
  </si>
  <si>
    <t>Infarct_mean_control</t>
  </si>
  <si>
    <t>The error rate for the control group in this comparison in the form of standard deviation.</t>
  </si>
  <si>
    <t>Infarct_mean_treatment</t>
  </si>
  <si>
    <t>The mean infarct size (in any form, eg. Volume, area, %, etc.) for the treatment group in this comparison</t>
  </si>
  <si>
    <t>The mean infarct size (in any form, eg. Volume, area, %, etc.) for the control group in this comparison</t>
  </si>
  <si>
    <t>There may not be a treatment group for this comparison, in which case NA will be used</t>
  </si>
  <si>
    <t>The error rate for the treatment group in this comparison in the form of standard deviation.</t>
  </si>
  <si>
    <r>
      <t>mm</t>
    </r>
    <r>
      <rPr>
        <vertAlign val="superscript"/>
        <sz val="11"/>
        <color theme="1"/>
        <rFont val="Calibri"/>
        <family val="2"/>
        <scheme val="minor"/>
      </rPr>
      <t>3</t>
    </r>
  </si>
  <si>
    <r>
      <t>mm</t>
    </r>
    <r>
      <rPr>
        <vertAlign val="superscript"/>
        <sz val="11"/>
        <color theme="1"/>
        <rFont val="Calibri"/>
        <family val="2"/>
        <scheme val="minor"/>
      </rPr>
      <t>2</t>
    </r>
  </si>
  <si>
    <t>Numeric (continuous)</t>
  </si>
  <si>
    <t xml:space="preserve">The units used for the calculation of infarct size for both the control and treatment groups (eg mm^3, %, mm^2, etc.) </t>
  </si>
  <si>
    <t>Infarct_units</t>
  </si>
  <si>
    <t>Scale_type</t>
  </si>
  <si>
    <t>Hypothermia</t>
  </si>
  <si>
    <t>mNSS</t>
  </si>
  <si>
    <t>Lewis</t>
  </si>
  <si>
    <t>Nitrous oxide</t>
  </si>
  <si>
    <t>If only one anaesthetic was used this variable will be "NA"</t>
  </si>
  <si>
    <t>Diazepam</t>
  </si>
  <si>
    <t>Treatment_time_class</t>
  </si>
  <si>
    <t xml:space="preserve">Whether the treatment was before, during, or after stroke induction. </t>
  </si>
  <si>
    <t>Before stroke</t>
  </si>
  <si>
    <t>During stroke</t>
  </si>
  <si>
    <t>After stroke</t>
  </si>
  <si>
    <t>Age_weeks_mean</t>
  </si>
  <si>
    <t>Age_weeks_min</t>
  </si>
  <si>
    <t>Age_weeks_max</t>
  </si>
  <si>
    <t>Numeric (discrete)</t>
  </si>
  <si>
    <t>Weight_g_min</t>
  </si>
  <si>
    <t>Weight_g_mean</t>
  </si>
  <si>
    <t>Weight_g_max</t>
  </si>
  <si>
    <t>Sodium Pentobarbital</t>
  </si>
  <si>
    <t>Methylene blue (MB)</t>
  </si>
  <si>
    <t>Treatment_initial_hour</t>
  </si>
  <si>
    <t>Emodin</t>
  </si>
  <si>
    <t>nmol</t>
  </si>
  <si>
    <t>0-4 limb scale</t>
  </si>
  <si>
    <t>0-4 limb scale is a five point scoring system: grade 0, no deficit; grade 1, forelimb weakness and torso turning to the ipsilateral side when held by the tail; grade 2, circling to the affected side; grade 3, unable to bear weight on the affected side; and grade 4, no spontaneous locomotor activity or barrel rolling.</t>
  </si>
  <si>
    <t>Low-protein diet</t>
  </si>
  <si>
    <t>Infarct_error_control</t>
  </si>
  <si>
    <t>Infarct_error_treatment</t>
  </si>
  <si>
    <t>Error_units</t>
  </si>
  <si>
    <t>SD</t>
  </si>
  <si>
    <t>SEM</t>
  </si>
  <si>
    <t>SE</t>
  </si>
  <si>
    <t>Infarct_error_units</t>
  </si>
  <si>
    <t xml:space="preserve">The type of error measurement used in the paper eg: standard deviation - SD, standard error of the mean - SEM, standard error - SE. </t>
  </si>
  <si>
    <t>Hypertension</t>
  </si>
  <si>
    <t>Excitotoxicity</t>
  </si>
  <si>
    <t>Anti-oxidants</t>
  </si>
  <si>
    <t>Blood flow</t>
  </si>
  <si>
    <t>Fluid regulation</t>
  </si>
  <si>
    <t>Unsure</t>
  </si>
  <si>
    <t>Anti-inflammation</t>
  </si>
  <si>
    <t>Energy substrates</t>
  </si>
  <si>
    <t>Anti-apoptosis/regeneration</t>
  </si>
  <si>
    <t>Thrombolytics</t>
  </si>
  <si>
    <t>Nootropics/cognition</t>
  </si>
  <si>
    <t>Comorbidity</t>
  </si>
  <si>
    <t>Comorbidity_induction</t>
  </si>
  <si>
    <t>Kidney clip</t>
  </si>
  <si>
    <t>Glucose pump</t>
  </si>
  <si>
    <t xml:space="preserve">If the animals being studied had any disease comorbidities such as high blood pressure, diabetes, etc. </t>
  </si>
  <si>
    <t>How the comorbidity was induced, e.g. kidney clips or genetic (SHR strain) for rat hypertension, diet or pumps for diabetic, etc.</t>
  </si>
  <si>
    <t>Infarct_measurement</t>
  </si>
  <si>
    <t>Surname and initials of the paper's first author in the format surname, initial. Other initials.</t>
  </si>
  <si>
    <t>Ozagrel Sodium</t>
  </si>
  <si>
    <t>Heparin</t>
  </si>
  <si>
    <t xml:space="preserve">Time (in hours) relative to stroke induction when initial treatment was adminstered to animal. Number will be negative if administered before stroke and positive if administered after stroke (0 would be at the same time as stroke). </t>
  </si>
  <si>
    <t>Sabra</t>
  </si>
  <si>
    <t>Leptin</t>
  </si>
  <si>
    <t>note: rLV stands for "relative lesion volume" and is a %, calculated by dividing lesion volume by whole brain volume and converting to % (direct). Indirect rLV % is calculated by measuring the difference between the intact hemisphere and the stroke hemisphere (this corrects for tissue wasting away). These %s are % of hemisphere not % of whole brain</t>
  </si>
  <si>
    <t>NSS</t>
  </si>
  <si>
    <t>Yes</t>
  </si>
  <si>
    <t>No</t>
  </si>
  <si>
    <t>db/db</t>
  </si>
  <si>
    <t>Genetic</t>
  </si>
  <si>
    <t>Wild type (WT)</t>
  </si>
  <si>
    <t>EPCs: endothelial progenitor cells</t>
  </si>
  <si>
    <t>Isradipine</t>
  </si>
  <si>
    <t>The time (in hours) post-stroke induction where the infarct size was recorded</t>
  </si>
  <si>
    <t>Chlormethiazole</t>
  </si>
  <si>
    <t>mg/ml</t>
  </si>
  <si>
    <t>Peripheral sensory electrical stimulation (PSS)</t>
  </si>
  <si>
    <t>rTPA (Recombinant tissue plasminogen activator)</t>
  </si>
  <si>
    <t>BM27</t>
  </si>
  <si>
    <t>Pixels (T2 weighted MRI)</t>
  </si>
  <si>
    <t>SB 201823-A</t>
  </si>
  <si>
    <t>Aged</t>
  </si>
  <si>
    <t>Domain V (DV)</t>
  </si>
  <si>
    <t>Retigabine (RTG)</t>
  </si>
  <si>
    <t>NH29</t>
  </si>
  <si>
    <t>QO-58</t>
  </si>
  <si>
    <t>XE991</t>
  </si>
  <si>
    <t>Equitensine</t>
  </si>
  <si>
    <t>Indomethacin</t>
  </si>
  <si>
    <t>MK-801 (dizocilpine maleate)</t>
  </si>
  <si>
    <t>Lubeluzole</t>
  </si>
  <si>
    <t>R91154</t>
  </si>
  <si>
    <t>mm (diameter)</t>
  </si>
  <si>
    <t>High-fat diet + streptozotocin</t>
  </si>
  <si>
    <t>RWJ67657</t>
  </si>
  <si>
    <t>VCP979</t>
  </si>
  <si>
    <t>FES - Functional electrical stimulation</t>
  </si>
  <si>
    <t>mm (craniocaudal extent of lesion)</t>
  </si>
  <si>
    <t>In the case of multiple time points being recorded, only the time point with the largest effect size will be recorded.</t>
  </si>
  <si>
    <t>D-amphetamine</t>
  </si>
  <si>
    <t>BWS - Feeney Beam Walking Score</t>
  </si>
  <si>
    <t>Ast-Tbr2DN</t>
  </si>
  <si>
    <t>Modified Garcia Score</t>
  </si>
  <si>
    <t>ECS: extradural cortical stimulation</t>
  </si>
  <si>
    <t>Garcia Score</t>
  </si>
  <si>
    <t>CD-1</t>
  </si>
  <si>
    <t>21-Aminosteroid</t>
  </si>
  <si>
    <t>Microplasmin</t>
  </si>
  <si>
    <t>TPA (tissue plasminogen activator)</t>
  </si>
  <si>
    <t>Bederson Scale</t>
  </si>
  <si>
    <t>Range</t>
  </si>
  <si>
    <t>Melatonin</t>
  </si>
  <si>
    <t>ICR</t>
  </si>
  <si>
    <t>Direct rLV % whole brain</t>
  </si>
  <si>
    <t>Indirect rLV % whole brain</t>
  </si>
  <si>
    <t>Direct rLV % hemisphere</t>
  </si>
  <si>
    <t>Indirect rLV % hemisphere</t>
  </si>
  <si>
    <t>Clark 28 point scale</t>
  </si>
  <si>
    <t>CI range</t>
  </si>
  <si>
    <t>CNβ knockout</t>
  </si>
  <si>
    <t>PERK inhibitor (PI)</t>
  </si>
  <si>
    <t>Zoletil</t>
  </si>
  <si>
    <t>Cell injection</t>
  </si>
  <si>
    <t>Task-specific training (TST)</t>
  </si>
  <si>
    <t>5-Aza-dC</t>
  </si>
  <si>
    <r>
      <t>Tiletamine</t>
    </r>
    <r>
      <rPr>
        <sz val="11"/>
        <color rgb="FF4D5156"/>
        <rFont val="Calibri"/>
        <family val="2"/>
        <scheme val="minor"/>
      </rPr>
      <t>-</t>
    </r>
    <r>
      <rPr>
        <sz val="11"/>
        <color theme="1"/>
        <rFont val="Calibri"/>
        <family val="2"/>
        <scheme val="minor"/>
      </rPr>
      <t>Zolazepam</t>
    </r>
  </si>
  <si>
    <t>Npas4 knockout</t>
  </si>
  <si>
    <t>2'MeO6MF</t>
  </si>
  <si>
    <t>IRF2BP2 knockout</t>
  </si>
  <si>
    <r>
      <t>IFN</t>
    </r>
    <r>
      <rPr>
        <sz val="11"/>
        <color theme="1"/>
        <rFont val="Calibri"/>
        <family val="2"/>
        <scheme val="minor"/>
      </rPr>
      <t>β</t>
    </r>
    <r>
      <rPr>
        <sz val="11"/>
        <color theme="1"/>
        <rFont val="Calibri"/>
        <family val="2"/>
        <scheme val="minor"/>
      </rPr>
      <t xml:space="preserve"> (Interferon beta)</t>
    </r>
  </si>
  <si>
    <t>Dabrafenib</t>
  </si>
  <si>
    <t>FN-439 (tetrapeptidyl hydroxamic acid)</t>
  </si>
  <si>
    <t>Flunarizine</t>
  </si>
  <si>
    <t>Lubeluzole R-isomer</t>
  </si>
  <si>
    <t>Magnesium</t>
  </si>
  <si>
    <t>GCaMP3</t>
  </si>
  <si>
    <t>GCaMP6</t>
  </si>
  <si>
    <t>ChR2</t>
  </si>
  <si>
    <t>NDS (Neurodeficit Score Evaluation)</t>
  </si>
  <si>
    <t xml:space="preserve">ratio of hemisphere volumes (intact hemisphere/stroke hemisphere) </t>
  </si>
  <si>
    <t>Enflurane</t>
  </si>
  <si>
    <t>mm (rostrocaudal extent of lesion)</t>
  </si>
  <si>
    <t>SHR/Kyushu</t>
  </si>
  <si>
    <t>SHR/Izm</t>
  </si>
  <si>
    <t>L655,708</t>
  </si>
  <si>
    <t>CX1837</t>
  </si>
  <si>
    <t>Cx3CR1-GFP</t>
  </si>
  <si>
    <t>2,2'-Dipyridyl (2,2'-Bipyridine)</t>
  </si>
  <si>
    <t>Guanosine (GUO)</t>
  </si>
  <si>
    <t>Citicoline</t>
  </si>
  <si>
    <t>CIMT (Constraint-induced movement therapy)</t>
  </si>
  <si>
    <t>G-CSF (Granulocyte-colony stimulating factor)</t>
  </si>
  <si>
    <t>BM-MNCs (bone marrow derived mononuclear cells)</t>
  </si>
  <si>
    <t>Ketanserin</t>
  </si>
  <si>
    <t>BALB/c-nu</t>
  </si>
  <si>
    <t>ECFCs (Endothelial colony-forming cells)</t>
  </si>
  <si>
    <t>Urethane</t>
  </si>
  <si>
    <t>BAPTA</t>
  </si>
  <si>
    <t>Swiss</t>
  </si>
  <si>
    <t>mL</t>
  </si>
  <si>
    <t>High molecular weight (HMW) glycosaminoglycanes (di4,6S)</t>
  </si>
  <si>
    <t>Ancrod</t>
  </si>
  <si>
    <t>Talampanel</t>
  </si>
  <si>
    <t>Chronic colitis</t>
  </si>
  <si>
    <t>DSS (dextran sodium sulfate)</t>
  </si>
  <si>
    <t>DBS (Deep brain stimulation)</t>
  </si>
  <si>
    <t>MyMRKO</t>
  </si>
  <si>
    <t>Floxed controls (FC)</t>
  </si>
  <si>
    <t>Eplerenone</t>
  </si>
  <si>
    <t>Ovariectomy (OVX)</t>
  </si>
  <si>
    <t>h-LEH (high oxygen affinity liposome-encapsulated hemoglobin)</t>
  </si>
  <si>
    <t>cm3</t>
  </si>
  <si>
    <t>Fasudil-Lip</t>
  </si>
  <si>
    <t>Treatment classes with drugs included in each: (will classify this list at the end of data extraction)</t>
  </si>
  <si>
    <t>Binary (yes/no)</t>
  </si>
  <si>
    <t>Any notes on the paper/my extraction</t>
  </si>
  <si>
    <t>Multiple_timepoints</t>
  </si>
  <si>
    <t>Multiple_doses</t>
  </si>
  <si>
    <t>Variables for administrative purposes</t>
  </si>
  <si>
    <t>Light grey is simply used to help tell individual studies apart. Different studies will alternate grey and white colours.</t>
  </si>
  <si>
    <t>This variable exists because absolute brain volumes differ between in vivo brains, and ex vivo brains. Additionally, the different ways brain tissue can be prepared can change brain volume.</t>
  </si>
  <si>
    <t xml:space="preserve">How was the tissue prepared and infarct measured? E.g. from fresh TTC stained brains, histology of ex vivo brains, or MRI? </t>
  </si>
  <si>
    <t>MRI (in vivo)</t>
  </si>
  <si>
    <t>TTC (ex vivo)</t>
  </si>
  <si>
    <t>Other histology (ex vivo)</t>
  </si>
  <si>
    <t xml:space="preserve">The minimum age of the animals used in the study in weeks (if reported) at the beginning of the experiment. </t>
  </si>
  <si>
    <t xml:space="preserve">The average age of the animals used in the study in weeks (if reported) at the beginning of the experiment. </t>
  </si>
  <si>
    <t>The maximum age of the animals used in the study in weeks (if reported) at the beginning of the experiment.</t>
  </si>
  <si>
    <t xml:space="preserve">The minimum weight of the animals used in the study in grams (if reported) at the beginning of the experiment. </t>
  </si>
  <si>
    <t xml:space="preserve">The average weight of the animals used in the study in grams (if reported) at the beginning of the experiment. </t>
  </si>
  <si>
    <t xml:space="preserve">The maximum weight of the animals used in the study in grams (if reported) at the beginning of the experiment. </t>
  </si>
  <si>
    <t>FK506 (Tacrolimus)</t>
  </si>
  <si>
    <t>Han–Wist</t>
  </si>
  <si>
    <t>Enriched cage environment</t>
  </si>
  <si>
    <t>Exercise cage environment</t>
  </si>
  <si>
    <t>Vibrissae-barrel-field stimulation</t>
  </si>
  <si>
    <t>Hyperglycemia</t>
  </si>
  <si>
    <t>Dextrose treatment</t>
  </si>
  <si>
    <t>Dextrose</t>
  </si>
  <si>
    <t>Mannitol</t>
  </si>
  <si>
    <t>129/SvEv</t>
  </si>
  <si>
    <t>Xylazine</t>
  </si>
  <si>
    <t>Batroxobin</t>
  </si>
  <si>
    <t>P30, Prothymosin alpha (ProT-alpha)</t>
  </si>
  <si>
    <t>"Clinical score"</t>
  </si>
  <si>
    <t>Thy1-ChR2-YFP</t>
  </si>
  <si>
    <t>C1-INH</t>
  </si>
  <si>
    <t>Atropine</t>
  </si>
  <si>
    <t>Hydroxyethyl starch</t>
  </si>
  <si>
    <t>dnSNARE</t>
  </si>
  <si>
    <t>C57BL/6</t>
  </si>
  <si>
    <t>Tribromoethanol</t>
  </si>
  <si>
    <t>Aspirin</t>
  </si>
  <si>
    <t>Etodolac</t>
  </si>
  <si>
    <t>MPL (Monophosphoryl lipid A)</t>
  </si>
  <si>
    <t>LPS (Lipopolysaccharide)</t>
  </si>
  <si>
    <t>Kunming</t>
  </si>
  <si>
    <t>NSC (neural stem cell) transplantation</t>
  </si>
  <si>
    <t>CAPE (caffeic acid phenethyl ester)</t>
  </si>
  <si>
    <t>Beam walking exercise</t>
  </si>
  <si>
    <t>KCL-440</t>
  </si>
  <si>
    <t>CV-4151</t>
  </si>
  <si>
    <t>CTX (Ceftriaxone antibiotic)</t>
  </si>
  <si>
    <t>AdMK (Adenovirus vectors encoding mouse midkine)</t>
  </si>
  <si>
    <t>Cilostazol</t>
  </si>
  <si>
    <t>Clopidogrel</t>
  </si>
  <si>
    <t>FR210575</t>
  </si>
  <si>
    <t>Ibuprofen</t>
  </si>
  <si>
    <t>Mthfr+/+ (C57BL/6 variant)</t>
  </si>
  <si>
    <t>Mthfr+/- (C57BL/6 variant)</t>
  </si>
  <si>
    <t>1-methoxyoctadecan-1-ol</t>
  </si>
  <si>
    <t>SAA (Salvianolic acid A)</t>
  </si>
  <si>
    <t>Stress (restraint)</t>
  </si>
  <si>
    <t>Tiletamine</t>
  </si>
  <si>
    <t>Ether</t>
  </si>
  <si>
    <t>BSF468248</t>
  </si>
  <si>
    <t>Triflavin</t>
  </si>
  <si>
    <t>Squirrel monkey (Saimiri sciureus)</t>
  </si>
  <si>
    <t>YM337</t>
  </si>
  <si>
    <t>Five-point scale (Crowell et al. 1970)</t>
  </si>
  <si>
    <t>HEUS (Hexane extracts of Uncaria sinensis)</t>
  </si>
  <si>
    <t>ES (electrical stimulation)</t>
  </si>
  <si>
    <t>0-4 scale = Menzies scale</t>
  </si>
  <si>
    <t>Stroke-prone SHR (Spontaneously Hypertensive Rat)</t>
  </si>
  <si>
    <t>TTC-909</t>
  </si>
  <si>
    <t>MCK-PGC-1alpha</t>
  </si>
  <si>
    <t>LEH (TRM-645)</t>
  </si>
  <si>
    <t>Blood transfusion</t>
  </si>
  <si>
    <t>Liposomes (empty)</t>
  </si>
  <si>
    <t>SNO-PEG-Hb (S-nitrosylated pegylated hemoglobin)</t>
  </si>
  <si>
    <t>PEG-Hb (Pegylated hemoglobin)</t>
  </si>
  <si>
    <t>0-3 scale, 0 = good, 3 = worst, paper:S-Nitrosylated Pegylated Hemoglobin Reduces the Size of Cerebral Infarction in Rats</t>
  </si>
  <si>
    <t>0-3 scale</t>
  </si>
  <si>
    <t>Argatroban</t>
  </si>
  <si>
    <t>Hartley</t>
  </si>
  <si>
    <t>ME3277</t>
  </si>
  <si>
    <t>Japanese White</t>
  </si>
  <si>
    <t>BDNF (Brain-derived neurotrophic factor)</t>
  </si>
  <si>
    <t>Aged has been put as a comorbidity for animals one year or older, it may be re-calculated at a later date using the data in the "age" variables.</t>
  </si>
  <si>
    <t>Equithesin</t>
  </si>
  <si>
    <t>Cycloheximide</t>
  </si>
  <si>
    <t>LIGA20</t>
  </si>
  <si>
    <t>PET (in vivo)</t>
  </si>
  <si>
    <t>U-74389G (Methylated Tirilazad)</t>
  </si>
  <si>
    <t>Electroacupuncture</t>
  </si>
  <si>
    <t>Does the paper have outcome measurements at multiple timepoints? This data extraction will only take one timepoint (the most effective/biggest change from control, or if only control data available, the closest to 24 hours), but in the future we may go back to collect the extra times.</t>
  </si>
  <si>
    <t>Shuanghe-tang</t>
  </si>
  <si>
    <t>Zengsunsiwu-tang</t>
  </si>
  <si>
    <t>VEGF antagonist (Vascular endothelial growth factor antagonist)</t>
  </si>
  <si>
    <t>FR183998</t>
  </si>
  <si>
    <t>Anti-GPIbalpha antibodies</t>
  </si>
  <si>
    <t>JON/A-F(ab)2</t>
  </si>
  <si>
    <t>Low-molecular-weight heparin (LMWH)</t>
  </si>
  <si>
    <t>Cerebrolysin</t>
  </si>
  <si>
    <t>pNestin-GFP</t>
  </si>
  <si>
    <t>Diet change</t>
  </si>
  <si>
    <t>Medetomidine</t>
  </si>
  <si>
    <t>Osteopontin (OPN)</t>
  </si>
  <si>
    <t>LLLT (Low-level light therapy)</t>
  </si>
  <si>
    <t>Direct rLV % cortex</t>
  </si>
  <si>
    <t>Indirect rLV % cortex</t>
  </si>
  <si>
    <t>Polygonum multiflorum hexane extract (HEPM)</t>
  </si>
  <si>
    <t>Polygonum multiflorum methanol extract (MEPM)</t>
  </si>
  <si>
    <t>Polygonum multiflorum ethyl acetate extract (EAEPM)</t>
  </si>
  <si>
    <t>Cimetidine</t>
  </si>
  <si>
    <t>Bmal1-/-</t>
  </si>
  <si>
    <t>Bmal1+/+</t>
  </si>
  <si>
    <t>Y-27632</t>
  </si>
  <si>
    <t>Fasudil</t>
  </si>
  <si>
    <t>Sodium thiopental</t>
  </si>
  <si>
    <t>pTUS (pulsed transcranial ultrasound stimulation)</t>
  </si>
  <si>
    <t>IP3R2 knockout</t>
  </si>
  <si>
    <t>MPEP (pyridine)</t>
  </si>
  <si>
    <t>LY367385</t>
  </si>
  <si>
    <t>Calpeptin</t>
  </si>
  <si>
    <t>hBMSC (human bone marrow mesenchymal stem cell)</t>
  </si>
  <si>
    <t>Kito 100 point score</t>
  </si>
  <si>
    <t>PMV (platelet membrane vesicles)</t>
  </si>
  <si>
    <t>PNB (platelet membrane-derived nanobubbles)</t>
  </si>
  <si>
    <t>Cystamine</t>
  </si>
  <si>
    <t>BALB/c</t>
  </si>
  <si>
    <t>Hypoxic preconditioning</t>
  </si>
  <si>
    <t>L-isoserine</t>
  </si>
  <si>
    <t>Tiagabine</t>
  </si>
  <si>
    <t>(S)-SNAP-5114</t>
  </si>
  <si>
    <t>EF-1502</t>
  </si>
  <si>
    <t>Minocycline</t>
  </si>
  <si>
    <t>sTNF-alphaR1</t>
  </si>
  <si>
    <t>ZL006</t>
  </si>
  <si>
    <t>Fentanyl/fluanisone</t>
  </si>
  <si>
    <t>Midazolam</t>
  </si>
  <si>
    <t>Anti-Nogo-A</t>
  </si>
  <si>
    <t>Amyloid plaques</t>
  </si>
  <si>
    <t>Ketasol</t>
  </si>
  <si>
    <t>Xylasol</t>
  </si>
  <si>
    <t>Bepridil</t>
  </si>
  <si>
    <t>C57BL/6xDBA</t>
  </si>
  <si>
    <t>hAPPsl</t>
  </si>
  <si>
    <t>Dexmedetomidine</t>
  </si>
  <si>
    <t>EA (ellagic acid)</t>
  </si>
  <si>
    <t>Alpha-linolenic acid</t>
  </si>
  <si>
    <t>C57Bl/6–129Sv-129Ola</t>
  </si>
  <si>
    <t>GFAP-/-Vim-/-</t>
  </si>
  <si>
    <t>SPARC-/-</t>
  </si>
  <si>
    <t>B6129SF2/J</t>
  </si>
  <si>
    <t>Memantine</t>
  </si>
  <si>
    <t>ITH33/IQM9.21</t>
  </si>
  <si>
    <t>3-aminobenzamide (3-AB)</t>
  </si>
  <si>
    <t>4-(1-phenyl-cyclohexyl)-phenol (AC-131)</t>
  </si>
  <si>
    <t>Cynomolgus monkey (Macaca fascicularis, crab-eating macaque)</t>
  </si>
  <si>
    <t>TS-011 (N-(3-chloro-4-morpholin-4-yl) phenyl-N′-hydroxyimido formamide)</t>
  </si>
  <si>
    <t>Alcohol</t>
  </si>
  <si>
    <t>cm2</t>
  </si>
  <si>
    <t>ddY</t>
  </si>
  <si>
    <t>C6-4 (N1-Hexyl-1,4-butanediamine)</t>
  </si>
  <si>
    <t>C9-4 (N1-Nonyl-1,4-butanediamine)</t>
  </si>
  <si>
    <t>C13-4 (N1-Tridecyl-1,4-butanediamine)</t>
  </si>
  <si>
    <t>MDL72527</t>
  </si>
  <si>
    <t>N-benzylhydroxylamine</t>
  </si>
  <si>
    <t>SUN9216</t>
  </si>
  <si>
    <t>Inogatran</t>
  </si>
  <si>
    <t>Melagatran/Ximelagatran</t>
  </si>
  <si>
    <t>Iron dextran</t>
  </si>
  <si>
    <t>Ferric Chloride (FeCl3)</t>
  </si>
  <si>
    <t>Aminoguanidine (Pimagedine, hemisulfate salt)</t>
  </si>
  <si>
    <t>SMTP-7</t>
  </si>
  <si>
    <t>Edaravone (MCI-186)</t>
  </si>
  <si>
    <t>Bryostatin-1</t>
  </si>
  <si>
    <t>% (not specified percentage of)</t>
  </si>
  <si>
    <t>hCMEC/D3 (human cerebral microendothelial cells)</t>
  </si>
  <si>
    <t>FK419</t>
  </si>
  <si>
    <t>Tirofiban</t>
  </si>
  <si>
    <t>TAK-937</t>
  </si>
  <si>
    <t>129/Sv</t>
  </si>
  <si>
    <t>Endothelial stem cell transplantation</t>
  </si>
  <si>
    <t>Lep/ob (obese)</t>
  </si>
  <si>
    <t>Obesity</t>
  </si>
  <si>
    <t>PAI-1-/-</t>
  </si>
  <si>
    <t>High fat diet</t>
  </si>
  <si>
    <t>tPA-/-</t>
  </si>
  <si>
    <t>Oxaloacetic acid</t>
  </si>
  <si>
    <t>Diazoxide</t>
  </si>
  <si>
    <t>5-HD (5-hydroxydecanoate)</t>
  </si>
  <si>
    <t>TB34 (N1,N4,N8-tri-benzyl-spermidine)</t>
  </si>
  <si>
    <t>Nimodipine</t>
  </si>
  <si>
    <t>Longa score</t>
  </si>
  <si>
    <t>TOM7 siRNA</t>
  </si>
  <si>
    <t>PINK1 (PTEN-induced kinase 1)</t>
  </si>
  <si>
    <t>Prasugrel</t>
  </si>
  <si>
    <t>GVS-111</t>
  </si>
  <si>
    <t>KCL (Potassium chloride)</t>
  </si>
  <si>
    <t>PNU282987</t>
  </si>
  <si>
    <t>ZnDPBG</t>
  </si>
  <si>
    <t>Doxycycline</t>
  </si>
  <si>
    <t>Batimastat</t>
  </si>
  <si>
    <t>MEUS (Methanol extracts of Uncaria sinensis)</t>
  </si>
  <si>
    <t>EAEUS (Ethyl acetate extracts of Uncaria sinensis)</t>
  </si>
  <si>
    <t>PEG-IGF-I</t>
  </si>
  <si>
    <t>CD73-/-</t>
  </si>
  <si>
    <t>5'-nucleotidase</t>
  </si>
  <si>
    <t>Sulforaphane</t>
  </si>
  <si>
    <t>Arginine (L-Arg)</t>
  </si>
  <si>
    <t>Galectin-1</t>
  </si>
  <si>
    <t>TLR2+/−</t>
  </si>
  <si>
    <t>Paw placement score</t>
  </si>
  <si>
    <t>129S1/SvImJ</t>
  </si>
  <si>
    <t>Q4 mouse</t>
  </si>
  <si>
    <t>SR141716A</t>
  </si>
  <si>
    <t>EPO (erythropoietin)</t>
  </si>
  <si>
    <t>EPO-Fc</t>
  </si>
  <si>
    <t>Nicotinamide</t>
  </si>
  <si>
    <t>N-acetylcysteine</t>
  </si>
  <si>
    <t>Spermine-less Gy</t>
  </si>
  <si>
    <t>TG2-/-</t>
  </si>
  <si>
    <t>B6C3H</t>
  </si>
  <si>
    <t>Methoctramine</t>
  </si>
  <si>
    <t>Relative size (control as baseline)</t>
  </si>
  <si>
    <t>USPIO (ultrasmall superparamagnetic iron oxide)</t>
  </si>
  <si>
    <t>Plaferon-LB</t>
  </si>
  <si>
    <t>MicroRNA-124 loaded nanoparticles</t>
  </si>
  <si>
    <t>MicroRNA-124 (scrambled) loaded nanoparticles</t>
  </si>
  <si>
    <t>Modified Menzies scale</t>
  </si>
  <si>
    <t>M2-macrophages (anti-inflammatory)</t>
  </si>
  <si>
    <t>M1-macrophages (pro-inflammatory)</t>
  </si>
  <si>
    <t>MC-21-antibody</t>
  </si>
  <si>
    <t>Cl2MDP (dichloromethylene diphosphonate)</t>
  </si>
  <si>
    <t>Anisomycin</t>
  </si>
  <si>
    <t>Vinpocetine (Cavinton)</t>
  </si>
  <si>
    <t>Fabomotizole (Afobazole)</t>
  </si>
  <si>
    <t>DHbetaE</t>
  </si>
  <si>
    <t>Ro25-6981</t>
  </si>
  <si>
    <t>Yamamoto 1988 score</t>
  </si>
  <si>
    <t>ONO-5046</t>
  </si>
  <si>
    <t>Anti-PMN antibody</t>
  </si>
  <si>
    <t>Fluoxetine</t>
  </si>
  <si>
    <t>Sertraline</t>
  </si>
  <si>
    <t>Cytarabine (Ara-C)</t>
  </si>
  <si>
    <t>C3aR-/-</t>
  </si>
  <si>
    <t>GFAP-C3a</t>
  </si>
  <si>
    <t>C57BL/6CNr</t>
  </si>
  <si>
    <t>C3a peptide</t>
  </si>
  <si>
    <t>FV Leiden</t>
  </si>
  <si>
    <t>Solulin</t>
  </si>
  <si>
    <t>NBQX</t>
  </si>
  <si>
    <t>Y-26763</t>
  </si>
  <si>
    <t>YM90K</t>
  </si>
  <si>
    <t>S-312-d</t>
  </si>
  <si>
    <t>EPC-K1</t>
  </si>
  <si>
    <t>R-147176</t>
  </si>
  <si>
    <t>CBX (Carbenoxolone)</t>
  </si>
  <si>
    <t>HDAC2-/-</t>
  </si>
  <si>
    <t>SAHA (Suberoylanilide hydroxamic acid, Vorinostat)</t>
  </si>
  <si>
    <t>nL</t>
  </si>
  <si>
    <t>GFP-M</t>
  </si>
  <si>
    <t>Insulin</t>
  </si>
  <si>
    <t>Streptozotocin</t>
  </si>
  <si>
    <t>GIF-0173</t>
  </si>
  <si>
    <t>Hv1-/-</t>
  </si>
  <si>
    <t>Respiratory intervention</t>
  </si>
  <si>
    <t>Genistein</t>
  </si>
  <si>
    <t>Ellagic acid</t>
  </si>
  <si>
    <t>Propyl gallate</t>
  </si>
  <si>
    <t>Quinazoline</t>
  </si>
  <si>
    <t>Anti-Ox2</t>
  </si>
  <si>
    <t>Anti-Ox4</t>
  </si>
  <si>
    <t>Anti-Ox5</t>
  </si>
  <si>
    <t>Anti-Ox6</t>
  </si>
  <si>
    <t>Apo(a) transgenic</t>
  </si>
  <si>
    <t>ApoE deficient</t>
  </si>
  <si>
    <t>LDL-R deficient</t>
  </si>
  <si>
    <t>N-acetylcysteine ethyl ester</t>
  </si>
  <si>
    <t>N-acetylcysteine benzyl ester</t>
  </si>
  <si>
    <t>MS-153</t>
  </si>
  <si>
    <t>U74006F</t>
  </si>
  <si>
    <t>2,2'-dipyridyl (DP)</t>
  </si>
  <si>
    <t>Dutch</t>
  </si>
  <si>
    <t>RP 48740 (platelet activating factor)</t>
  </si>
  <si>
    <t>OLETF (Otsuka Long-Evans Tokushima Fatty)</t>
  </si>
  <si>
    <t>LETO (Long-Evans Tokushima Otsuka, control for diabetic OLETF)</t>
  </si>
  <si>
    <t>AMD3100 (CXCR4 inhibitor)</t>
  </si>
  <si>
    <t>Psgl-1-/-</t>
  </si>
  <si>
    <t>Lupus</t>
  </si>
  <si>
    <t>Pristane (2,6,10,14-tetramethylpentadecane)</t>
  </si>
  <si>
    <t>Progesterone</t>
  </si>
  <si>
    <t>Marmoset</t>
  </si>
  <si>
    <t>SB 206284-A</t>
  </si>
  <si>
    <t>Immunodeficiency</t>
  </si>
  <si>
    <t>Splenectomy</t>
  </si>
  <si>
    <t>L-trans-2,4-PDC</t>
  </si>
  <si>
    <t>PNS-Rb1</t>
  </si>
  <si>
    <t>Photobiomodulation (laser, PBM)</t>
  </si>
  <si>
    <t>SP.MES</t>
  </si>
  <si>
    <t>Saline drinking water</t>
  </si>
  <si>
    <t>Wistar-Kyoto/Izm</t>
  </si>
  <si>
    <t>SHR-SP/Izm</t>
  </si>
  <si>
    <t>Xylene</t>
  </si>
  <si>
    <t>Lrp4 GFAP-Cre</t>
  </si>
  <si>
    <t>Lrp4 f/f</t>
  </si>
  <si>
    <t>Dextromethorphan</t>
  </si>
  <si>
    <t>K-134</t>
  </si>
  <si>
    <t>sNgR-Fc (soluble Nogo66 receptor)</t>
  </si>
  <si>
    <t>Pbef+/-</t>
  </si>
  <si>
    <t>Zopiclone</t>
  </si>
  <si>
    <t>Risperidone</t>
  </si>
  <si>
    <t>Galanthamine</t>
  </si>
  <si>
    <t>PLTP transgenic</t>
  </si>
  <si>
    <t>PLTP knockout</t>
  </si>
  <si>
    <t>2MeSADP</t>
  </si>
  <si>
    <t>COX-1 -/-</t>
  </si>
  <si>
    <t>COX-1 +/-</t>
  </si>
  <si>
    <t>NOTE: "u" is representing "μ"</t>
  </si>
  <si>
    <t>ug</t>
  </si>
  <si>
    <t>ug/mL</t>
  </si>
  <si>
    <t>ug/uL</t>
  </si>
  <si>
    <t>ul</t>
  </si>
  <si>
    <t>um</t>
  </si>
  <si>
    <t>um (radius)</t>
  </si>
  <si>
    <t>um2</t>
  </si>
  <si>
    <t>GK-2h (hexamethylenediamine)</t>
  </si>
  <si>
    <t>Infarct_SD_control</t>
  </si>
  <si>
    <t>Infarct_SD_treatment</t>
  </si>
  <si>
    <t>Infarct_percent_control</t>
  </si>
  <si>
    <t>Infarct_percent_treatment</t>
  </si>
  <si>
    <t>I will convert between these where possible during data analysis.</t>
  </si>
  <si>
    <t>Calculated in excel after all data collected</t>
  </si>
  <si>
    <t>Infarct control group error in the form of standard deviation. SEM and SE were converted to SD by multiplying by the square root of n</t>
  </si>
  <si>
    <t>Infarct treatment group error in the form of standard deviation. SEM and SE were converted to SD by multiplying by the square root of n</t>
  </si>
  <si>
    <t>Infarct volume for control group as a percent of whole brain volume. Calculated using an average mouse/rat brain volume where original data were presented as a volume instead of a percent. Other animals not calculated</t>
  </si>
  <si>
    <t>Infarct volume for treatment group as a percent of whole brain volume. Calculated using an average mouse/rat brain volume where original data were presented as a volume instead of a percent. Other animals not calculated</t>
  </si>
  <si>
    <t>Multiple mechanisms</t>
  </si>
  <si>
    <t>EPO-TR</t>
  </si>
  <si>
    <t>Lead poisoning</t>
  </si>
  <si>
    <t>Infarct_SD_control_percent</t>
  </si>
  <si>
    <t>Calculated in excel after all data collected, units are original units reported in a study's text</t>
  </si>
  <si>
    <t>Standard deviation of control group converted to a percentage of whole brain volume. Calculated using an average mouse/rat brain volume where original data were presented as a volume instead of a percent. Other animals not calculated</t>
  </si>
  <si>
    <t>Calculated in excel after all data collected, units are percentage of whole brain. Don't need equivalent for treatment group as only using percentage of whole brain in analysis of control groups</t>
  </si>
  <si>
    <t>Alfaxolone/Alfadolone</t>
  </si>
  <si>
    <t>MS-222</t>
  </si>
  <si>
    <t>Harm induction</t>
  </si>
  <si>
    <t xml:space="preserve">Most studies report their animal ages as a range (eg. 10-12 weeks). This is not useable data in statistics software like R so I have split the variable up into minimum (eg 10 weeks), maximum (eg 12 weeks), and average (mean, this will only be added if reported directly in the text. Later any studies reporting only a range will have their mean calculated). If multiple ages are reported the age of the animal at the beginning of the experiment will be used. </t>
  </si>
  <si>
    <t>Many studies report weight as a range (eg 270-310 grams). As above with the variables for age, weight has been split into minimum, mean, and maximum. Mean will be calculated in excel if it isn't directly reported in the text. If multiple weights at different times are reported the weight of the animal at the beginning of the experiment will be used.</t>
  </si>
  <si>
    <t>If a range is given (eg 4-6 animals in each group) a mean will be used (even if this is a decimal, in this example an n of 5 would be used)</t>
  </si>
  <si>
    <t>If the stroke was induced in an awake animal, the anaesthetic used during the initial surgery (if any) will be listed.</t>
  </si>
  <si>
    <t>Conscious</t>
  </si>
  <si>
    <t>ET_dose</t>
  </si>
  <si>
    <t>ET_dose_units</t>
  </si>
  <si>
    <t>The dose of Endothelin-1 given to the animal (the number part of the dose only)</t>
  </si>
  <si>
    <t>The units of the dose of Endothelin-1 given to the animal in direct quantities (eg mg, nmol) or in dose per unit of weight (eg mg/kg) so a direct amount can be calculated. Quantities such as mg/ml given won't be used but calculations may be done to get direct quantities from this if possible, otherwise NR will be used for both ET_dose and ET_dose_units</t>
  </si>
  <si>
    <t>Calculated in excel after all data is collected</t>
  </si>
  <si>
    <t>ET_administration_route</t>
  </si>
  <si>
    <t>ET_brain_depth</t>
  </si>
  <si>
    <t>MCA_occluded</t>
  </si>
  <si>
    <t>Yes/No was the middle cerebral artery the target of the Endothelin-1?</t>
  </si>
  <si>
    <t>What depth/layer of the brain was targeted with Endothelin-1?</t>
  </si>
  <si>
    <t>How was the Endothelin-1 administered? E.g. Dropper, needle</t>
  </si>
  <si>
    <t>How many hours post-surgery was the stroke inducted? For all inductions during surgery this will be 0 or close to 0</t>
  </si>
  <si>
    <t>ET_administration_mins</t>
  </si>
  <si>
    <t>Induction_time_hrs</t>
  </si>
  <si>
    <t>This time does not include any acclimation time where the needle/cannula is left in the tissue to prevent unneccesary tissue damage or injection backwash.</t>
  </si>
  <si>
    <t>Time in minutes that the Endothelin is administered over. E.g. needle incetion lasting for 10 mintes. ) will be used for instant injections or single-dose instant droppers.</t>
  </si>
  <si>
    <t>Analgesic</t>
  </si>
  <si>
    <t>Behavioural_score</t>
  </si>
  <si>
    <t>Does the paper report a composite behavioural score (such as mNSS or Bederson scale).</t>
  </si>
  <si>
    <t>These scores may be collected for future research</t>
  </si>
  <si>
    <t>Histology_stain</t>
  </si>
  <si>
    <t>If infarct was measured using histology, what stain was used? This will be NA if another infarct measurement method was used</t>
  </si>
  <si>
    <t>Level of consciousness of the animal when stroke was initiated. E.g. Conscious, unconscious</t>
  </si>
  <si>
    <t>Unconscious</t>
  </si>
  <si>
    <t>Surface</t>
  </si>
  <si>
    <t>Cortical</t>
  </si>
  <si>
    <t>Subcortical</t>
  </si>
  <si>
    <t>Yes/No binaries</t>
  </si>
  <si>
    <t>Dropper</t>
  </si>
  <si>
    <t>Needle</t>
  </si>
  <si>
    <t>Sponge</t>
  </si>
  <si>
    <t>Osmotic minipump</t>
  </si>
  <si>
    <t>Note: take DWI preferentially, T2 as a second choice</t>
  </si>
  <si>
    <t>Abeysinghe, H. C.</t>
  </si>
  <si>
    <t>Abeysinghe_2015</t>
  </si>
  <si>
    <t>Pre-differentiation of human neural stem cells into GABAergic neurons prior to transplant results in greater repopulation of the damaged brain and accelerates functional recovery after transient ischemic stroke</t>
  </si>
  <si>
    <t>a</t>
  </si>
  <si>
    <t>Guide cannula</t>
  </si>
  <si>
    <t>NOTE: "u" is representing "μ", "p" is representing "ρ"</t>
  </si>
  <si>
    <t>pmol</t>
  </si>
  <si>
    <t>Immunohistochemistry</t>
  </si>
  <si>
    <t>Cresyl violet</t>
  </si>
  <si>
    <t>H&amp;E</t>
  </si>
  <si>
    <t>NeuN</t>
  </si>
  <si>
    <t>Immunofluorescence</t>
  </si>
  <si>
    <t>mm3</t>
  </si>
  <si>
    <t>Animals also immunosuppressed with cyclosporine</t>
  </si>
  <si>
    <t>Infarct_measure_hrs</t>
  </si>
  <si>
    <t>Adkins, D. L.</t>
  </si>
  <si>
    <t>Adkins_2005</t>
  </si>
  <si>
    <t>D-amphetamine enhances skilled reaching after ischemic cortical lesions in rats</t>
  </si>
  <si>
    <t>Animals also trained in pellet reaching for rehabilitation</t>
  </si>
  <si>
    <t>Toluidine blue</t>
  </si>
  <si>
    <t>Amtul, Z.</t>
  </si>
  <si>
    <t>Buprenorphine</t>
  </si>
  <si>
    <t>Amtul_2018</t>
  </si>
  <si>
    <t>The Dynamics of Impaired Blood-Brain Barrier Restoration in a Rat Model of Co-morbid Injury</t>
  </si>
  <si>
    <t>Reported_p_value</t>
  </si>
  <si>
    <t>Numeric/text (continuous)</t>
  </si>
  <si>
    <t>The p-value reported in the text for the control group in question</t>
  </si>
  <si>
    <t>FISP MRI</t>
  </si>
  <si>
    <t>Reference list of treatments from last analysis</t>
  </si>
  <si>
    <t>A-beta peptide</t>
  </si>
  <si>
    <t>NS</t>
  </si>
  <si>
    <t>Baldauf, K.</t>
  </si>
  <si>
    <t>Baldauf_2007</t>
  </si>
  <si>
    <t>Detrimental effects of halothane narcosis on damage after endothelin-1-induced MCAO</t>
  </si>
  <si>
    <t>b</t>
  </si>
  <si>
    <t>&lt;0.05</t>
  </si>
  <si>
    <t>Bayona, N. A.</t>
  </si>
  <si>
    <t>Bayona_2004</t>
  </si>
  <si>
    <t>Propofol neuroprotection in cerebral ischemia and its effects on low-molecular-weight antioxidants and skilled motor tasks</t>
  </si>
  <si>
    <t>Propofol</t>
  </si>
  <si>
    <t>Thionine</t>
  </si>
  <si>
    <t>Bazzigaluppi, P.</t>
  </si>
  <si>
    <t>Bazzigaluppi_2018</t>
  </si>
  <si>
    <t>Oophorectomy Reduces Estradiol Levels and Long-Term Spontaneous Neurovascular Recovery in a Female Rat Model of Focal Ischemic Stroke</t>
  </si>
  <si>
    <t>um3</t>
  </si>
  <si>
    <t>Bennion, D. M.</t>
  </si>
  <si>
    <t>Bennion_2015</t>
  </si>
  <si>
    <t>Activation of the Neuroprotective Angiotensin-Converting Enzyme 2 in Rat Ischemic Stroke</t>
  </si>
  <si>
    <t>umol/L</t>
  </si>
  <si>
    <t>Diminazene (DIZE)</t>
  </si>
  <si>
    <t>methods data from online supplement. Also did unconscious rats but results reporting is ungodly confusing</t>
  </si>
  <si>
    <t>NOTCH3 knockout</t>
  </si>
  <si>
    <t>Bogaert, L.</t>
  </si>
  <si>
    <t>Bogaert_2001</t>
  </si>
  <si>
    <t>The effects of LY393613, nimodipine and verapamil, in focal cerebral ischaemia</t>
  </si>
  <si>
    <t>c</t>
  </si>
  <si>
    <t>Microdialysis probe</t>
  </si>
  <si>
    <t>Lidocaine</t>
  </si>
  <si>
    <t>Primary_analgesic</t>
  </si>
  <si>
    <t>Secondary_analgesic</t>
  </si>
  <si>
    <t>The primary analgesic administered to the animal for pain control (they could interact with Endothelin-1)</t>
  </si>
  <si>
    <t>If more than one is used, the secondary analgesics administered to the animal for pain control (in order of administration)</t>
  </si>
  <si>
    <t>LY 393613</t>
  </si>
  <si>
    <t>Verapamil</t>
  </si>
  <si>
    <t>Bond, A.</t>
  </si>
  <si>
    <t>Bond_1999</t>
  </si>
  <si>
    <t>LY379268, a potent and selective Group II metabotropic glutamate receptor agonist, is neuroprotective in gerbil global, but not focal, cerebral ischaemia</t>
  </si>
  <si>
    <t>LY 379268</t>
  </si>
  <si>
    <t>Callaway, J. K.</t>
  </si>
  <si>
    <t>Callaway_2004</t>
  </si>
  <si>
    <t>Sodium channel blocking activity of AM-36 and sipatrigine (BW619C89): in vitro and in vivo evidence</t>
  </si>
  <si>
    <t>ET_volume_uL</t>
  </si>
  <si>
    <t>If volume is not in uL, it is noted in a comment instead</t>
  </si>
  <si>
    <t>Sipatrigine</t>
  </si>
  <si>
    <t>stroke volume is cortical only</t>
  </si>
  <si>
    <t>&lt;0.001</t>
  </si>
  <si>
    <t>Callaway_1999</t>
  </si>
  <si>
    <t>Delayed treatment with AM-36, a novel neuroprotective agent, reduces neuronal damage after endothelin-1-induced middle cerebral artery occlusion in conscious rats</t>
  </si>
  <si>
    <t>When the paper has the same dose/treatment groups but tries different parameters of the Endothelin-1 model (eg. Different Endothelin-1 doses, different administration times, etc.) or animal model (eg. animal ages, transgenic strains, comorbidities) record them all as we are interested in the model and what model variables affect the outcome. If a paper splits their animals into groups based on recovery (moderate recovery vs poor recovery etc) I will take whichever is the poorest recovery group. If paper has multiple treatment times will only take one (based on biggest results difference from control) but will note the paper as "yes" for this value</t>
  </si>
  <si>
    <t>Does the paper have measurements for multiple doses (or treatment times) of the drug/use combination treatment? This data extraction doesn't focus on drug efficacy so will only take one dose (and no combination treatments), this dose will be the most effective/biggest change (whether positive or negative) from control, but in the future we may go back to collect the extra doses. In the case of multiple control measurements all will be noted.</t>
  </si>
  <si>
    <t>Methohexital</t>
  </si>
  <si>
    <t>AM-36</t>
  </si>
  <si>
    <t>Callaway_2003</t>
  </si>
  <si>
    <t>AM-36, a novel neuroprotective agent, profoundly reduces reactive oxygen species formation and dopamine release in the striatum of conscious rats after endothelin-1-induced middle cerebral artery occlusion</t>
  </si>
  <si>
    <t>&lt;0.01</t>
  </si>
  <si>
    <t>Ceulemans, A. G.</t>
  </si>
  <si>
    <t>Serial semiquantitative imaging of brain damage using micro-SPECT and micro-CT after endothelin-1-induced transient focal cerebral ischemia in rats</t>
  </si>
  <si>
    <t>Ketoprofen</t>
  </si>
  <si>
    <t>Nissl</t>
  </si>
  <si>
    <t>&lt;0.0001</t>
  </si>
  <si>
    <t>Mild hypothermia causes differential, time-dependent changes in cytokine expression and gliosis following endothelin-1-induced transient focal cerebral ischemia</t>
  </si>
  <si>
    <t>Ceulemans_2011_a</t>
  </si>
  <si>
    <t>Ceulemans_2011_b</t>
  </si>
  <si>
    <t>Choi, S. H.</t>
  </si>
  <si>
    <t>Choi_2018</t>
  </si>
  <si>
    <t>Neuroprotective Effects of MAGL (Monoacylglycerol Lipase) Inhibitors in Experimental Ischemic Stroke</t>
  </si>
  <si>
    <t>online only data supplement provided much of the methods</t>
  </si>
  <si>
    <t>JZL184</t>
  </si>
  <si>
    <t>Clarke, J.</t>
  </si>
  <si>
    <t>Clarke_2014</t>
  </si>
  <si>
    <t>Early poststroke experience differentially alters periinfarct layer II and III cortex</t>
  </si>
  <si>
    <t>pmol/uL</t>
  </si>
  <si>
    <t>Both cortical and subcortical</t>
  </si>
  <si>
    <t>Dawson, D. A.</t>
  </si>
  <si>
    <t>Dawson_1994</t>
  </si>
  <si>
    <t>Anti-ischaemic efficacy of a nitric oxide synthase inhibitor and a N-methyl-D-aspartate receptor antagonist in models of transient and permanent focal cerebral ischaemia</t>
  </si>
  <si>
    <t>L-NAME</t>
  </si>
  <si>
    <t>Dawson_1995</t>
  </si>
  <si>
    <t>The neuroprotective efficacy of ebselen (a glutathione peroxidase mimic) on brain damage induced by transient focal cerebral ischaemia in the rat</t>
  </si>
  <si>
    <t>Ebselen</t>
  </si>
  <si>
    <t>De Geyter, D.</t>
  </si>
  <si>
    <t>Neuroprotective efficacy of subcutaneous insulin-like growth factor-I administration in normotensive and hypertensive rats with an ischemic stroke</t>
  </si>
  <si>
    <t>IGF-1 (insulin-like growth factor 1)</t>
  </si>
  <si>
    <t>pg</t>
  </si>
  <si>
    <t>Spontaneously hypertensive rats display reduced microglial activation in response to ischemic stroke and lipopolysaccharide</t>
  </si>
  <si>
    <t>different doses of ET1</t>
  </si>
  <si>
    <t>d</t>
  </si>
  <si>
    <t>Dojo Soeandy, C.</t>
  </si>
  <si>
    <t>Endothelin-1-mediated cerebral ischemia in mice: early cellular events and the role of caspase-3</t>
  </si>
  <si>
    <t>Caspase3 KO</t>
  </si>
  <si>
    <t>Dong, B. C.</t>
  </si>
  <si>
    <t>Dong_2020</t>
  </si>
  <si>
    <t>Effects of CXCR7-neutralizing antibody on neurogenesis in the hippocampal dentate gyrus and cognitive function in the chronic phase of cerebral ischemia</t>
  </si>
  <si>
    <t>Anti-CXCR7</t>
  </si>
  <si>
    <t>Fang, P. C.</t>
  </si>
  <si>
    <t>Fang_2010</t>
  </si>
  <si>
    <t>Combination of NEP 1-40 treatment and motor training enhances behavioral recovery after a focal cortical infarct in rats</t>
  </si>
  <si>
    <t>Paracetamol/Acetaminophen</t>
  </si>
  <si>
    <t>NEP 1-40</t>
  </si>
  <si>
    <t>Motor training</t>
  </si>
  <si>
    <t>Forsse, A.</t>
  </si>
  <si>
    <t>Forsse_2019</t>
  </si>
  <si>
    <t>Cyclosporin A ameliorates cerebral oxidative metabolism and infarct size in the endothelin-1 rat model of transient cerebral ischaemia</t>
  </si>
  <si>
    <t>Used combination anaesthetic: Hypnorm/Dormicum. Had two probes, one in piriform cortex for endothelin 1 and one in striatum for microdialysis.</t>
  </si>
  <si>
    <t>Cyclosporin A</t>
  </si>
  <si>
    <t>Fuxe, K.</t>
  </si>
  <si>
    <t>Fuxe_1992</t>
  </si>
  <si>
    <t>Involvement of local ischemia in endothelin-1 induced lesions of the neostriatum of the anaesthetized rat</t>
  </si>
  <si>
    <t>animals were under anaesthetic for a long time (taking samples before treatment). Tested dihydralazine (aq vasoconstrictor) but I didn't take as gave lesion as % of striatal area</t>
  </si>
  <si>
    <t>Gelb, A. W.</t>
  </si>
  <si>
    <t>Gelb_2002</t>
  </si>
  <si>
    <t>Propofol anesthesia compared to awake reduces infarct size in rats</t>
  </si>
  <si>
    <t>Gilmour, G.</t>
  </si>
  <si>
    <t>Gilmour_2005</t>
  </si>
  <si>
    <t>Amphetamine promotes task-dependent recovery following focal cortical ischaemic lesions in the rat</t>
  </si>
  <si>
    <t>Amphetamine (AMP)</t>
  </si>
  <si>
    <t>Solochrome blue</t>
  </si>
  <si>
    <t>Giuliani, D.</t>
  </si>
  <si>
    <t>Giuliani_2007</t>
  </si>
  <si>
    <t>Neuroprotection in focal cerebral ischemia owing to delayed treatment with melanocortins</t>
  </si>
  <si>
    <t>Melanocortin</t>
  </si>
  <si>
    <t>Gomez-Smith, M.</t>
  </si>
  <si>
    <t>Gomez-Smith_2018</t>
  </si>
  <si>
    <t>Reduced Cerebrovascular Reactivity and Increased Resting Cerebral Perfusion in Rats Exposed to a Cafeteria Diet</t>
  </si>
  <si>
    <t>Henrich-Noack, P.</t>
  </si>
  <si>
    <t>Henrich-Noack_2006</t>
  </si>
  <si>
    <t>Preconditioning with thrombin can be protective or worsen damage after endothelin-1-induced focal ischemia in rats</t>
  </si>
  <si>
    <t>Thrombin</t>
  </si>
  <si>
    <t>Henshall, D. C.</t>
  </si>
  <si>
    <t>Henshall_1999</t>
  </si>
  <si>
    <t>A rat model of endothelin-3-induced middle cerebral artery occlusion with controlled reperfusion</t>
  </si>
  <si>
    <t>FR139317</t>
  </si>
  <si>
    <t>Hewlett, K. A.</t>
  </si>
  <si>
    <t>Hewlett_2006</t>
  </si>
  <si>
    <t>Delayed minocycline treatment reduces long-term functional deficits and histological injury in a rodent model of focal ischemia</t>
  </si>
  <si>
    <t>Hicks, A. U.</t>
  </si>
  <si>
    <t>Hicks_2007</t>
  </si>
  <si>
    <t>Enriched environment enhances transplanted subventricular zone stem cell migration and functional recovery after stroke</t>
  </si>
  <si>
    <t>Hicks_2008</t>
  </si>
  <si>
    <t>Long-term assessment of enriched housing and subventricular zone derived cell transplantation after focal ischemia in rats</t>
  </si>
  <si>
    <t>has a combination group of stem cells + enriched housing</t>
  </si>
  <si>
    <t>Hicks, C. A.</t>
  </si>
  <si>
    <t>Hicks_2000</t>
  </si>
  <si>
    <t>Neuroprotective effects of the neuronal Ca(2+) channel blockers, LY042826 and LY393615 in vivo</t>
  </si>
  <si>
    <t>LY 042826</t>
  </si>
  <si>
    <t>LY 393615</t>
  </si>
  <si>
    <t>Huang, Z. X.</t>
  </si>
  <si>
    <t>Huang_2007</t>
  </si>
  <si>
    <t>Therapeutic effects of hyperbaric oxygen in a rat model of endothelin-1-induced focal cerebral ischemia</t>
  </si>
  <si>
    <t>Hyperbaric oxygen therapy</t>
  </si>
  <si>
    <t>Hume, A. W.</t>
  </si>
  <si>
    <t>Hume_2020</t>
  </si>
  <si>
    <t>Endothelin-1-Induced Ischemic Damage and Functional Impairment Is Mediated Primarily by NR2B-Containing NMDA Receptors</t>
  </si>
  <si>
    <t>Paper will not be included if the stroke is in the brain stem, corpus callosum (i.e. white matter lesions), or cerebellum. The rest of the brain has been categorised into surface, cortical (including hippocampus), or subcortical</t>
  </si>
  <si>
    <t>Jain, S.</t>
  </si>
  <si>
    <t>Jain_2016</t>
  </si>
  <si>
    <t>Transgenic Mice Overexpressing Human Angiotensin I Receptor Gene Are Susceptible to Stroke Injury</t>
  </si>
  <si>
    <t>Hap-I</t>
  </si>
  <si>
    <t>Hap-II</t>
  </si>
  <si>
    <t>Jeffers, M. S.</t>
  </si>
  <si>
    <t>Jeffers_2018</t>
  </si>
  <si>
    <t>Synergistic Effects of Enriched Environment and Task-Specific Reach Training on Poststroke Recovery of Motor Function</t>
  </si>
  <si>
    <t>Joo, H. W.</t>
  </si>
  <si>
    <t>Joo_2012</t>
  </si>
  <si>
    <t>Influence of constraint-induced movement therapy upon evoked potentials in rats with cerebral infarction</t>
  </si>
  <si>
    <t>Tiletamine-Zolazepam</t>
  </si>
  <si>
    <t>Kerr, A. L.</t>
  </si>
  <si>
    <t>Kerr_2018</t>
  </si>
  <si>
    <t>Poststroke exercise is as effective as skilled rehabilitation: Effects in young and aged mice</t>
  </si>
  <si>
    <t>Exercise therapy</t>
  </si>
  <si>
    <t>Kerr_2013</t>
  </si>
  <si>
    <t>Post-stroke protection from maladaptive effects of learning with the non-paretic forelimb by bimanual home cage experience in C57BL/6 mice</t>
  </si>
  <si>
    <t>had complex enriched housing + limb training treatments, took single control value instead of the multiple treatment ones</t>
  </si>
  <si>
    <t>Number of locations in the brain where ET1 was injected/administered. If one area is injected multiple times with the same administration route (e.g. one needle) then this is only listed as one administration site</t>
  </si>
  <si>
    <t>ET_administration_sites</t>
  </si>
  <si>
    <t>Total volume of liquid administered. If there are multiple ijections, they are summed for this value. Where the dose has a volume reported, it is noted here. E.g. 120 pmol of ET in 6 uL of saline, 120 would be noted in ET_dose, pmol would be noted in ET_dose_units, and 6 noted in ET_volume_uL</t>
  </si>
  <si>
    <t>Antibiotic</t>
  </si>
  <si>
    <t>Not counting antibiotic injections, these gathered in a separate variable</t>
  </si>
  <si>
    <t>Enrofloxacin</t>
  </si>
  <si>
    <t>De_Geyter_2013</t>
  </si>
  <si>
    <t>De_Geyter_2012</t>
  </si>
  <si>
    <t>Dojo_Soeandy_2019</t>
  </si>
  <si>
    <t>If any systemic antibiotics were administered, they are listed here. All topical antibiotics are simply recorded as "topical antibiotic" whereas all systemic ones (i.e. injected ones)  are listed by name.</t>
  </si>
  <si>
    <t>Topical antibiotic</t>
  </si>
  <si>
    <t>Unspecified antibiotic</t>
  </si>
  <si>
    <t>Bupivacaine</t>
  </si>
  <si>
    <t>Tribrissen</t>
  </si>
  <si>
    <t>Klimaschewski, L.</t>
  </si>
  <si>
    <t>Klimaschewski_2016</t>
  </si>
  <si>
    <t>siRNA mediated down-regulation of Sprouty2/4 diminishes ischemic brain injury</t>
  </si>
  <si>
    <t>siRNA injection</t>
  </si>
  <si>
    <t>Krstew, E. V.</t>
  </si>
  <si>
    <t>Krstew_2001</t>
  </si>
  <si>
    <t>Neuroprotective effects of mild hyperthermia prior to focal ischemia in conscious rats</t>
  </si>
  <si>
    <t>Lake, E. M.</t>
  </si>
  <si>
    <t>Lake_2015</t>
  </si>
  <si>
    <t>The effects of delayed reduction of tonic inhibition on ischemic lesion and sensorimotor function</t>
  </si>
  <si>
    <t>L-655,708</t>
  </si>
  <si>
    <t>Langdon, K. D.</t>
  </si>
  <si>
    <t>Long-term exposure to high fat diet is bad for your brain: exacerbation of focal ischemic brain injury</t>
  </si>
  <si>
    <t>Langdon_2011</t>
  </si>
  <si>
    <t>&lt;0.04</t>
  </si>
  <si>
    <t>Leasure, J. L.</t>
  </si>
  <si>
    <t>Leasure_2010</t>
  </si>
  <si>
    <t>The effect of mild post-stroke exercise on reactive neurogenesis and recovery of somatosensation in aged rats</t>
  </si>
  <si>
    <t>Liew, H. K.</t>
  </si>
  <si>
    <t>Liew_2015</t>
  </si>
  <si>
    <t>Granulocyte-Colony Stimulating Factor Increases Cerebral Blood Flow via a NO Surge Mediated by Akt/eNOS Pathway to Reduce Ischemic Injury</t>
  </si>
  <si>
    <t>had a combination therapy</t>
  </si>
  <si>
    <t>Livingston-Thomas, J. M.</t>
  </si>
  <si>
    <t>Livingston-Thomas_2013</t>
  </si>
  <si>
    <t>A novel approach to induction and rehabilitation of deficits in forelimb function in a rat model of ischemic stroke</t>
  </si>
  <si>
    <t>Butorphanol</t>
  </si>
  <si>
    <t>Livingston-Thomas_2014</t>
  </si>
  <si>
    <t>Voluntary forced use of the impaired limb following stroke facilitates functional recovery in the rat</t>
  </si>
  <si>
    <t>Machado, A. G.</t>
  </si>
  <si>
    <t>Machado_2013</t>
  </si>
  <si>
    <t>Chronic 30-Hz deep cerebellar stimulation coupled with training enhances post-ischemia motor recovery and peri-infarct synaptophysin expression in rodents</t>
  </si>
  <si>
    <t>MacLellan, C. L.</t>
  </si>
  <si>
    <t>MacLellan_2013</t>
  </si>
  <si>
    <t>A model of persistent learned nonuse following focal ischemia in rats</t>
  </si>
  <si>
    <t>Mansoori, B. K.</t>
  </si>
  <si>
    <t>Mansoori_2014</t>
  </si>
  <si>
    <t>Acute inactivation of the contralesional hemisphere for longer durations improves recovery after cortical injury</t>
  </si>
  <si>
    <t>Muscimol</t>
  </si>
  <si>
    <t>Martínez-Murillo, R.</t>
  </si>
  <si>
    <t>Martínez-Murillo_2009</t>
  </si>
  <si>
    <t>Whole-body periodic acceleration reduces brain damage in a focal ischemia model</t>
  </si>
  <si>
    <t>Periodic acceleration</t>
  </si>
  <si>
    <t>Mastroiacovo, F.</t>
  </si>
  <si>
    <t>Mastroiacovo_2009</t>
  </si>
  <si>
    <t>Induction of the Wnt antagonist, Dickkopf-1, contributes to the development of neuronal death in models of brain focal ischemia</t>
  </si>
  <si>
    <t>Has a pilot study of ET1 stroke volumes at certain times post-stroke</t>
  </si>
  <si>
    <t>Lithium (LiCl)</t>
  </si>
  <si>
    <t>Mastroiacovo_2017</t>
  </si>
  <si>
    <t>Genetic deletion of mGlu2 metabotropic glutamate receptors improves the short-term outcome of cerebral transient focal ischemia</t>
  </si>
  <si>
    <t>McCarthy, C. A.</t>
  </si>
  <si>
    <t>McCarthy_2015</t>
  </si>
  <si>
    <t>PcTx1 affords neuroprotection in a conscious model of stroke in hypertensive rats via selective inhibition of ASIC1a</t>
  </si>
  <si>
    <t>PcTx1</t>
  </si>
  <si>
    <t>McCarthy_2009</t>
  </si>
  <si>
    <t>Angiotensin AT2 receptor stimulation causes neuroprotection in a conscious rat model of stroke</t>
  </si>
  <si>
    <t>CGP42112</t>
  </si>
  <si>
    <t>PD123319</t>
  </si>
  <si>
    <t>McCarthy_2014</t>
  </si>
  <si>
    <t>Direct angiotensin AT2 receptor stimulation using a novel AT2 receptor agonist, compound 21, evokes neuroprotection in conscious hypertensive rats</t>
  </si>
  <si>
    <t>C21 144</t>
  </si>
  <si>
    <t>Moyanova, S. G.</t>
  </si>
  <si>
    <t>Moyanova_2007</t>
  </si>
  <si>
    <t>Multimodal assessment of neuroprotection applied to the use of MK-801 in the endothelin-1 model of transient focal brain ischemia</t>
  </si>
  <si>
    <t>Procaine</t>
  </si>
  <si>
    <t>Gentamicin</t>
  </si>
  <si>
    <t>animals actued as own controls - interesting</t>
  </si>
  <si>
    <t>Moyanova_2011</t>
  </si>
  <si>
    <t>Protective role for type 4 metabotropic glutamate receptors against ischemic brain damage</t>
  </si>
  <si>
    <t>PHCCC</t>
  </si>
  <si>
    <t>Moyanova_2013</t>
  </si>
  <si>
    <t>Age-dependence of sensorimotor and cerebral electroencephalographic asymmetry in rats subjected to unilateral cerebrovascular stroke</t>
  </si>
  <si>
    <t>Mu, X. P.</t>
  </si>
  <si>
    <t>Mu_2017</t>
  </si>
  <si>
    <t>Inhibition of Nkcc1 promotes axonal growth and motor recovery in ischemic rats</t>
  </si>
  <si>
    <t>Bumetanide</t>
  </si>
  <si>
    <t>Nguyen, H. L.</t>
  </si>
  <si>
    <t>Nguyen_2018</t>
  </si>
  <si>
    <t>Hypoxic postconditioning enhances functional recovery following endothelin-1 induced middle cerebral artery occlusion in conscious rats</t>
  </si>
  <si>
    <t>Nishibe, M.</t>
  </si>
  <si>
    <t>Nishibe_2015</t>
  </si>
  <si>
    <t>Rehabilitative training promotes rapid motor recovery but delayed motor map reorganization in a rat cortical ischemic infarct model</t>
  </si>
  <si>
    <t>O'Neill, M. J.</t>
  </si>
  <si>
    <t>LY377770, a novel iGlu5 kainate receptor antagonist with neuroprotective effects in global and focal cerebral ischaemia</t>
  </si>
  <si>
    <t>LY293558</t>
  </si>
  <si>
    <t>LY377770</t>
  </si>
  <si>
    <t>O'Neill_2000_b</t>
  </si>
  <si>
    <t>O'Neill_2000_a</t>
  </si>
  <si>
    <t>ARL 17477, a selective nitric oxide synthase inhibitor, with neuroprotective effects in animal models of global and focal cerebral ischaemia</t>
  </si>
  <si>
    <t>ARL 17477</t>
  </si>
  <si>
    <t>Ottani, A.</t>
  </si>
  <si>
    <t>Ottani_2003</t>
  </si>
  <si>
    <t>Effect of gamma-hydroxybutyrate in two rat models of focal cerebral damage</t>
  </si>
  <si>
    <t>Also did kainic acid induced lesions</t>
  </si>
  <si>
    <t>GHB (gamma-Hydroxybutyric acid)</t>
  </si>
  <si>
    <t>Pagnussat, A. S.</t>
  </si>
  <si>
    <t>Pagnussat_2012</t>
  </si>
  <si>
    <t>Effects of skilled and unskilled training on functional recovery and brain plasticity after focal ischemia in adult rats</t>
  </si>
  <si>
    <t>&gt;0.8</t>
  </si>
  <si>
    <t>Park, L.</t>
  </si>
  <si>
    <t>Park_2000</t>
  </si>
  <si>
    <t>Hypoxic modulation of striatal lesions induced by administration of endothelin-1</t>
  </si>
  <si>
    <t>hypoxia before, during, and after stroke</t>
  </si>
  <si>
    <t>Hypoxia</t>
  </si>
  <si>
    <t>Pavón-Fuentes, N.</t>
  </si>
  <si>
    <t>Pavón-Fuentes_2020</t>
  </si>
  <si>
    <t>Phycocyanobilin reduces brain injury after endothelin-1- induced focal cerebral ischaemia</t>
  </si>
  <si>
    <t>Phycocyanobilin (PCB)</t>
  </si>
  <si>
    <t>Qu, H.</t>
  </si>
  <si>
    <t>Qu_2014</t>
  </si>
  <si>
    <t>Forced limb-use enhances brain plasticity through the cAMP/PKA/CREB signal transduction pathway after stroke in adult rats</t>
  </si>
  <si>
    <t>&gt;0.05</t>
  </si>
  <si>
    <t>Forced limb use</t>
  </si>
  <si>
    <t>have a combined treatment</t>
  </si>
  <si>
    <t>Qu, H. L.</t>
  </si>
  <si>
    <t>Qu_2015</t>
  </si>
  <si>
    <t>Forced limb-use enhanced neurogenesis and behavioral recovery after stroke in the aged rats</t>
  </si>
  <si>
    <t>Rakai, B. D.</t>
  </si>
  <si>
    <t>Rakai_2013</t>
  </si>
  <si>
    <t>Lesion size and behavioral deficits after endothelin-1-induced ischemia are not dependent on time of day</t>
  </si>
  <si>
    <t>no treatments, but have ET1 stroke in the morning and the evening to check for differences. None found + I have no way to record this, so I took the AM (reasoning: most researchers in other studies would be giving strokes in the morning as it lines ub better with our schedules), I ignored the PM</t>
  </si>
  <si>
    <t>Riek-Burchardt, M.</t>
  </si>
  <si>
    <t>Riek-Burchardt_2007</t>
  </si>
  <si>
    <t>No improvement of functional and histological outcome after application of the metabotropic glutamate receptor 5 agonist CHPG in a model of endothelin-1-induced focal ischemia in rats</t>
  </si>
  <si>
    <t>CHPG</t>
  </si>
  <si>
    <t>Schmidt, W.</t>
  </si>
  <si>
    <t>Schmidt_2012</t>
  </si>
  <si>
    <t>Cannabinoid receptor subtypes 1 and 2 mediate long-lasting neuroprotection and improve motor behavior deficits after transient focal cerebral ischemia</t>
  </si>
  <si>
    <t>KN38-7271</t>
  </si>
  <si>
    <t>Schuch, C. P.</t>
  </si>
  <si>
    <t>Schuch_2019</t>
  </si>
  <si>
    <t>An RFID-based activity tracking system to monitor individual rodent behavior in environmental enrichment: Implications for post-stroke cognitive recovery</t>
  </si>
  <si>
    <t>Also reported male/female separately but didn't specify which treatment group they were in so couldn't use it</t>
  </si>
  <si>
    <t>Selvamani, A.</t>
  </si>
  <si>
    <t>Selvamani_2014</t>
  </si>
  <si>
    <t>Circulating miRNA profiles provide a biomarker for severity of stroke outcomes associated with age and sex in a rat model</t>
  </si>
  <si>
    <t>had to calculate mean + SD myself in excel cells as they only reported raw data on the graph</t>
  </si>
  <si>
    <t>Serhan, A.</t>
  </si>
  <si>
    <t>Serhan_2020</t>
  </si>
  <si>
    <t>Neuroprotection by Insulin-like Growth Factor-1 in Rats with Ischemic Stroke is Associated with Microglial Changes and a Reduction in Neuroinflammation</t>
  </si>
  <si>
    <t>Serhan_2019</t>
  </si>
  <si>
    <t>Insulin-Like Growth Factor-1 Is Neuroprotective in Aged Rats With Ischemic Stroke</t>
  </si>
  <si>
    <t>Sharkey, J.</t>
  </si>
  <si>
    <t>Sharkey_1995</t>
  </si>
  <si>
    <t>Characterisation of an experimental model of stroke produced by intracerebral microinjection of endothelin-1 adjacent to the rat middle cerebral artery</t>
  </si>
  <si>
    <t>Sharkey_1994</t>
  </si>
  <si>
    <t>Endothelin-1 induced middle cerebral artery occlusion: pathological consequences and neuroprotective effects of MK801</t>
  </si>
  <si>
    <t>treatment only reported as area, not volume</t>
  </si>
  <si>
    <t>Soylu, H.</t>
  </si>
  <si>
    <t>Soylu_2012</t>
  </si>
  <si>
    <t>Intracortical injection of endothelin-1 induces cortical infarcts in mice: effect of neuronal expression of an adenosine transporter</t>
  </si>
  <si>
    <t>Caffeine</t>
  </si>
  <si>
    <t>hENT1 transgenic</t>
  </si>
  <si>
    <t>Stoop, W.</t>
  </si>
  <si>
    <t>Stoop_2017</t>
  </si>
  <si>
    <t>Post-stroke treatment with 17β-estradiol exerts neuroprotective effects in both normotensive and hypertensive rats</t>
  </si>
  <si>
    <t>17beta-estradiol</t>
  </si>
  <si>
    <t>Sun, X.</t>
  </si>
  <si>
    <t>Sun_2015</t>
  </si>
  <si>
    <t>Fluoxetine enhanced neurogenesis is not translated to functional outcome in stroke rats</t>
  </si>
  <si>
    <t>Sun_2016</t>
  </si>
  <si>
    <t>Fluoxetine Enhances Neurogenesis in Aged Rats with Cortical Infarcts, but This is not Reflected in a Behavioral Recovery</t>
  </si>
  <si>
    <t>Sun, Y.</t>
  </si>
  <si>
    <t>Sun_2017</t>
  </si>
  <si>
    <t>dl-3-n-butylphthalide promotes neuroplasticity and motor recovery in stroke rats</t>
  </si>
  <si>
    <t>DL-NBP (Racemic l-3-n-butylphthalide)</t>
  </si>
  <si>
    <t>Tennant, K. A.</t>
  </si>
  <si>
    <t>Van Hemelrijck, A.</t>
  </si>
  <si>
    <t>Neuroprotective effect of N-acetyl-aspartyl-glutamate in combination with mild hypothermia in the endothelin-1 rat model of focal cerebral ischaemia</t>
  </si>
  <si>
    <t>multiple treatments and multiple treatment times, plus combination treatments</t>
  </si>
  <si>
    <t>NAAG (N-acetyl-aspartyl-glutamate)</t>
  </si>
  <si>
    <t>Vavers, E.</t>
  </si>
  <si>
    <t>Vavers_2016</t>
  </si>
  <si>
    <t>The neuroprotective effects of R-phenibut after focal cerebral ischemia</t>
  </si>
  <si>
    <t>R-phenibut</t>
  </si>
  <si>
    <t>Tramadol</t>
  </si>
  <si>
    <t>Weston, R. M.</t>
  </si>
  <si>
    <t>Weston_2006</t>
  </si>
  <si>
    <t>AM-36 modulates the neutrophil inflammatory response and reduces breakdown of the blood brain barrier after endothelin-1 induced focal brain ischaemia</t>
  </si>
  <si>
    <t>Weston_2007</t>
  </si>
  <si>
    <t>Inflammatory cell infiltration after endothelin-1-induced cerebral ischemia: histochemical and myeloperoxidase correlation with temporal changes in brain injury</t>
  </si>
  <si>
    <t>multiple timepoints of measurement showing increase then decrease in volume</t>
  </si>
  <si>
    <t>Windle, V.</t>
  </si>
  <si>
    <t>Windle_2005</t>
  </si>
  <si>
    <t>Fluoxetine and recovery of motor function after focal ischemia in rats</t>
  </si>
  <si>
    <t>Yager, J. Y.</t>
  </si>
  <si>
    <t>Yager_2005</t>
  </si>
  <si>
    <t>A new model for determining the influence of age and sex on functional recovery following hypoxic-ischemic brain damage</t>
  </si>
  <si>
    <t>e</t>
  </si>
  <si>
    <t>f</t>
  </si>
  <si>
    <t>Yager_2006</t>
  </si>
  <si>
    <t>The influence of aging on recovery following ischemic brain damage</t>
  </si>
  <si>
    <t>Yan, H.</t>
  </si>
  <si>
    <t>Yan_2014</t>
  </si>
  <si>
    <t>Endothelin-1-induced focal cerebral ischemia in the growth hormone/IGF-1 deficient Lewis Dwarf rat</t>
  </si>
  <si>
    <t>Dwarf Lewis rat (dw/dw)</t>
  </si>
  <si>
    <t>Growth hormone</t>
  </si>
  <si>
    <t>Zepeda, R.</t>
  </si>
  <si>
    <t>Zepeda_2016</t>
  </si>
  <si>
    <t>Venlafaxine treatment after endothelin-1-induced cortical stroke modulates growth factor expression and reduces tissue damage in rats</t>
  </si>
  <si>
    <t>Pituitary dwarfism</t>
  </si>
  <si>
    <t>Venlafaxine</t>
  </si>
  <si>
    <t>Zgavc, T.</t>
  </si>
  <si>
    <t>Zgavc_2012</t>
  </si>
  <si>
    <t>The neuroprotective effect of post ischemic brief mild hypothermic treatment correlates with apoptosis, but not with gliosis in endothelin-1 treated rats</t>
  </si>
  <si>
    <t>Mild hypothermia reduces activated caspase-3 up to 1 week after a focal cerebral ischemia induced by endothelin-1 in rats</t>
  </si>
  <si>
    <t>Zgavc_2013_a</t>
  </si>
  <si>
    <t>Zgavc_2013_b</t>
  </si>
  <si>
    <t>Proteomic analysis of global protein expression changes in the endothelin-1 rat model for cerebral ischemia: rescue effect of mild hypothermia</t>
  </si>
  <si>
    <t>Zhao, S.</t>
  </si>
  <si>
    <t>Zhao_2015</t>
  </si>
  <si>
    <t>CXCR4 antagonist AMD3100 reverses the neurogenesis and behavioral recovery promoted by forced limb-use in stroke rats</t>
  </si>
  <si>
    <t>AMD3100</t>
  </si>
  <si>
    <t>Zhao_2013</t>
  </si>
  <si>
    <t>Constraint-induced movement therapy overcomes the intrinsic axonal growth-inhibitory signals in stroke rats</t>
  </si>
  <si>
    <t>Abeysinghe_2014</t>
  </si>
  <si>
    <t>Brain remodelling following endothelin-1 induced stroke in conscious rats</t>
  </si>
  <si>
    <t>Infarct volume given individually across multiple graphs. Infarct mean and SD calculated in excel by myself</t>
  </si>
  <si>
    <t>Biernaskie, J.</t>
  </si>
  <si>
    <t>Biernaskie_2001</t>
  </si>
  <si>
    <t>Enriched rehabilitative training promotes improved forelimb motor function and enhanced dendritic growth after focal ischemic injury</t>
  </si>
  <si>
    <t>"Percentage of volume of remaining tissue compared with the contralateral hemisphere" - converted this to % damage by subtracting from 100</t>
  </si>
  <si>
    <t>Bogaert_2000</t>
  </si>
  <si>
    <t>Neurochemical changes and laser Doppler flowmetry in the endothelin-1 rat model for focal cerebral ischemia</t>
  </si>
  <si>
    <t>also investigated 360 pmol ET1 but only in one rat so didn't take it</t>
  </si>
  <si>
    <t>Chan, H. H.</t>
  </si>
  <si>
    <t>Chan_2017</t>
  </si>
  <si>
    <t>Crossed Cerebellar Atrophy of the Lateral Cerebellar Nucleus in an Endothelin-1-Induced, Rodent Model of Ischemic Stroke</t>
  </si>
  <si>
    <t>Cordova, C. A.</t>
  </si>
  <si>
    <t>Cordova_2014</t>
  </si>
  <si>
    <t>mpaired executive function following ischemic stroke in the rat medial prefrontal cortex</t>
  </si>
  <si>
    <t>Déziel, R. A.</t>
  </si>
  <si>
    <t>Déziel_2015</t>
  </si>
  <si>
    <t>Ischemic lesions localized to the medial prefrontal cortex produce selective deficits in measures of executive function in rats</t>
  </si>
  <si>
    <t>Déziel_2017</t>
  </si>
  <si>
    <t>Effects of endothelin-induced prefrontal cortical lesions on delay discounting in the rat</t>
  </si>
  <si>
    <t>injection in slightly different areas of the prefrontal cortex</t>
  </si>
  <si>
    <t>Domingo, Z.</t>
  </si>
  <si>
    <t>Domingo_2000</t>
  </si>
  <si>
    <t>Diffusion weighted imaging and magnetic resonance spectroscopy in a low flow ischaemia model due to endothelin induced vasospasm</t>
  </si>
  <si>
    <t>timepoints from 30 mins to 180 mins post-stroke</t>
  </si>
  <si>
    <t>Endepols, H.</t>
  </si>
  <si>
    <t>Endepols_2015</t>
  </si>
  <si>
    <t>Longitudinal assessment of infarct progression, brain metabolism and behavior following anterior cerebral artery occlusion in rats</t>
  </si>
  <si>
    <t>Ermine, C. M.</t>
  </si>
  <si>
    <t>Ermine_2019</t>
  </si>
  <si>
    <t>Long-Term Motor Deficit and Diffuse Cortical Atrophy Following Focal Cortical Ischemia in Athymic Rats</t>
  </si>
  <si>
    <t>gave volume of ipsilateral and contralteral cortex. Infarct volume alculated by subtracting these</t>
  </si>
  <si>
    <t>Athymic</t>
  </si>
  <si>
    <t>Hypothyroidism</t>
  </si>
  <si>
    <t>Fifield, K. E.</t>
  </si>
  <si>
    <t>Fifield_2019</t>
  </si>
  <si>
    <t>Prolonged High Fat Diet Worsens the Cellular Response to a Small, Covert-like Ischemic Stroke</t>
  </si>
  <si>
    <t>Fifield_2020</t>
  </si>
  <si>
    <t>Rapid degeneration of neurons in the penumbra region following a small, focal ischemic stroke</t>
  </si>
  <si>
    <t>Fuxe_1997</t>
  </si>
  <si>
    <t>Endothelin-1 induced lesions of the frontoparietal cortex of the rat. A possible model of focal cortical ischemia</t>
  </si>
  <si>
    <t>Gilmour_2004</t>
  </si>
  <si>
    <t>The effects of intracortical endothelin-1 injections on skilled forelimb use: implications for modelling recovery of function after stroke</t>
  </si>
  <si>
    <t>Gramsbergen, J. B.</t>
  </si>
  <si>
    <t>Gramsbergen_2004</t>
  </si>
  <si>
    <t>On-line monitoring of striatum glucose and lactate in the endothelin-1 rat model of transient focal cerebral ischemia using microdialysis and flow-injection analysis with biosensors</t>
  </si>
  <si>
    <t>gave raw data on graph, mean and SD calculated by myslef in excel</t>
  </si>
  <si>
    <t>Gresle, M. M.</t>
  </si>
  <si>
    <t>Gresle_2006</t>
  </si>
  <si>
    <t>Injury to axons and oligodendrocytes following endothelin-1-induced middle cerebral artery occlusion in conscious rats</t>
  </si>
  <si>
    <t>Happ, D. F.</t>
  </si>
  <si>
    <t>Happ_2020</t>
  </si>
  <si>
    <t>Effect of ischemic lesions in medial prefrontal cortex and nucleus accumbens on affective behavior in rats</t>
  </si>
  <si>
    <t>complex paper setup that had either 1 or 2 injections in two brain areas, but also reported the volumes separately for the two brain areas. Simply taking one injection in one area and the volume for that area alone</t>
  </si>
  <si>
    <t>Karhunen, H.</t>
  </si>
  <si>
    <t>Karhunen_2006</t>
  </si>
  <si>
    <t>A long-term video-EEG and behavioral follow-up after endothelin-1 induced middle cerebral artery occlusion in rats</t>
  </si>
  <si>
    <t>Karthikeyan, S.</t>
  </si>
  <si>
    <t>Karthikeyan_2019</t>
  </si>
  <si>
    <t>Characterizing Spontaneous Motor Recovery Following Cortical and Subcortical Stroke in the Rat</t>
  </si>
  <si>
    <t>Kim, S. Y.</t>
  </si>
  <si>
    <t>Kim_2015</t>
  </si>
  <si>
    <t>Experience with the "good" limb induces aberrant synaptic plasticity in the perilesion cortex after stroke</t>
  </si>
  <si>
    <t>Lake, E. M. R.</t>
  </si>
  <si>
    <t>Lake_2017_a</t>
  </si>
  <si>
    <t>Neurovascular unit remodelling in the subacute stage of stroke recovery</t>
  </si>
  <si>
    <t>Lively, S.</t>
  </si>
  <si>
    <t>Lively_2011</t>
  </si>
  <si>
    <t>SC1/hevin and reactive gliosis after transient ischemic stroke in young and aged rats</t>
  </si>
  <si>
    <t>also studied aged rats but no volume reported</t>
  </si>
  <si>
    <t>Livingston-Thomas_2015</t>
  </si>
  <si>
    <t>Assessing cognitive function following medial prefrontal stroke in the rat</t>
  </si>
  <si>
    <t>Macrae, I. M.</t>
  </si>
  <si>
    <t>Macrae_1993</t>
  </si>
  <si>
    <t>Endothelin-1-induced reductions in cerebral blood flow: dose dependency, time course, and neuropathological consequences</t>
  </si>
  <si>
    <t>Marston, H. M.</t>
  </si>
  <si>
    <t>Marston_1995</t>
  </si>
  <si>
    <t>Behavioural assessment of endothelin-1 induced middle cerebral artery occlusion in the rat</t>
  </si>
  <si>
    <t>Mestriner, R. G.</t>
  </si>
  <si>
    <t>Mestriner_2013</t>
  </si>
  <si>
    <t>Behavior outcome after ischemic and hemorrhagic stroke, with similar brain damage, in rats</t>
  </si>
  <si>
    <t>doesn't report mean+error, but graph shows raw values so calculated myself in excel</t>
  </si>
  <si>
    <t>Nguemeni, C.</t>
  </si>
  <si>
    <t>Nguemeni_2015</t>
  </si>
  <si>
    <t>Time course of neuronal death following endothelin-1 induced focal ischemia in rats</t>
  </si>
  <si>
    <t>from 24 to 7 days post-stroke, measured infarct vol change over time</t>
  </si>
  <si>
    <t>O'Bryant, A.</t>
  </si>
  <si>
    <t>O'Bryant_2007</t>
  </si>
  <si>
    <t>Abnormalities in skilled reaching movements are improved by peripheral anesthetization of the less-affected forelimb after sensorimotor cortical infarcts in rats</t>
  </si>
  <si>
    <t>O'Neill_2001</t>
  </si>
  <si>
    <t>LY393615, a novel neuronal Ca(2+) and Na(+) channel blocker with neuroprotective effects in models of in vitro and in vivo cerebral ischemia</t>
  </si>
  <si>
    <t>Riek-Burchardt_2004</t>
  </si>
  <si>
    <t>Detection of chronic sensorimotor impairments in the ladder rung walking task in rats with endothelin-1-induced mild focal ischemia</t>
  </si>
  <si>
    <t>Roome, R. B.</t>
  </si>
  <si>
    <t>Roome_2014</t>
  </si>
  <si>
    <t>A reproducible Endothelin-1 model of forelimb motor cortex stroke in the mouse</t>
  </si>
  <si>
    <t>FVBN</t>
  </si>
  <si>
    <t>Schirrmacher, R.</t>
  </si>
  <si>
    <t>Schirrmacher_2016</t>
  </si>
  <si>
    <t>Which Aspects of Stroke Do Animal Models Capture? A Multitracer Micro-PET Study of Focal Ischemia with Endothelin-1</t>
  </si>
  <si>
    <t>most methods details are in online supplementary data, however the file is completely incorrect and is instead the draft manuscript of another paper, therefore most results are missing</t>
  </si>
  <si>
    <t>Soleman, S.</t>
  </si>
  <si>
    <t>Soleman_2010</t>
  </si>
  <si>
    <t>Sustained sensorimotor impairments after endothelin-1 induced focal cerebral ischemia (stroke) in aged rats</t>
  </si>
  <si>
    <t>Spalletti, C.</t>
  </si>
  <si>
    <t>Spalletti_2014</t>
  </si>
  <si>
    <t>A robotic system for quantitative assessment and poststroke training of forelimb retraction in mice</t>
  </si>
  <si>
    <t>Tennant_2009</t>
  </si>
  <si>
    <t>Sensorimotor behavioral effects of endothelin-1 induced small cortical infarcts in C57BL/6 mice</t>
  </si>
  <si>
    <t>Touvykine, B.</t>
  </si>
  <si>
    <t>Touvykine_2016</t>
  </si>
  <si>
    <t>The Effect of Lesion Size on the Organization of the Ipsilesional and Contralesional Motor Cortex</t>
  </si>
  <si>
    <t>didn't report mean + error, did show raw data on graph so calculated myself in excel</t>
  </si>
  <si>
    <t>Dexamethasone</t>
  </si>
  <si>
    <t>Carprofen</t>
  </si>
  <si>
    <t>Post-ischaemic mild hypothermia inhibits apoptosis in the penumbral region by reducing neuronal nitric oxide synthase activity and thereby preventing endothelin-1-induced hydroxyl radical formation</t>
  </si>
  <si>
    <t>Van_Hemelrijck_2005_a</t>
  </si>
  <si>
    <t>Van_Hemelrijck_2005_b</t>
  </si>
  <si>
    <t>Virley, D.</t>
  </si>
  <si>
    <t>Virley_2004</t>
  </si>
  <si>
    <t>A new primate model of focal stroke: endothelin-1-induced middle cerebral artery occlusion and reperfusion in the common marmoset</t>
  </si>
  <si>
    <t>reported individual animal volumes, used here to calculate means in excel</t>
  </si>
  <si>
    <t>nmol/uL</t>
  </si>
  <si>
    <t>Mepivacaine hydrochloride</t>
  </si>
  <si>
    <t>Wang, W.</t>
  </si>
  <si>
    <t>Wang_2015</t>
  </si>
  <si>
    <t>Trigeminal neuralgia increases cerebral blood flow in a focal cerebral ischemic model in rats</t>
  </si>
  <si>
    <t>also had a group with a sutured facial nerve, but I have no idea how to classify that as a treatment so I am only taking the control group.</t>
  </si>
  <si>
    <t>Ward, N. M.</t>
  </si>
  <si>
    <t>Ward_1998</t>
  </si>
  <si>
    <t>Simple and choice reaction-time performance following occlusion of the anterior cerebral arteries in the rat</t>
  </si>
  <si>
    <t>did two experiments with same ET-1 methods but different behaviour tests, just took largest infarct vol of the two</t>
  </si>
  <si>
    <t>Weishaupt, N.</t>
  </si>
  <si>
    <t>Weishaupt_2016</t>
  </si>
  <si>
    <t>Prefrontal Ischemia in the Rat Leads to Secondary Damage and Inflammation in Remote Gray and White Matter Regions</t>
  </si>
  <si>
    <t>reported raw values in graph, mean + sd calculated in excel</t>
  </si>
  <si>
    <t>Windle_2006</t>
  </si>
  <si>
    <t>An analysis of four different methods of producing focal cerebral ischemia with endothelin-1 in the rat</t>
  </si>
  <si>
    <t>g</t>
  </si>
  <si>
    <t>h</t>
  </si>
  <si>
    <t>i</t>
  </si>
  <si>
    <t>Wright, E. A.</t>
  </si>
  <si>
    <t>Wright_2016</t>
  </si>
  <si>
    <t>Absolute Cerebral Blood Flow Infarction Threshold for 3-Hour Ischemia Time Determined with CT Perfusion and 18F-FFMZ-PET Imaging in a Porcine Model of Cerebral Ischemia</t>
  </si>
  <si>
    <t>Duroc Cross</t>
  </si>
  <si>
    <t>Zhang, R.</t>
  </si>
  <si>
    <t>Zhang_2016</t>
  </si>
  <si>
    <t>Establishment and characterization of porcine focal cerebral ischemic model induced by endothelin-1</t>
  </si>
  <si>
    <t>Danish Domestic</t>
  </si>
  <si>
    <t>ET_dose_pmol</t>
  </si>
  <si>
    <t>Dose of Endothelin-1 converted into standard units (absolute amount given in pmol) where possible</t>
  </si>
  <si>
    <t>mol/L</t>
  </si>
  <si>
    <t>Not yet classified</t>
  </si>
  <si>
    <t>Surgery_primary_anaesthetic</t>
  </si>
  <si>
    <t>Surgery_secondary_anaesthetic</t>
  </si>
  <si>
    <t>Surgery_tertiary_anaesthetic</t>
  </si>
  <si>
    <t>Induction_primary_anaesthetic</t>
  </si>
  <si>
    <t>Induction_secondary_anaesthetic</t>
  </si>
  <si>
    <t>Induction_tertiary_anaesthetic</t>
  </si>
  <si>
    <t>The primary anaesthetic (the anaesthetic listed first) used during surgery to access the brain.</t>
  </si>
  <si>
    <t>The secondary anaesthetic (the anaesthetic listed second if two anaesthetics are combined) used during surgery to access the brain.</t>
  </si>
  <si>
    <t xml:space="preserve">If a third anaesthetic is used (or third listed, if present) during surgery to access the brain. </t>
  </si>
  <si>
    <t>If the stroke was induced in an awake animal, the anaesthetic listed here will be "none". If the stroke was induced in an asleep animal during the same initial surgery to access the brain, the anaesthetics listed here will be the same as those listed under surgery. Some unconscious animals had strokes induced with a different anaesthetic to the one used to access the brain, this will be reflected here.</t>
  </si>
  <si>
    <t>If a third anaesthetic is used (or third listed, if present) while stroke was induced with ET1.</t>
  </si>
  <si>
    <t>The secondary anaesthetic (the anaesthetic listed second if two anaesthetics are combined) used while stroke was induced with ET1.</t>
  </si>
  <si>
    <t>The primary anaesthetic (the anaesthetic listed first) used while stroke was induced with ET1.</t>
  </si>
  <si>
    <t>Had multiple durations of halothane anaesthesia. I took the largest, 180 minutes</t>
  </si>
  <si>
    <t>Callaway 2000 no stain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</si>
</sst>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3"/>
      <color theme="3"/>
      <name val="Calibri"/>
      <family val="2"/>
      <scheme val="minor"/>
    </font>
    <font>
      <b/>
      <sz val="11"/>
      <color theme="1"/>
      <name val="Calibri"/>
      <family val="2"/>
      <scheme val="minor"/>
    </font>
    <font>
      <sz val="11"/>
      <name val="Calibri"/>
      <family val="2"/>
      <scheme val="minor"/>
    </font>
    <font>
      <sz val="11"/>
      <color rgb="FF9C6500"/>
      <name val="Calibri"/>
      <family val="2"/>
      <scheme val="minor"/>
    </font>
    <font>
      <b/>
      <sz val="12"/>
      <color theme="1"/>
      <name val="Calibri"/>
      <family val="2"/>
      <scheme val="minor"/>
    </font>
    <font>
      <b/>
      <sz val="16"/>
      <color theme="1"/>
      <name val="Calibri"/>
      <family val="2"/>
      <scheme val="minor"/>
    </font>
    <font>
      <vertAlign val="superscript"/>
      <sz val="11"/>
      <color theme="1"/>
      <name val="Calibri"/>
      <family val="2"/>
      <scheme val="minor"/>
    </font>
    <font>
      <sz val="11"/>
      <color theme="1"/>
      <name val="Calibri Light"/>
      <family val="2"/>
      <scheme val="major"/>
    </font>
    <font>
      <sz val="11"/>
      <color theme="1"/>
      <name val="Calibri"/>
      <family val="2"/>
    </font>
    <font>
      <sz val="11"/>
      <color rgb="FF4D5156"/>
      <name val="Calibri"/>
      <family val="2"/>
      <scheme val="minor"/>
    </font>
    <font>
      <sz val="11"/>
      <color rgb="FF006100"/>
      <name val="Calibri"/>
      <family val="2"/>
      <scheme val="minor"/>
    </font>
    <font>
      <sz val="9"/>
      <color theme="1"/>
      <name val="Segoe UI"/>
      <family val="2"/>
    </font>
  </fonts>
  <fills count="11">
    <fill>
      <patternFill patternType="none"/>
    </fill>
    <fill>
      <patternFill patternType="gray125"/>
    </fill>
    <fill>
      <patternFill patternType="solid">
        <fgColor rgb="FFFFEB9C"/>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bgColor indexed="64"/>
      </patternFill>
    </fill>
    <fill>
      <patternFill patternType="solid">
        <fgColor theme="2" tint="-0.249977111117893"/>
        <bgColor indexed="64"/>
      </patternFill>
    </fill>
    <fill>
      <patternFill patternType="solid">
        <fgColor rgb="FFCDACE6"/>
        <bgColor indexed="64"/>
      </patternFill>
    </fill>
    <fill>
      <patternFill patternType="solid">
        <fgColor rgb="FFC6EFCE"/>
      </patternFill>
    </fill>
  </fills>
  <borders count="6">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4" fillId="2" borderId="0" applyNumberFormat="0" applyBorder="0" applyAlignment="0" applyProtection="0"/>
    <xf numFmtId="0" fontId="11" fillId="10" borderId="0" applyNumberFormat="0" applyBorder="0" applyAlignment="0" applyProtection="0"/>
  </cellStyleXfs>
  <cellXfs count="44">
    <xf numFmtId="0" fontId="0" fillId="0" borderId="0" xfId="0"/>
    <xf numFmtId="0" fontId="1" fillId="0" borderId="1" xfId="1"/>
    <xf numFmtId="0" fontId="0" fillId="0" borderId="0" xfId="0" applyAlignment="1">
      <alignment horizontal="left"/>
    </xf>
    <xf numFmtId="0" fontId="2" fillId="0" borderId="0" xfId="0" applyFont="1"/>
    <xf numFmtId="0" fontId="0" fillId="0" borderId="0" xfId="0" applyAlignment="1">
      <alignment wrapText="1"/>
    </xf>
    <xf numFmtId="0" fontId="5" fillId="0" borderId="0" xfId="0" applyFont="1"/>
    <xf numFmtId="0" fontId="6" fillId="0" borderId="0" xfId="0" applyFont="1"/>
    <xf numFmtId="0" fontId="1" fillId="0" borderId="1" xfId="1" applyAlignment="1">
      <alignment wrapText="1"/>
    </xf>
    <xf numFmtId="0" fontId="0" fillId="3" borderId="0" xfId="0" applyFill="1"/>
    <xf numFmtId="0" fontId="0" fillId="3" borderId="0" xfId="0" applyFill="1" applyAlignment="1">
      <alignment wrapText="1"/>
    </xf>
    <xf numFmtId="0" fontId="0" fillId="4" borderId="0" xfId="0" applyFill="1"/>
    <xf numFmtId="0" fontId="0" fillId="5" borderId="0" xfId="0" applyFill="1"/>
    <xf numFmtId="0" fontId="0" fillId="6" borderId="0" xfId="0" applyFill="1"/>
    <xf numFmtId="0" fontId="8" fillId="0" borderId="0" xfId="0" applyFont="1"/>
    <xf numFmtId="0" fontId="9" fillId="0" borderId="0" xfId="0" applyFont="1"/>
    <xf numFmtId="0" fontId="3" fillId="0" borderId="0" xfId="0" applyFont="1"/>
    <xf numFmtId="0" fontId="0" fillId="7" borderId="0" xfId="0" applyFill="1" applyAlignment="1">
      <alignment wrapText="1"/>
    </xf>
    <xf numFmtId="0" fontId="0" fillId="8" borderId="0" xfId="0" applyFill="1"/>
    <xf numFmtId="0" fontId="0" fillId="0" borderId="3" xfId="0" applyBorder="1"/>
    <xf numFmtId="0" fontId="0" fillId="0" borderId="0" xfId="0" applyAlignment="1">
      <alignment horizontal="center" wrapText="1"/>
    </xf>
    <xf numFmtId="0" fontId="0" fillId="9" borderId="0" xfId="0" applyFill="1"/>
    <xf numFmtId="0" fontId="0" fillId="3" borderId="2" xfId="0" applyFill="1" applyBorder="1"/>
    <xf numFmtId="0" fontId="0" fillId="4" borderId="2" xfId="0" applyFill="1" applyBorder="1"/>
    <xf numFmtId="0" fontId="0" fillId="9" borderId="2" xfId="0" applyFill="1" applyBorder="1"/>
    <xf numFmtId="0" fontId="0" fillId="5" borderId="2" xfId="0" applyFill="1" applyBorder="1"/>
    <xf numFmtId="0" fontId="0" fillId="6" borderId="2" xfId="0" applyFill="1" applyBorder="1"/>
    <xf numFmtId="0" fontId="0" fillId="8" borderId="2" xfId="0" applyFill="1" applyBorder="1"/>
    <xf numFmtId="0" fontId="0" fillId="0" borderId="2" xfId="0" applyBorder="1"/>
    <xf numFmtId="0" fontId="0" fillId="9" borderId="4" xfId="0" applyFill="1" applyBorder="1"/>
    <xf numFmtId="0" fontId="0" fillId="5" borderId="4" xfId="0" applyFill="1" applyBorder="1"/>
    <xf numFmtId="0" fontId="0" fillId="4" borderId="4" xfId="0" applyFill="1" applyBorder="1"/>
    <xf numFmtId="0" fontId="0" fillId="7" borderId="0" xfId="0" applyFill="1"/>
    <xf numFmtId="0" fontId="0" fillId="7" borderId="3" xfId="0" applyFill="1" applyBorder="1"/>
    <xf numFmtId="0" fontId="12" fillId="7" borderId="0" xfId="0" applyFont="1" applyFill="1"/>
    <xf numFmtId="0" fontId="12" fillId="0" borderId="0" xfId="0" applyFont="1" applyAlignment="1">
      <alignment vertical="center"/>
    </xf>
    <xf numFmtId="0" fontId="0" fillId="6" borderId="4" xfId="0" applyFill="1" applyBorder="1"/>
    <xf numFmtId="0" fontId="12" fillId="0" borderId="0" xfId="0" applyFont="1"/>
    <xf numFmtId="0" fontId="11" fillId="0" borderId="0" xfId="3" applyFill="1" applyBorder="1"/>
    <xf numFmtId="0" fontId="11" fillId="0" borderId="0" xfId="3" applyFill="1"/>
    <xf numFmtId="0" fontId="11" fillId="7" borderId="0" xfId="3" applyFill="1"/>
    <xf numFmtId="0" fontId="11" fillId="7" borderId="0" xfId="3" applyFill="1" applyBorder="1"/>
    <xf numFmtId="0" fontId="0" fillId="0" borderId="0" xfId="0" applyAlignment="1">
      <alignment vertical="center"/>
    </xf>
    <xf numFmtId="0" fontId="0" fillId="9" borderId="5" xfId="0" applyFill="1" applyBorder="1"/>
    <xf numFmtId="0" fontId="0" fillId="0" borderId="0" xfId="0" applyAlignment="1">
      <alignment horizontal="center" wrapText="1"/>
    </xf>
  </cellXfs>
  <cellStyles count="4">
    <cellStyle name="Good" xfId="3" builtinId="26"/>
    <cellStyle name="Heading 2" xfId="1" builtinId="17"/>
    <cellStyle name="Neutral 2" xfId="2" xr:uid="{96358669-3489-41F0-9E66-4FB0FB9A1308}"/>
    <cellStyle name="Normal" xfId="0" builtinId="0"/>
  </cellStyles>
  <dxfs count="13">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s>
  <tableStyles count="0" defaultTableStyle="TableStyleMedium2" defaultPivotStyle="PivotStyleLight16"/>
  <colors>
    <mruColors>
      <color rgb="FFCDACE6"/>
      <color rgb="FFFF6161"/>
      <color rgb="FFC59EE2"/>
      <color rgb="FFB17E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Ash Russell" id="{0499562B-EFAF-4D5B-A8CC-C952B70A193C}" userId="S::Ash.Russell@utas.edu.au::b97c4f54-6c60-45e5-ab54-7eaebe7811f5" providerId="AD"/>
  <person displayName="Ash Russell" id="{11DC6066-DA42-40E8-B306-F4C988E85EA0}" userId="S::Allanna.Russell@utas.edu.au::b97c4f54-6c60-45e5-ab54-7eaebe7811f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03-07T01:09:28.23" personId="{0499562B-EFAF-4D5B-A8CC-C952B70A193C}" id="{6A597DF8-CB84-414B-AAE5-6EC35B773E2E}">
    <text>Rats immunosuppressed with cyclosporine, not noted anywhere in data entry</text>
  </threadedComment>
  <threadedComment ref="K2" dT="2023-03-03T10:14:20.84" personId="{0499562B-EFAF-4D5B-A8CC-C952B70A193C}" id="{064713CE-CCE3-4C08-9F7B-9320204A4CCF}">
    <text>"adult"</text>
  </threadedComment>
  <threadedComment ref="AB2" dT="2023-03-03T10:20:57.93" personId="{0499562B-EFAF-4D5B-A8CC-C952B70A193C}" id="{38E995C2-D8A9-4C75-B75F-84492A3207A7}">
    <text>stereotaxically implanted into
the cortex 2 mm dorsal to the right middle cerebral artery
(MCA)</text>
  </threadedComment>
  <threadedComment ref="AN2" dT="2023-03-07T01:09:42.01" personId="{0499562B-EFAF-4D5B-A8CC-C952B70A193C}" id="{C4D24233-67AA-4F9B-99D5-2A7429BDC471}">
    <text>Rats immunosuppressed with cyclosporine, not noted anywhere in data entry</text>
  </threadedComment>
  <threadedComment ref="AB3" dT="2023-04-02T00:39:08.73" personId="{0499562B-EFAF-4D5B-A8CC-C952B70A193C}" id="{95A2BA25-D82C-4B16-8179-6C1FC19137C5}">
    <text>Was "surface" but have changed this to "cortical"</text>
  </threadedComment>
  <threadedComment ref="AF3" dT="2023-03-03T10:54:46.39" personId="{0499562B-EFAF-4D5B-A8CC-C952B70A193C}" id="{1A4166AC-4DBB-4D40-BC47-622B0E21B15D}">
    <text>3ul of endothelin-1 (240 pmol,
0.2ug/ml in sterile saline) was applied to the cortical surface
at a rate of 1 ul/3 min.</text>
  </threadedComment>
  <threadedComment ref="AB4" dT="2023-03-03T11:21:51.63" personId="{0499562B-EFAF-4D5B-A8CC-C952B70A193C}" id="{32EC4B2C-65DE-465F-A781-580DDCA660E9}">
    <text>Striatum</text>
  </threadedComment>
  <threadedComment ref="A5" dT="2023-03-03T23:35:30.88" personId="{0499562B-EFAF-4D5B-A8CC-C952B70A193C}" id="{B2CA5202-36E8-4564-9733-83C8B99373DA}">
    <text>Not reported type of error, come back and try to figure it out, paper very good</text>
  </threadedComment>
  <threadedComment ref="K5" dT="2023-03-03T10:14:20.84" personId="{0499562B-EFAF-4D5B-A8CC-C952B70A193C}" id="{8B515184-B01A-4B6F-B544-FB149BB93844}">
    <text>"adult"</text>
  </threadedComment>
  <threadedComment ref="A6" dT="2023-03-03T23:35:30.88" personId="{0499562B-EFAF-4D5B-A8CC-C952B70A193C}" id="{19E121AD-91D4-4EBF-8B65-813CD5362E74}">
    <text>Not reported type of error, come back and try to figure it out, paper very good</text>
  </threadedComment>
  <threadedComment ref="K6" dT="2023-03-03T10:14:20.84" personId="{0499562B-EFAF-4D5B-A8CC-C952B70A193C}" id="{8A6CDD7D-7CDD-418E-97D7-56B5C8316CD9}">
    <text>"adult"</text>
  </threadedComment>
  <threadedComment ref="U6" dT="2023-03-03T23:22:08.83" personId="{0499562B-EFAF-4D5B-A8CC-C952B70A193C}" id="{C8AD39B1-FBB6-49F0-B43E-AACA13C378A5}">
    <text>Initial implant surgery</text>
  </threadedComment>
  <threadedComment ref="X6" dT="2023-03-03T23:22:28.68" personId="{0499562B-EFAF-4D5B-A8CC-C952B70A193C}" id="{2AC5B25A-E0C6-434C-9DC3-A9B421D8CE85}">
    <text>For actual ET1 induction 14 days later</text>
  </threadedComment>
  <threadedComment ref="A7" dT="2023-03-03T23:57:37.02" personId="{0499562B-EFAF-4D5B-A8CC-C952B70A193C}" id="{0A3C1B2B-5460-4090-9512-F4B51A249F50}">
    <text>The treatment is an anaesthesia - propofol</text>
  </threadedComment>
  <threadedComment ref="K7" dT="2023-03-03T10:14:20.84" personId="{0499562B-EFAF-4D5B-A8CC-C952B70A193C}" id="{77A71117-A981-4F98-895D-6EABEF2DFF06}">
    <text>"adult"</text>
  </threadedComment>
  <threadedComment ref="V7" dT="2023-03-05T00:37:07.00" personId="{0499562B-EFAF-4D5B-A8CC-C952B70A193C}" id="{0CD713B4-F4CA-4624-ABCF-ABB2C4319D1C}">
    <text>Propofol was the treatment, but listed it here too</text>
  </threadedComment>
  <threadedComment ref="AB7" dT="2023-03-03T11:21:51.63" personId="{0499562B-EFAF-4D5B-A8CC-C952B70A193C}" id="{F01B3D5E-4421-44EF-A185-6F56E1B13EE9}">
    <text>Striatum</text>
  </threadedComment>
  <threadedComment ref="AV7" dT="2023-03-07T02:28:03.33" personId="{0499562B-EFAF-4D5B-A8CC-C952B70A193C}" id="{61321BE3-7119-4A78-BE85-8D0157981EB0}">
    <text>baseline</text>
  </threadedComment>
  <threadedComment ref="A8" dT="2023-03-03T23:57:37.02" personId="{0499562B-EFAF-4D5B-A8CC-C952B70A193C}" id="{35A54D03-44E9-402B-B009-899A33F8190B}">
    <text>The treatment is an anaesthesia - propofol</text>
  </threadedComment>
  <threadedComment ref="K8" dT="2023-03-03T10:14:20.84" personId="{0499562B-EFAF-4D5B-A8CC-C952B70A193C}" id="{6F135352-E211-461E-8D85-BF51151F7B24}">
    <text>"adult"</text>
  </threadedComment>
  <threadedComment ref="U8" dT="2023-03-07T02:21:40.90" personId="{0499562B-EFAF-4D5B-A8CC-C952B70A193C}" id="{0A04737E-1CBC-468E-90AC-307B5C88574F}">
    <text>Initial anaesthetic, not present during stroke</text>
  </threadedComment>
  <threadedComment ref="X8" dT="2023-03-05T00:37:07.00" personId="{0499562B-EFAF-4D5B-A8CC-C952B70A193C}" id="{142E3EB7-1AE0-437C-BD2D-D6BAA66D67BD}">
    <text>Propofol was the treatment, but listed it here too</text>
  </threadedComment>
  <threadedComment ref="AB8" dT="2023-03-03T11:21:51.63" personId="{0499562B-EFAF-4D5B-A8CC-C952B70A193C}" id="{0EA2EB6F-468C-412A-8E30-BFAE9AB2082A}">
    <text>Striatum</text>
  </threadedComment>
  <threadedComment ref="AV8" dT="2023-03-07T02:28:12.76" personId="{0499562B-EFAF-4D5B-A8CC-C952B70A193C}" id="{950525DD-4E51-4C9F-816F-DE03F9BC01CE}">
    <text>Compared to awake animals</text>
  </threadedComment>
  <threadedComment ref="A9" dT="2023-03-03T23:57:37.02" personId="{0499562B-EFAF-4D5B-A8CC-C952B70A193C}" id="{CE846273-E05E-4D96-8C52-40C606DA25A8}">
    <text>The treatment is an anaesthesia - propofol</text>
  </threadedComment>
  <threadedComment ref="K9" dT="2023-03-03T10:14:20.84" personId="{0499562B-EFAF-4D5B-A8CC-C952B70A193C}" id="{57C28954-9A3E-408D-A8A0-35C381C93BEA}">
    <text>"adult"</text>
  </threadedComment>
  <threadedComment ref="V9" dT="2023-03-05T00:37:10.31" personId="{0499562B-EFAF-4D5B-A8CC-C952B70A193C}" id="{87557F4C-CEBF-4697-AF78-2BFFB875E1CC}">
    <text>Propofol was the treatment, but listed it here too</text>
  </threadedComment>
  <threadedComment ref="AB9" dT="2023-03-03T11:21:51.63" personId="{0499562B-EFAF-4D5B-A8CC-C952B70A193C}" id="{2F675A94-3C07-40BC-B7DF-C84CFE369852}">
    <text>Striatum</text>
  </threadedComment>
  <threadedComment ref="AV9" dT="2023-03-07T02:28:03.33" personId="{0499562B-EFAF-4D5B-A8CC-C952B70A193C}" id="{97AF9433-C106-40E4-A420-066F70288634}">
    <text>baseline</text>
  </threadedComment>
  <threadedComment ref="A10" dT="2023-03-03T23:57:37.02" personId="{0499562B-EFAF-4D5B-A8CC-C952B70A193C}" id="{FE6716CE-4ABD-4A5E-BD08-06874D2056ED}">
    <text>The treatment is an anaesthesia - propofol</text>
  </threadedComment>
  <threadedComment ref="K10" dT="2023-03-03T10:14:20.84" personId="{0499562B-EFAF-4D5B-A8CC-C952B70A193C}" id="{87BA1287-DC7D-4DA3-8630-38EF7873BD5F}">
    <text>"adult"</text>
  </threadedComment>
  <threadedComment ref="U10" dT="2023-03-07T02:21:37.56" personId="{0499562B-EFAF-4D5B-A8CC-C952B70A193C}" id="{0912EF30-A45A-46E2-8E79-1FA23C1CDB80}">
    <text>Initial anaesthetic, not present during stroke</text>
  </threadedComment>
  <threadedComment ref="X10" dT="2023-03-05T00:37:10.31" personId="{0499562B-EFAF-4D5B-A8CC-C952B70A193C}" id="{329FAAED-ED68-4AD7-AFCC-8545C72B2A7F}">
    <text>Propofol was the treatment, but listed it here too</text>
  </threadedComment>
  <threadedComment ref="AB10" dT="2023-03-03T11:21:51.63" personId="{0499562B-EFAF-4D5B-A8CC-C952B70A193C}" id="{E43E1E77-15E6-4B4D-A6D3-F5F393A65918}">
    <text>Striatum</text>
  </threadedComment>
  <threadedComment ref="AV10" dT="2023-03-07T02:28:12.76" personId="{0499562B-EFAF-4D5B-A8CC-C952B70A193C}" id="{FD92EF5E-DDBD-434C-992D-CD0A7894D12F}">
    <text>Compared to awake animals</text>
  </threadedComment>
  <threadedComment ref="AJ12" dT="2023-03-04T00:22:38.08" personId="{0499562B-EFAF-4D5B-A8CC-C952B70A193C}" id="{2C4E910C-DEEF-4945-8AE7-08FA45609E56}">
    <text>1uL/min</text>
  </threadedComment>
  <threadedComment ref="BA12" dT="2023-03-04T01:01:24.77" personId="{0499562B-EFAF-4D5B-A8CC-C952B70A193C}" id="{9338458A-2D07-4379-9BFC-2AC83D871339}">
    <text>I think, hard to tell from methods</text>
  </threadedComment>
  <threadedComment ref="BJ12" dT="2023-03-04T00:15:18.16" personId="{0499562B-EFAF-4D5B-A8CC-C952B70A193C}" id="{01D30EB1-FD13-469C-8159-41187483CB15}">
    <text>Bederson</text>
  </threadedComment>
  <threadedComment ref="AA13" dT="2023-04-01T23:43:32.14" personId="{0499562B-EFAF-4D5B-A8CC-C952B70A193C}" id="{65B7C6C8-9528-4CFA-A5A9-C246B3FEFFF7}">
    <text>Was microdialysis probe, changed to guide cannula as they are essentially the same thing</text>
  </threadedComment>
  <threadedComment ref="AB13" dT="2023-03-03T11:21:51.63" personId="{0499562B-EFAF-4D5B-A8CC-C952B70A193C}" id="{9140D48F-84B0-493B-9AEB-157B544F972A}">
    <text>Striatum</text>
  </threadedComment>
  <threadedComment ref="AJ13" dT="2023-03-04T01:37:30.39" personId="{0499562B-EFAF-4D5B-A8CC-C952B70A193C}" id="{78677349-DD6A-4292-AF42-FBCD0931028C}">
    <text>1uL/min 6 min</text>
  </threadedComment>
  <threadedComment ref="AA14" dT="2023-04-01T23:43:32.14" personId="{0499562B-EFAF-4D5B-A8CC-C952B70A193C}" id="{62DA0E5B-D251-43C2-B7B5-E1AEC6B07BFF}">
    <text>Was microdialysis probe, changed to guide cannula as they are essentially the same thing</text>
  </threadedComment>
  <threadedComment ref="AB14" dT="2023-03-03T11:21:51.63" personId="{0499562B-EFAF-4D5B-A8CC-C952B70A193C}" id="{56FD7652-43C5-44F7-AEAE-6B6AFB90B161}">
    <text>Striatum</text>
  </threadedComment>
  <threadedComment ref="AJ14" dT="2023-03-04T01:37:30.39" personId="{0499562B-EFAF-4D5B-A8CC-C952B70A193C}" id="{B58A4A55-067C-4437-881A-6AA2CFE2A4EC}">
    <text>1uL/min 6 min</text>
  </threadedComment>
  <threadedComment ref="AA15" dT="2023-04-01T23:43:32.14" personId="{0499562B-EFAF-4D5B-A8CC-C952B70A193C}" id="{3434B894-F95A-4E35-95B5-2762FDDD6A9F}">
    <text>Was microdialysis probe, changed to guide cannula as they are essentially the same thing</text>
  </threadedComment>
  <threadedComment ref="AB15" dT="2023-03-03T11:21:51.63" personId="{0499562B-EFAF-4D5B-A8CC-C952B70A193C}" id="{C8F70BA6-0FF8-488B-9168-64AD2BC99FA1}">
    <text>Striatum</text>
  </threadedComment>
  <threadedComment ref="AJ15" dT="2023-03-04T01:37:30.39" personId="{0499562B-EFAF-4D5B-A8CC-C952B70A193C}" id="{900250C6-BB45-42CF-8F4B-07A7CBFFDE2D}">
    <text>1uL/min 6 min</text>
  </threadedComment>
  <threadedComment ref="R16" dT="2023-03-04T01:43:12.58" personId="{0499562B-EFAF-4D5B-A8CC-C952B70A193C}" id="{E9D44430-E4BC-405A-9D00-D89737601DC7}">
    <text>10-12 animals per group</text>
  </threadedComment>
  <threadedComment ref="T16" dT="2023-03-04T01:43:12.58" personId="{0499562B-EFAF-4D5B-A8CC-C952B70A193C}" id="{D6E93331-4955-4A28-836D-649055A8A726}">
    <text>10-12 animals per group</text>
  </threadedComment>
  <threadedComment ref="AA16" dT="2023-03-04T01:40:00.04" personId="{0499562B-EFAF-4D5B-A8CC-C952B70A193C}" id="{92F8E595-4AF9-4DD6-B3A5-E64FED222A21}">
    <text>Likely needle</text>
  </threadedComment>
  <threadedComment ref="A17" dT="2023-03-04T03:13:32.23" personId="{0499562B-EFAF-4D5B-A8CC-C952B70A193C}" id="{5837EE88-9CA3-4A5B-A2B1-6B633B20486F}">
    <text>Stroke volume calculated from cortical + striatal</text>
  </threadedComment>
  <threadedComment ref="R17" dT="2023-03-04T02:54:13.41" personId="{0499562B-EFAF-4D5B-A8CC-C952B70A193C}" id="{960F8045-091D-436B-B249-9966A5C909D6}">
    <text>4-12 rats per group</text>
  </threadedComment>
  <threadedComment ref="T17" dT="2023-03-04T02:54:13.41" personId="{0499562B-EFAF-4D5B-A8CC-C952B70A193C}" id="{56149095-8C38-4469-B7F7-75D20F2AB6F4}">
    <text>4-12 rats per group</text>
  </threadedComment>
  <threadedComment ref="AB17" dT="2023-03-04T01:47:57.81" personId="{0499562B-EFAF-4D5B-A8CC-C952B70A193C}" id="{72C17F8C-CE36-429B-BD1A-C196E621B690}">
    <text>Piriform cortex</text>
  </threadedComment>
  <threadedComment ref="AT17" dT="2023-03-04T02:48:50.36" personId="{0499562B-EFAF-4D5B-A8CC-C952B70A193C}" id="{C9F035E7-EE94-4615-8C54-43CBB28BC11C}">
    <text>Used their own method of computer recognition which requires no staining: DOI: 10.1016/s0165-0270(00)00278-8</text>
    <extLst>
      <x:ext xmlns:xltc2="http://schemas.microsoft.com/office/spreadsheetml/2020/threadedcomments2" uri="{F7C98A9C-CBB3-438F-8F68-D28B6AF4A901}">
        <xltc2:checksum>3399920790</xltc2:checksum>
        <xltc2:hyperlink startIndex="79" length="29" url="https://doi.org/10.1016/s0165-0270(00)00278-8"/>
      </x:ext>
    </extLst>
  </threadedComment>
  <threadedComment ref="A18" dT="2023-03-04T03:13:32.23" personId="{0499562B-EFAF-4D5B-A8CC-C952B70A193C}" id="{8D116AB4-658F-4A9F-9232-A98E189F85D6}">
    <text>Stroke volume calculated from cortical + striatal</text>
  </threadedComment>
  <threadedComment ref="R18" dT="2023-03-04T02:54:13.41" personId="{0499562B-EFAF-4D5B-A8CC-C952B70A193C}" id="{7DBF065A-C5D1-4CDD-8E15-24FBEC360AFC}">
    <text>4-12 rats per group</text>
  </threadedComment>
  <threadedComment ref="T18" dT="2023-03-04T02:54:13.41" personId="{0499562B-EFAF-4D5B-A8CC-C952B70A193C}" id="{D599A6BD-4874-48B5-99B4-E7D403C52D69}">
    <text>4-12 rats per group</text>
  </threadedComment>
  <threadedComment ref="AB18" dT="2023-03-04T01:47:57.81" personId="{0499562B-EFAF-4D5B-A8CC-C952B70A193C}" id="{39AD6F2E-1780-44D9-A9B8-A7D1F45EDA8D}">
    <text>Piriform cortex</text>
  </threadedComment>
  <threadedComment ref="AT18" dT="2023-03-04T02:48:50.36" personId="{0499562B-EFAF-4D5B-A8CC-C952B70A193C}" id="{CC8E8437-0DCD-4B12-BC3E-CDE6FA5EB8C5}">
    <text>Used their own method of computer recognition which requires no staining: DOI: 10.1016/s0165-0270(00)00278-8</text>
    <extLst>
      <x:ext xmlns:xltc2="http://schemas.microsoft.com/office/spreadsheetml/2020/threadedcomments2" uri="{F7C98A9C-CBB3-438F-8F68-D28B6AF4A901}">
        <xltc2:checksum>3399920790</xltc2:checksum>
        <xltc2:hyperlink startIndex="79" length="29" url="https://doi.org/10.1016/s0165-0270(00)00278-8"/>
      </x:ext>
    </extLst>
  </threadedComment>
  <threadedComment ref="A19" dT="2023-03-04T03:13:39.57" personId="{0499562B-EFAF-4D5B-A8CC-C952B70A193C}" id="{B7DBAAFC-C394-40CF-92FE-919FD15F194E}">
    <text>Stroke volume calculated from cortical + striatal</text>
  </threadedComment>
  <threadedComment ref="AB19" dT="2023-03-04T01:47:57.81" personId="{0499562B-EFAF-4D5B-A8CC-C952B70A193C}" id="{43CB4BD4-F7E3-4566-9D72-32FFA38A0D1F}">
    <text>Piriform cortex</text>
  </threadedComment>
  <threadedComment ref="AT19" dT="2023-03-04T02:48:50.36" personId="{0499562B-EFAF-4D5B-A8CC-C952B70A193C}" id="{879FD053-E962-43B0-A04B-6E67F6F9D2E9}">
    <text>Used their own method of computer recognition which requires no staining: DOI: 10.1016/s0165-0270(00)00278-8</text>
    <extLst>
      <x:ext xmlns:xltc2="http://schemas.microsoft.com/office/spreadsheetml/2020/threadedcomments2" uri="{F7C98A9C-CBB3-438F-8F68-D28B6AF4A901}">
        <xltc2:checksum>3399920790</xltc2:checksum>
        <xltc2:hyperlink startIndex="79" length="29" url="https://doi.org/10.1016/s0165-0270(00)00278-8"/>
      </x:ext>
    </extLst>
  </threadedComment>
  <threadedComment ref="A20" dT="2023-03-04T03:13:43.05" personId="{0499562B-EFAF-4D5B-A8CC-C952B70A193C}" id="{37E6B6B4-6780-4F38-A16C-A6B08EFC54C6}">
    <text>Stroke volume calculated from cortical + striatal</text>
  </threadedComment>
  <threadedComment ref="AB20" dT="2023-03-04T01:47:57.81" personId="{0499562B-EFAF-4D5B-A8CC-C952B70A193C}" id="{D4278603-0B11-421A-84D9-E8FD5CA6733B}">
    <text>Piriform cortex</text>
  </threadedComment>
  <threadedComment ref="AT20" dT="2023-03-04T02:48:50.36" personId="{0499562B-EFAF-4D5B-A8CC-C952B70A193C}" id="{05C48F02-D260-40E2-95ED-7F117A7E01D0}">
    <text>Used their own method of computer recognition which requires no staining: DOI: 10.1016/s0165-0270(00)00278-8</text>
    <extLst>
      <x:ext xmlns:xltc2="http://schemas.microsoft.com/office/spreadsheetml/2020/threadedcomments2" uri="{F7C98A9C-CBB3-438F-8F68-D28B6AF4A901}">
        <xltc2:checksum>3399920790</xltc2:checksum>
        <xltc2:hyperlink startIndex="79" length="29" url="https://doi.org/10.1016/s0165-0270(00)00278-8"/>
      </x:ext>
    </extLst>
  </threadedComment>
  <threadedComment ref="U21" dT="2023-03-04T03:31:12.34" personId="{0499562B-EFAF-4D5B-A8CC-C952B70A193C}" id="{5F803ED3-4D1E-4630-9D62-F824895C38E0}">
    <text>Cannula implantation</text>
  </threadedComment>
  <threadedComment ref="V21" dT="2023-03-04T03:31:19.44" personId="{0499562B-EFAF-4D5B-A8CC-C952B70A193C}" id="{432D2128-C126-4645-AE33-07C9C7E87BF1}">
    <text>Cannula implantation</text>
  </threadedComment>
  <threadedComment ref="X21" dT="2023-03-04T03:31:32.21" personId="{0499562B-EFAF-4D5B-A8CC-C952B70A193C}" id="{131B1A0A-115C-4262-845E-3B4FE5E95C76}">
    <text>ET1 stroke induction</text>
  </threadedComment>
  <threadedComment ref="AB21" dT="2023-03-04T01:47:57.81" personId="{0499562B-EFAF-4D5B-A8CC-C952B70A193C}" id="{62D616EA-7B91-430D-BFC1-23B33131EDFB}">
    <text>Piriform cortex</text>
  </threadedComment>
  <threadedComment ref="AH21" dT="2023-03-04T03:40:30.92" personId="{0499562B-EFAF-4D5B-A8CC-C952B70A193C}" id="{AA9193E8-2C10-42F2-B810-C22F4446B78F}">
    <text>1uL/min 6 mins</text>
  </threadedComment>
  <threadedComment ref="AQ21" dT="2023-03-04T03:41:19.20" personId="{0499562B-EFAF-4D5B-A8CC-C952B70A193C}" id="{AB4BA89E-52D4-47B9-B3E8-E14B941F7CFF}">
    <text>20 mins</text>
  </threadedComment>
  <threadedComment ref="U22" dT="2023-03-04T03:31:12.34" personId="{0499562B-EFAF-4D5B-A8CC-C952B70A193C}" id="{34C0A82A-49C1-4BC9-8A66-07AED7E34600}">
    <text>Cannula implantation</text>
  </threadedComment>
  <threadedComment ref="V22" dT="2023-03-04T03:31:19.44" personId="{0499562B-EFAF-4D5B-A8CC-C952B70A193C}" id="{67EFD8FE-93DF-4E92-B7D5-B997288C5791}">
    <text>Cannula implantation</text>
  </threadedComment>
  <threadedComment ref="X22" dT="2023-03-04T03:31:32.21" personId="{0499562B-EFAF-4D5B-A8CC-C952B70A193C}" id="{9E2DDADC-647B-4C27-836C-8F41493264D2}">
    <text>ET1 stroke induction</text>
  </threadedComment>
  <threadedComment ref="AB22" dT="2023-03-04T01:47:57.81" personId="{0499562B-EFAF-4D5B-A8CC-C952B70A193C}" id="{E9748E9A-4AC7-4BDD-8DDD-0E9E8DD23031}">
    <text>Piriform cortex</text>
  </threadedComment>
  <threadedComment ref="AH22" dT="2023-03-04T03:40:30.92" personId="{0499562B-EFAF-4D5B-A8CC-C952B70A193C}" id="{69FCC51C-645E-46BB-92C2-47641953D5FE}">
    <text>1uL/min 6 mins</text>
  </threadedComment>
  <threadedComment ref="AQ22" dT="2023-03-04T03:41:19.20" personId="{0499562B-EFAF-4D5B-A8CC-C952B70A193C}" id="{F3F7CFAA-2690-446F-9059-75757F60DE58}">
    <text>20 mins</text>
  </threadedComment>
  <threadedComment ref="AJ23" dT="2023-03-04T04:18:58.84" personId="{0499562B-EFAF-4D5B-A8CC-C952B70A193C}" id="{B896DDB5-1473-43E5-9C13-7A307E17E6FA}">
    <text>2uL at 0.2uL per min</text>
  </threadedComment>
  <threadedComment ref="AJ24" dT="2023-03-04T04:18:58.84" personId="{0499562B-EFAF-4D5B-A8CC-C952B70A193C}" id="{989F814F-AF0B-4D74-BC21-B8C859C654AB}">
    <text>2uL at 0.2uL per min</text>
  </threadedComment>
  <threadedComment ref="AB25" dT="2023-03-04T04:33:00.32" personId="{0499562B-EFAF-4D5B-A8CC-C952B70A193C}" id="{061769BF-9A25-4196-AE08-B77DE65B7480}">
    <text>3 injection sites, 2 cortical 1 striatal</text>
  </threadedComment>
  <threadedComment ref="AH25" dT="2023-03-04T04:31:59.69" personId="{0499562B-EFAF-4D5B-A8CC-C952B70A193C}" id="{326A52B8-D250-4D93-AAD5-3925390E5A4C}">
    <text>3 injection sites, this volume is total</text>
  </threadedComment>
  <threadedComment ref="AB26" dT="2023-03-04T04:33:00.32" personId="{0499562B-EFAF-4D5B-A8CC-C952B70A193C}" id="{05A168AA-1FBF-4728-BBC4-470972B23F76}">
    <text>3 injection sites, 2 cortical 1 striatal</text>
  </threadedComment>
  <threadedComment ref="AH26" dT="2023-03-04T04:31:59.69" personId="{0499562B-EFAF-4D5B-A8CC-C952B70A193C}" id="{6320B21A-7CE0-42D5-87DD-7AA93479C560}">
    <text>3 injection sites, this volume is total</text>
  </threadedComment>
  <threadedComment ref="AO26" dT="2023-03-04T22:44:27.01" personId="{0499562B-EFAF-4D5B-A8CC-C952B70A193C}" id="{B1C62B1F-A902-4B70-9C35-71C0CAE057D8}">
    <text>Reach therapy</text>
  </threadedComment>
  <threadedComment ref="K27" dT="2023-03-03T10:14:20.84" personId="{0499562B-EFAF-4D5B-A8CC-C952B70A193C}" id="{A7240C3C-F656-4358-8C7F-C1D4B09D92CC}">
    <text>"adult"</text>
  </threadedComment>
  <threadedComment ref="AB27" dT="2023-04-02T00:39:08.73" personId="{0499562B-EFAF-4D5B-A8CC-C952B70A193C}" id="{8899E835-4073-42F4-B2CE-CA072C11FA37}">
    <text>Was "surface" but have changed this to "cortical"</text>
  </threadedComment>
  <threadedComment ref="K28" dT="2023-03-03T10:14:20.84" personId="{0499562B-EFAF-4D5B-A8CC-C952B70A193C}" id="{BEF60010-A786-4EFF-8F43-D9725D191DE5}">
    <text>"adult"</text>
  </threadedComment>
  <threadedComment ref="AB28" dT="2023-04-02T00:39:08.73" personId="{0499562B-EFAF-4D5B-A8CC-C952B70A193C}" id="{9A71998D-7C77-4930-9EDF-0D067A3F5167}">
    <text>Was "surface" but have changed this to "cortical"</text>
  </threadedComment>
  <threadedComment ref="K29" dT="2023-03-03T10:14:20.84" personId="{0499562B-EFAF-4D5B-A8CC-C952B70A193C}" id="{3A96D40D-9EA2-4B00-834F-C08BD5CB94FF}">
    <text>"adult"</text>
  </threadedComment>
  <threadedComment ref="AB29" dT="2023-04-02T00:39:08.73" personId="{0499562B-EFAF-4D5B-A8CC-C952B70A193C}" id="{65AECA4B-D2D5-4CA8-B0F7-A7391300F607}">
    <text>Was "surface" but have changed this to "cortical"</text>
  </threadedComment>
  <threadedComment ref="AQ29" dT="2023-03-04T05:33:01.89" personId="{0499562B-EFAF-4D5B-A8CC-C952B70A193C}" id="{81C7BA5E-9DA9-4CD7-9952-E5E0337E5F74}">
    <text>40 min prior to stroke</text>
  </threadedComment>
  <threadedComment ref="R30" dT="2023-03-04T06:12:43.13" personId="{0499562B-EFAF-4D5B-A8CC-C952B70A193C}" id="{B521BF61-846B-4491-9141-C87766F3C8C3}">
    <text>4-8</text>
  </threadedComment>
  <threadedComment ref="AJ30" dT="2023-03-04T05:58:48.30" personId="{0499562B-EFAF-4D5B-A8CC-C952B70A193C}" id="{1C1AFAE8-632A-4DD1-8A31-A62BF4AB4E2B}">
    <text>1uL per min for 6 min</text>
  </threadedComment>
  <threadedComment ref="AJ31" dT="2023-03-04T05:58:48.30" personId="{0499562B-EFAF-4D5B-A8CC-C952B70A193C}" id="{9796BA9E-7FB7-44C4-AF7B-569DC1577DD6}">
    <text>1uL per min for 6 min</text>
  </threadedComment>
  <threadedComment ref="AJ32" dT="2023-03-04T05:58:48.30" personId="{0499562B-EFAF-4D5B-A8CC-C952B70A193C}" id="{DA646DA2-EC72-4C0D-8E46-663B78EB5565}">
    <text>1uL per min for 6 min</text>
  </threadedComment>
  <threadedComment ref="AV32" dT="2023-03-04T06:26:53.73" personId="{0499562B-EFAF-4D5B-A8CC-C952B70A193C}" id="{39F51103-47DA-49EB-8928-E3E9C3A5E374}">
    <text>Difference between two strains</text>
  </threadedComment>
  <threadedComment ref="AJ33" dT="2023-03-04T05:58:48.30" personId="{0499562B-EFAF-4D5B-A8CC-C952B70A193C}" id="{64E9C24B-E225-48C7-A6C7-9935C4429F5D}">
    <text>1uL per min for 6 min</text>
  </threadedComment>
  <threadedComment ref="AV33" dT="2023-03-04T06:26:53.73" personId="{0499562B-EFAF-4D5B-A8CC-C952B70A193C}" id="{CD1C0A24-3B99-41C9-80E7-1FF37FCF2AB1}">
    <text>Difference between two strains</text>
  </threadedComment>
  <threadedComment ref="AJ34" dT="2023-03-04T05:58:48.30" personId="{0499562B-EFAF-4D5B-A8CC-C952B70A193C}" id="{FBD91A66-84D4-4A00-A17D-98E61013F904}">
    <text>1uL per min for 6 min</text>
  </threadedComment>
  <threadedComment ref="AV34" dT="2023-03-04T06:26:53.73" personId="{0499562B-EFAF-4D5B-A8CC-C952B70A193C}" id="{888A6560-8806-430D-A70A-D270ACEEDECA}">
    <text>Difference between two strains</text>
  </threadedComment>
  <threadedComment ref="AJ35" dT="2023-03-04T05:58:48.30" personId="{0499562B-EFAF-4D5B-A8CC-C952B70A193C}" id="{2CA45BE0-BA60-4C36-B057-274750FE7EAC}">
    <text>1uL per min for 6 min</text>
  </threadedComment>
  <threadedComment ref="AV35" dT="2023-03-04T06:26:53.73" personId="{0499562B-EFAF-4D5B-A8CC-C952B70A193C}" id="{B13E92AA-E923-436B-A7B9-BFC126B4DBFB}">
    <text>Difference between two strains</text>
  </threadedComment>
  <threadedComment ref="U36" dT="2023-03-04T08:24:17.69" personId="{0499562B-EFAF-4D5B-A8CC-C952B70A193C}" id="{D05CFE47-33EB-488C-A2E1-887AA30653B0}">
    <text>Brand name Avertin</text>
  </threadedComment>
  <threadedComment ref="X36" dT="2023-03-04T08:24:17.69" personId="{0499562B-EFAF-4D5B-A8CC-C952B70A193C}" id="{E9355B59-4172-4E9D-B137-4E8234F5182F}">
    <text>Brand name Avertin</text>
  </threadedComment>
  <threadedComment ref="AA36" dT="2023-03-04T08:31:14.95" personId="{0499562B-EFAF-4D5B-A8CC-C952B70A193C}" id="{387C0AB3-0B73-425C-A811-D761D62598CC}">
    <text>pulled borosilicate glass capillary</text>
  </threadedComment>
  <threadedComment ref="AB36" dT="2023-03-04T08:26:53.87" personId="{0499562B-EFAF-4D5B-A8CC-C952B70A193C}" id="{E1BEC842-4CD3-4EF3-A2F6-82454D4AD1AF}">
    <text>Infusions consisted of
three sites which were 2.0 mm lateral to the midline (mediolateral-
ML) and 0.0, + 1.0 and + 2.0 mm relative to the
bregma (anteroposterior-AP, Fig. 1), affecting arterioles
originating from the anterior cerebral artery via the azygous pericallosal, anterior and middle internal frontal arteries as
previously described [37]. Cannula depth was +1.2 mm relative
to the brain surface (dorsoventral- DV).</text>
  </threadedComment>
  <threadedComment ref="AF36" dT="2023-03-04T08:29:25.00" personId="{0499562B-EFAF-4D5B-A8CC-C952B70A193C}" id="{0800C959-39F4-41F8-B0D9-6936C4D47ACD}">
    <text>1 ug/uL or 160pmol per site</text>
  </threadedComment>
  <threadedComment ref="AH36" dT="2023-03-04T08:27:24.63" personId="{0499562B-EFAF-4D5B-A8CC-C952B70A193C}" id="{C32A0D2E-1978-4A49-9F51-A2179312D78A}">
    <text>400nL* 3</text>
  </threadedComment>
  <threadedComment ref="AV36" dT="2023-03-04T08:41:30.81" personId="{0499562B-EFAF-4D5B-A8CC-C952B70A193C}" id="{1DD919C6-E246-4A63-8344-5488BF83C62E}">
    <text>Comparing WT to KO</text>
  </threadedComment>
  <threadedComment ref="U37" dT="2023-03-04T08:24:17.69" personId="{0499562B-EFAF-4D5B-A8CC-C952B70A193C}" id="{AD35180D-3C73-47B0-A796-D0703EF4EA76}">
    <text>Brand name Avertin</text>
  </threadedComment>
  <threadedComment ref="X37" dT="2023-03-04T08:24:17.69" personId="{0499562B-EFAF-4D5B-A8CC-C952B70A193C}" id="{F77842E8-55D6-4153-A4F4-B6EBBE3360CA}">
    <text>Brand name Avertin</text>
  </threadedComment>
  <threadedComment ref="AA37" dT="2023-03-04T08:31:14.95" personId="{0499562B-EFAF-4D5B-A8CC-C952B70A193C}" id="{B7B38F61-36DC-41A3-A002-6F6C916EDD46}">
    <text>pulled borosilicate glass capillary</text>
  </threadedComment>
  <threadedComment ref="AB37" dT="2023-03-04T08:26:53.87" personId="{0499562B-EFAF-4D5B-A8CC-C952B70A193C}" id="{6B2A694E-5C33-4D16-83A1-A95E9BCDC663}">
    <text>Infusions consisted of
three sites which were 2.0 mm lateral to the midline (mediolateral-
ML) and 0.0, + 1.0 and + 2.0 mm relative to the
bregma (anteroposterior-AP, Fig. 1), affecting arterioles
originating from the anterior cerebral artery via the azygous pericallosal, anterior and middle internal frontal arteries as
previously described [37]. Cannula depth was +1.2 mm relative
to the brain surface (dorsoventral- DV).</text>
  </threadedComment>
  <threadedComment ref="AF37" dT="2023-03-04T08:29:25.00" personId="{0499562B-EFAF-4D5B-A8CC-C952B70A193C}" id="{BB4CA10A-CB0B-49EA-A945-466A3A301572}">
    <text>1 ug/uL or 160pmol per site</text>
  </threadedComment>
  <threadedComment ref="AH37" dT="2023-03-04T08:27:24.63" personId="{0499562B-EFAF-4D5B-A8CC-C952B70A193C}" id="{736C32A5-BB3D-49AB-A069-EEC4B5BD2D6A}">
    <text>400nL* 3</text>
  </threadedComment>
  <threadedComment ref="AV37" dT="2023-03-04T08:41:30.81" personId="{0499562B-EFAF-4D5B-A8CC-C952B70A193C}" id="{8CCD57C6-D95D-4611-80E1-54BA11C28BF1}">
    <text>Comparing WT to KO</text>
  </threadedComment>
  <threadedComment ref="AB38" dT="2023-03-04T09:55:04.38" personId="{0499562B-EFAF-4D5B-A8CC-C952B70A193C}" id="{E4EBE2CB-A9DA-408A-821B-5C0FEACBF157}">
    <text>(three sites represent the stereotactic region of
the striatum and the motor cortex): (1) anteroposterior (AP)
+0.7 mm, mediolateral (ML) +2.2 mm, dorsoventral (DV)
–2.0 mm; (2) AP +2.3 mm, ML +2.5 mm, DV –2.5 mm; (3)
AP +0.7 mm, ML +3.8mm, DV –5.8 mm (2 μL per site).</text>
  </threadedComment>
  <threadedComment ref="AF38" dT="2023-03-29T08:53:45.73" personId="{0499562B-EFAF-4D5B-A8CC-C952B70A193C}" id="{6BE5B710-3816-4B8C-A1AF-371BB47121AA}">
    <text>100ug dissolved in 200uL, so 0.5ug/uL</text>
  </threadedComment>
  <threadedComment ref="AH38" dT="2023-03-04T10:01:32.12" personId="{0499562B-EFAF-4D5B-A8CC-C952B70A193C}" id="{53ED1307-4BD0-46B0-89BA-19F5AFC24971}">
    <text>3 injections 2uL</text>
  </threadedComment>
  <threadedComment ref="AF39" dT="2023-03-04T22:39:28.69" personId="{0499562B-EFAF-4D5B-A8CC-C952B70A193C}" id="{231113B4-231E-4E20-9A77-117AB831706C}">
    <text>0.33 uL endothelin-1 (0.3 ug
dissolved in 1 uL saline</text>
  </threadedComment>
  <threadedComment ref="AF40" dT="2023-03-04T22:39:28.69" personId="{0499562B-EFAF-4D5B-A8CC-C952B70A193C}" id="{082869CF-7F69-494C-8C08-7DC1A4E00161}">
    <text>0.33 uL endothelin-1 (0.3 ug
dissolved in 1 uL saline</text>
  </threadedComment>
  <threadedComment ref="U41" dT="2023-03-04T23:14:31.92" personId="{0499562B-EFAF-4D5B-A8CC-C952B70A193C}" id="{9FE0E966-1872-47FA-8BAD-DAF8492CC3F9}">
    <text>Used combination anaesthetic: Hypnorm/Dormicum.
Fentanyl and fluanisone are separate drugs but the latter is almost never used without the former, and together they make up Hypnorm.</text>
  </threadedComment>
  <threadedComment ref="V41" dT="2023-03-04T23:17:30.69" personId="{0499562B-EFAF-4D5B-A8CC-C952B70A193C}" id="{064610D5-0513-4123-9D90-7D576E24D6CB}">
    <text>Brand name Dormicum</text>
  </threadedComment>
  <threadedComment ref="AA41" dT="2023-04-01T23:43:32.14" personId="{0499562B-EFAF-4D5B-A8CC-C952B70A193C}" id="{12AD5BFD-E26C-4839-AE0A-02993C79AC4D}">
    <text>Was microdialysis probe, changed to guide cannula as they are essentially the same thing</text>
  </threadedComment>
  <threadedComment ref="AB41" dT="2023-03-04T01:47:57.81" personId="{0499562B-EFAF-4D5B-A8CC-C952B70A193C}" id="{BA01D5C4-B96B-405D-936E-5878652EFAAB}">
    <text>Piriform cortex</text>
  </threadedComment>
  <threadedComment ref="AH41" dT="2023-03-04T23:21:29.74" personId="{0499562B-EFAF-4D5B-A8CC-C952B70A193C}" id="{10FCA1FE-CFE9-43DC-8888-AE845615E468}">
    <text>6 + 3 + 3 + 3 μl (10 pmol/μl)</text>
  </threadedComment>
  <threadedComment ref="AR41" dT="2023-03-04T23:41:13.18" personId="{0499562B-EFAF-4D5B-A8CC-C952B70A193C}" id="{7D556307-F7E0-4A30-9FAF-8586BC72B4C4}">
    <text>Stroke took 30 mins and drug was given immediately after, borderline during/after</text>
  </threadedComment>
  <threadedComment ref="R42" dT="2023-03-05T00:30:51.81" personId="{0499562B-EFAF-4D5B-A8CC-C952B70A193C}" id="{2291EE6B-83CC-4C8C-A8D7-10DAB68AFA85}">
    <text>3-4</text>
  </threadedComment>
  <threadedComment ref="AB42" dT="2023-03-04T23:53:20.86" personId="{0499562B-EFAF-4D5B-A8CC-C952B70A193C}" id="{2014B8D5-FA3D-4A78-975F-4CE277803295}">
    <text>Caudate putamen</text>
  </threadedComment>
  <threadedComment ref="AJ42" dT="2023-03-05T00:20:32.04" personId="{0499562B-EFAF-4D5B-A8CC-C952B70A193C}" id="{EA5ECCC0-0AFD-4F4E-B6F5-61E5E2FB13A6}">
    <text>25nl/min</text>
  </threadedComment>
  <threadedComment ref="R43" dT="2023-03-05T00:30:51.81" personId="{0499562B-EFAF-4D5B-A8CC-C952B70A193C}" id="{B252E961-7A92-44D5-BF8C-2D4EFCEB2F97}">
    <text>3-4</text>
  </threadedComment>
  <threadedComment ref="AB43" dT="2023-03-04T23:53:20.86" personId="{0499562B-EFAF-4D5B-A8CC-C952B70A193C}" id="{F6BCA1AE-DA53-49D6-A75E-D5ECCD33BE41}">
    <text>Caudate putamen</text>
  </threadedComment>
  <threadedComment ref="AJ43" dT="2023-03-05T00:20:32.04" personId="{0499562B-EFAF-4D5B-A8CC-C952B70A193C}" id="{C97D6184-A7E4-46CB-BC40-4CFFD3F58DFE}">
    <text>25nl/min</text>
  </threadedComment>
  <threadedComment ref="AV43" dT="2023-03-05T00:58:57.91" personId="{0499562B-EFAF-4D5B-A8CC-C952B70A193C}" id="{1ED03C45-13A5-4198-9093-5C5AA0647235}">
    <text>vs sham dose</text>
  </threadedComment>
  <threadedComment ref="R44" dT="2023-03-05T00:30:51.81" personId="{0499562B-EFAF-4D5B-A8CC-C952B70A193C}" id="{34580135-8D40-46EB-8153-AA6FFA705027}">
    <text>3-4</text>
  </threadedComment>
  <threadedComment ref="AB44" dT="2023-03-04T23:53:20.86" personId="{0499562B-EFAF-4D5B-A8CC-C952B70A193C}" id="{B60D1720-8327-48CB-BF59-33CB1F013255}">
    <text>Caudate putamen</text>
  </threadedComment>
  <threadedComment ref="AJ44" dT="2023-03-05T00:20:32.04" personId="{0499562B-EFAF-4D5B-A8CC-C952B70A193C}" id="{85DF76E0-5AD8-4213-9809-B90681B84CC5}">
    <text>25nl/min</text>
  </threadedComment>
  <threadedComment ref="AV44" dT="2023-03-05T00:58:53.78" personId="{0499562B-EFAF-4D5B-A8CC-C952B70A193C}" id="{4ADD1B88-37B2-4B2D-A7C2-513D6BFA6D82}">
    <text>vs sham dose</text>
  </threadedComment>
  <threadedComment ref="A45" dT="2023-03-05T00:34:34.63" personId="{0499562B-EFAF-4D5B-A8CC-C952B70A193C}" id="{AA2E5AD0-FC2B-44E4-AB52-389F3125BB2F}">
    <text>Animals treated with propofol, an anaesthetic</text>
  </threadedComment>
  <threadedComment ref="R45" dT="2023-03-05T01:04:24.86" personId="{0499562B-EFAF-4D5B-A8CC-C952B70A193C}" id="{16C363C0-E593-49A3-831E-39BDE9E2F190}">
    <text>Pooled 3 controls into one when there was no difference</text>
  </threadedComment>
  <threadedComment ref="AB45" dT="2023-03-03T11:21:51.63" personId="{0499562B-EFAF-4D5B-A8CC-C952B70A193C}" id="{B9D74641-BDC0-4808-BBF6-369262ACC244}">
    <text>Striatum</text>
  </threadedComment>
  <threadedComment ref="AV45" dT="2023-03-07T02:20:38.67" personId="{0499562B-EFAF-4D5B-A8CC-C952B70A193C}" id="{B19D7A70-4DC5-48D9-8D69-5C7CA0845084}">
    <text>Is baseline</text>
  </threadedComment>
  <threadedComment ref="A46" dT="2023-03-05T00:34:34.63" personId="{0499562B-EFAF-4D5B-A8CC-C952B70A193C}" id="{F241AC8D-0959-4220-A22D-9087FD44F2F3}">
    <text>Animals treated with propofol, an anaesthetic</text>
  </threadedComment>
  <threadedComment ref="R46" dT="2023-03-05T01:04:24.86" personId="{0499562B-EFAF-4D5B-A8CC-C952B70A193C}" id="{FD84108F-F707-49A6-A15D-AFCA332DF1AC}">
    <text>Pooled 3 controls into one when there was no difference</text>
  </threadedComment>
  <threadedComment ref="U46" dT="2023-03-07T02:21:10.91" personId="{0499562B-EFAF-4D5B-A8CC-C952B70A193C}" id="{4BEE5743-8B49-4AD8-82DA-8B5EAA1A9C37}">
    <text>Initial anaesthetic, not present during stroke</text>
  </threadedComment>
  <threadedComment ref="X46" dT="2023-03-05T00:37:16.34" personId="{0499562B-EFAF-4D5B-A8CC-C952B70A193C}" id="{7EA655B5-FE1A-44E9-9A02-5ADEB6A27479}">
    <text>Propofol was the treatment, but listed it here too</text>
  </threadedComment>
  <threadedComment ref="AB46" dT="2023-03-03T11:21:51.63" personId="{0499562B-EFAF-4D5B-A8CC-C952B70A193C}" id="{9C6B0FDA-C555-4833-86E9-AED4A95CF359}">
    <text>Striatum</text>
  </threadedComment>
  <threadedComment ref="AV46" dT="2023-03-07T02:20:29.65" personId="{0499562B-EFAF-4D5B-A8CC-C952B70A193C}" id="{C630C83D-CE15-4E72-A621-E58E48B6B868}">
    <text>Compared to awake animal</text>
  </threadedComment>
  <threadedComment ref="U47" dT="2023-03-05T01:09:22.95" personId="{0499562B-EFAF-4D5B-A8CC-C952B70A193C}" id="{34E1DCC5-8616-4456-BD39-A3B014762361}">
    <text>Brand name Avertin</text>
  </threadedComment>
  <threadedComment ref="X47" dT="2023-03-05T01:09:22.95" personId="{0499562B-EFAF-4D5B-A8CC-C952B70A193C}" id="{396BDC4D-1A71-4C4B-BB6F-CA130A0ED55A}">
    <text>Brand name Avertin</text>
  </threadedComment>
  <threadedComment ref="AB47" dT="2023-03-05T01:18:58.37" personId="{0499562B-EFAF-4D5B-A8CC-C952B70A193C}" id="{1C5D98AE-7663-4579-9758-ABDDA0EE9032}">
    <text>3 sites</text>
  </threadedComment>
  <threadedComment ref="AH47" dT="2023-03-05T01:10:47.30" personId="{0499562B-EFAF-4D5B-A8CC-C952B70A193C}" id="{3BEC9387-93A2-4C90-9493-0FFDECF23915}">
    <text>3 x 0.33uL</text>
  </threadedComment>
  <threadedComment ref="AL47" dT="2023-03-05T01:09:46.87" personId="{0499562B-EFAF-4D5B-A8CC-C952B70A193C}" id="{17A4F167-4A0E-47BB-871F-2DCD251F54C6}">
    <text>Antibiotic Tribrissen</text>
  </threadedComment>
  <threadedComment ref="AV47" dT="2023-03-05T01:27:43.15" personId="{0499562B-EFAF-4D5B-A8CC-C952B70A193C}" id="{5B05241B-5FE5-491F-8D4D-D0EF140FFAF4}">
    <text>F&lt;1</text>
  </threadedComment>
  <threadedComment ref="K48" dT="2023-03-03T10:14:20.84" personId="{0499562B-EFAF-4D5B-A8CC-C952B70A193C}" id="{6F744B07-B1FF-4CC3-AEAC-BDE5BAEFAA9D}">
    <text>"adult"</text>
  </threadedComment>
  <threadedComment ref="AB48" dT="2023-03-05T01:31:46.71" personId="{0499562B-EFAF-4D5B-A8CC-C952B70A193C}" id="{C249651F-61F4-4DE7-9844-08902D27561E}">
    <text>neostriatum</text>
  </threadedComment>
  <threadedComment ref="AB49" dT="2023-03-05T02:53:39.65" personId="{0499562B-EFAF-4D5B-A8CC-C952B70A193C}" id="{79AD4C9B-C54C-4A75-A3FB-734A50296CC0}">
    <text>2 injections</text>
  </threadedComment>
  <threadedComment ref="AH49" dT="2023-03-05T02:53:51.95" personId="{0499562B-EFAF-4D5B-A8CC-C952B70A193C}" id="{64FA8702-BE7C-400E-864C-F2785A838DD4}">
    <text>2 x 2uL</text>
  </threadedComment>
  <threadedComment ref="AL49" dT="2023-03-07T02:10:42.06" personId="{0499562B-EFAF-4D5B-A8CC-C952B70A193C}" id="{6CBB266D-735B-41AD-BEB9-2D2841B06C6F}">
    <text>Plus topical bupivacaine</text>
  </threadedComment>
  <threadedComment ref="AO49" dT="2023-03-05T02:10:44.39" personId="{0499562B-EFAF-4D5B-A8CC-C952B70A193C}" id="{1FCA4BBC-3762-4A2E-9829-A33578A4ECA4}">
    <text>"cafeteria" diet</text>
  </threadedComment>
  <threadedComment ref="AP49" dT="2023-03-08T01:27:10.49" personId="{0499562B-EFAF-4D5B-A8CC-C952B70A193C}" id="{0FE606A1-CAC7-4F28-9B5F-3A139669042F}">
    <text>Diet hypothesized to worsen stroke</text>
  </threadedComment>
  <threadedComment ref="A50" dT="2023-03-05T02:59:50.44" personId="{0499562B-EFAF-4D5B-A8CC-C952B70A193C}" id="{45A71820-3374-456C-8A10-F5E38BBBC88C}">
    <text>Paper investigates thrombin, which can show both neuroprotective and neurotoxic effects, I took the highest neuroprotective effect paper showed</text>
  </threadedComment>
  <threadedComment ref="R50" dT="2023-03-05T03:07:01.01" personId="{0499562B-EFAF-4D5B-A8CC-C952B70A193C}" id="{4B905E88-0121-4B80-90E6-D937E289B48C}">
    <text>13-15</text>
  </threadedComment>
  <threadedComment ref="T50" dT="2023-03-05T03:07:01.01" personId="{0499562B-EFAF-4D5B-A8CC-C952B70A193C}" id="{4295F7DD-E9D9-4CB2-B20F-197D77ABEC0B}">
    <text>13-15</text>
  </threadedComment>
  <threadedComment ref="R51" dT="2023-03-05T03:10:01.08" personId="{0499562B-EFAF-4D5B-A8CC-C952B70A193C}" id="{6C8B31FB-51DD-4CDE-AFD5-E90C45E1E75F}">
    <text>8-10</text>
  </threadedComment>
  <threadedComment ref="T51" dT="2023-03-05T03:10:01.08" personId="{0499562B-EFAF-4D5B-A8CC-C952B70A193C}" id="{6975C2C2-3E8C-49C9-A707-7F94D86F516E}">
    <text>8-10</text>
  </threadedComment>
  <threadedComment ref="AJ51" dT="2023-03-05T03:24:23.92" personId="{0499562B-EFAF-4D5B-A8CC-C952B70A193C}" id="{83A71B2A-FF5F-4E88-8C84-3734F5E6B0B6}">
    <text>1uL per 90 seconds</text>
  </threadedComment>
  <threadedComment ref="AQ51" dT="2023-03-05T03:10:39.98" personId="{0499562B-EFAF-4D5B-A8CC-C952B70A193C}" id="{2E128222-1A34-4729-AF9E-5EC8E6FD7818}">
    <text>10 mins</text>
  </threadedComment>
  <threadedComment ref="AB52" dT="2023-03-05T03:35:12.04" personId="{0499562B-EFAF-4D5B-A8CC-C952B70A193C}" id="{EE70EB8D-BE94-430B-8A68-0A83E529B589}">
    <text>2 cortical one subcortical</text>
  </threadedComment>
  <threadedComment ref="AH52" dT="2023-03-05T03:36:53.29" personId="{0499562B-EFAF-4D5B-A8CC-C952B70A193C}" id="{F1BC73CD-DF79-45F8-BFB0-67E3D65813C4}">
    <text>2 x 2uL cortical, 1 x 1uL subcortical</text>
  </threadedComment>
  <threadedComment ref="A53" dT="2023-03-07T01:25:52.89" personId="{0499562B-EFAF-4D5B-A8CC-C952B70A193C}" id="{97B36D14-6B5A-4077-9276-5A43D4BF2D96}">
    <text>Immunosuppressor cyclosporine administered</text>
  </threadedComment>
  <threadedComment ref="AN53" dT="2023-03-07T01:25:48.72" personId="{0499562B-EFAF-4D5B-A8CC-C952B70A193C}" id="{AD58C4A5-8FF6-4D7D-84E3-352A99F3394C}">
    <text>Immunosuppressor cyclosporine administered</text>
  </threadedComment>
  <threadedComment ref="AS53" dT="2023-03-05T03:58:56.26" personId="{0499562B-EFAF-4D5B-A8CC-C952B70A193C}" id="{5E19F217-9EB6-4951-BCD8-9538BD8344B8}">
    <text>Pooled their data from 7, 14, and 30 days post-stroke</text>
  </threadedComment>
  <threadedComment ref="A54" dT="2023-03-07T01:24:35.05" personId="{0499562B-EFAF-4D5B-A8CC-C952B70A193C}" id="{221C5D83-0B14-46A7-A35A-7440C39B23EC}">
    <text>Immunosuppressor cyclosporine administered</text>
  </threadedComment>
  <threadedComment ref="R54" dT="2023-03-05T04:14:13.56" personId="{0499562B-EFAF-4D5B-A8CC-C952B70A193C}" id="{27006FBF-127F-4545-9D22-F602FEAC8C45}">
    <text>6-8</text>
  </threadedComment>
  <threadedComment ref="T54" dT="2023-03-05T04:14:13.56" personId="{0499562B-EFAF-4D5B-A8CC-C952B70A193C}" id="{CC9CE15A-5FC4-418E-BEBB-B65993736926}">
    <text>6-8</text>
  </threadedComment>
  <threadedComment ref="AN54" dT="2023-03-07T01:24:42.51" personId="{0499562B-EFAF-4D5B-A8CC-C952B70A193C}" id="{9860C7CD-00ED-4EE8-A3C3-5A1A14C767BB}">
    <text>Immunosuppressor cyclosporine administered</text>
  </threadedComment>
  <threadedComment ref="AS54" dT="2023-03-05T04:02:30.91" personId="{0499562B-EFAF-4D5B-A8CC-C952B70A193C}" id="{3DDEADB3-7E1C-45DD-9CF9-20339F4290E8}">
    <text>3 months</text>
  </threadedComment>
  <threadedComment ref="A55" dT="2023-03-07T01:24:30.68" personId="{0499562B-EFAF-4D5B-A8CC-C952B70A193C}" id="{39D1E6BC-6334-4128-A064-562CF2233C9D}">
    <text>Immunosuppressor cyclosporine administered</text>
  </threadedComment>
  <threadedComment ref="R55" dT="2023-03-05T04:14:13.56" personId="{0499562B-EFAF-4D5B-A8CC-C952B70A193C}" id="{01ED5685-5586-44CF-81E5-A73DE3C230DE}">
    <text>6-8</text>
  </threadedComment>
  <threadedComment ref="T55" dT="2023-03-05T04:14:13.56" personId="{0499562B-EFAF-4D5B-A8CC-C952B70A193C}" id="{A7CA0517-58EC-4EA8-BD83-DCEA52099C53}">
    <text>6-8</text>
  </threadedComment>
  <threadedComment ref="AN55" dT="2023-03-07T01:24:48.41" personId="{0499562B-EFAF-4D5B-A8CC-C952B70A193C}" id="{921BA6E4-0B21-4FC4-A2CB-F079671DE65B}">
    <text>Immunosuppressor cyclosporine administered</text>
  </threadedComment>
  <threadedComment ref="AS55" dT="2023-03-05T04:02:30.91" personId="{0499562B-EFAF-4D5B-A8CC-C952B70A193C}" id="{487FDBA9-523E-4E06-BC50-47B6B9D3F901}">
    <text>3 months</text>
  </threadedComment>
  <threadedComment ref="R56" dT="2023-03-05T04:24:28.86" personId="{0499562B-EFAF-4D5B-A8CC-C952B70A193C}" id="{E139467B-8C33-4DDD-93FD-92B7DB035C5A}">
    <text>10-15</text>
  </threadedComment>
  <threadedComment ref="T56" dT="2023-03-05T04:24:28.86" personId="{0499562B-EFAF-4D5B-A8CC-C952B70A193C}" id="{A48D936A-8FB4-4D9E-86AF-C2025DF60AE4}">
    <text>10-15</text>
  </threadedComment>
  <threadedComment ref="U56" dT="2023-03-05T04:33:55.25" personId="{0499562B-EFAF-4D5B-A8CC-C952B70A193C}" id="{CCD74041-0A35-4761-9B6A-E05D9E9933E9}">
    <text>"inhalation anaesthetic"</text>
  </threadedComment>
  <threadedComment ref="X56" dT="2023-03-05T04:33:55.25" personId="{0499562B-EFAF-4D5B-A8CC-C952B70A193C}" id="{FF8BB97F-06AB-4DD8-961E-B774B0A0CDA9}">
    <text>"inhalation anaesthetic"</text>
  </threadedComment>
  <threadedComment ref="R57" dT="2023-03-05T04:24:28.86" personId="{0499562B-EFAF-4D5B-A8CC-C952B70A193C}" id="{74578CFC-B587-4615-8A2F-2588734A9CD4}">
    <text>10-15</text>
  </threadedComment>
  <threadedComment ref="T57" dT="2023-03-05T04:24:28.86" personId="{0499562B-EFAF-4D5B-A8CC-C952B70A193C}" id="{99A5D56C-19FE-41F9-BB15-F2B8EFDDF129}">
    <text>10-15</text>
  </threadedComment>
  <threadedComment ref="U57" dT="2023-03-05T04:33:55.25" personId="{0499562B-EFAF-4D5B-A8CC-C952B70A193C}" id="{5BFE4B74-CA9D-425E-B3CE-7D66D9C00AE9}">
    <text>"inhalation anaesthetic"</text>
  </threadedComment>
  <threadedComment ref="X57" dT="2023-03-05T04:33:55.25" personId="{0499562B-EFAF-4D5B-A8CC-C952B70A193C}" id="{EA8048F9-4671-4C8E-8D84-ABE75F74AA35}">
    <text>"inhalation anaesthetic"</text>
  </threadedComment>
  <threadedComment ref="R58" dT="2023-03-05T04:24:28.86" personId="{0499562B-EFAF-4D5B-A8CC-C952B70A193C}" id="{7DA0E7B5-40C0-46EF-8741-38C14F466E39}">
    <text>10-15</text>
  </threadedComment>
  <threadedComment ref="T58" dT="2023-03-05T04:24:28.86" personId="{0499562B-EFAF-4D5B-A8CC-C952B70A193C}" id="{8B0D0C71-1E86-4816-B196-6E2A46D0E88E}">
    <text>10-15</text>
  </threadedComment>
  <threadedComment ref="U58" dT="2023-03-05T04:33:55.25" personId="{0499562B-EFAF-4D5B-A8CC-C952B70A193C}" id="{1905B77E-CACD-4C63-B397-80E65DFABE06}">
    <text>"inhalation anaesthetic"</text>
  </threadedComment>
  <threadedComment ref="X58" dT="2023-03-05T04:33:55.25" personId="{0499562B-EFAF-4D5B-A8CC-C952B70A193C}" id="{63FA2B99-12AC-48F0-A800-1C305B0AB3DF}">
    <text>"inhalation anaesthetic"</text>
  </threadedComment>
  <threadedComment ref="AJ59" dT="2023-03-05T04:43:12.63" personId="{0499562B-EFAF-4D5B-A8CC-C952B70A193C}" id="{6FAAB0DA-86B2-450C-9CEF-6551F658D580}">
    <text>0.6uL per min</text>
  </threadedComment>
  <threadedComment ref="AB60" dT="2023-03-05T08:32:43.11" personId="{0499562B-EFAF-4D5B-A8CC-C952B70A193C}" id="{68DC7948-021C-43C1-8DC5-81B0CAED8421}">
    <text>2 x cortical 1 x striatal</text>
  </threadedComment>
  <threadedComment ref="AH60" dT="2023-03-05T08:33:07.81" personId="{0499562B-EFAF-4D5B-A8CC-C952B70A193C}" id="{07A89C6F-9168-4658-BEA3-B28110179C7B}">
    <text>2 x 2uL cortical, 1 x 1uL subcortical</text>
  </threadedComment>
  <threadedComment ref="AJ60" dT="2023-03-05T08:34:10.30" personId="{0499562B-EFAF-4D5B-A8CC-C952B70A193C}" id="{4C106334-8A93-4BBE-8046-4F849DBC4283}">
    <text>0.5 μl/min</text>
  </threadedComment>
  <threadedComment ref="AQ60" dT="2023-03-05T08:36:24.79" personId="{0499562B-EFAF-4D5B-A8CC-C952B70A193C}" id="{1D69DF9F-66B8-414D-8840-6B4D031AC515}">
    <text xml:space="preserve">15 mins prior
</text>
  </threadedComment>
  <threadedComment ref="AB61" dT="2023-03-05T08:32:43.11" personId="{0499562B-EFAF-4D5B-A8CC-C952B70A193C}" id="{74BD0632-099B-4A23-A83E-6D40CD31DB9B}">
    <text>2 x cortical 1 x striatal</text>
  </threadedComment>
  <threadedComment ref="AH61" dT="2023-03-05T08:33:07.81" personId="{0499562B-EFAF-4D5B-A8CC-C952B70A193C}" id="{A96BD04A-C7E3-4927-AE4E-E4630C4DEE4F}">
    <text>2 x 2uL cortical, 1 x 1uL subcortical</text>
  </threadedComment>
  <threadedComment ref="AJ61" dT="2023-03-05T08:34:10.30" personId="{0499562B-EFAF-4D5B-A8CC-C952B70A193C}" id="{668096DE-EAF6-4A2D-B48C-12F5C89F0A49}">
    <text>0.5 μl/min</text>
  </threadedComment>
  <threadedComment ref="AQ61" dT="2023-03-05T08:36:24.79" personId="{0499562B-EFAF-4D5B-A8CC-C952B70A193C}" id="{6B0604B1-190A-4911-AF28-C07ABD490A27}">
    <text xml:space="preserve">15 mins prior
</text>
  </threadedComment>
  <threadedComment ref="AJ62" dT="2023-03-05T09:00:06.12" personId="{0499562B-EFAF-4D5B-A8CC-C952B70A193C}" id="{D777BB29-36AB-4DDE-B086-A3037E7C48D7}">
    <text>0.1uL/min</text>
  </threadedComment>
  <threadedComment ref="AJ63" dT="2023-03-05T09:00:06.12" personId="{0499562B-EFAF-4D5B-A8CC-C952B70A193C}" id="{06F5103A-DC09-4F7E-AFCC-4F7ABC0ACD11}">
    <text>0.1uL/min</text>
  </threadedComment>
  <threadedComment ref="AV63" dT="2023-03-05T08:45:39.57" personId="{0499562B-EFAF-4D5B-A8CC-C952B70A193C}" id="{642932E9-FEDB-4204-A787-8A410752D75A}">
    <text>Compared to C57 mice</text>
  </threadedComment>
  <threadedComment ref="AJ64" dT="2023-03-05T09:00:06.12" personId="{0499562B-EFAF-4D5B-A8CC-C952B70A193C}" id="{ED82D917-92E5-4507-B3D7-F094A26D9559}">
    <text>0.1uL/min</text>
  </threadedComment>
  <threadedComment ref="AV64" dT="2023-03-05T08:45:39.57" personId="{0499562B-EFAF-4D5B-A8CC-C952B70A193C}" id="{424BC9EA-CE03-42B3-97D4-DCB321874884}">
    <text>Compared to C57 mice</text>
  </threadedComment>
  <threadedComment ref="A65" dT="2023-03-05T09:17:21.46" personId="{0499562B-EFAF-4D5B-A8CC-C952B70A193C}" id="{D7B05779-25F0-4902-8B2A-D1110539AE8C}">
    <text>Cortex + striatal volumes for total</text>
  </threadedComment>
  <threadedComment ref="R65" dT="2023-03-05T09:26:40.46" personId="{0499562B-EFAF-4D5B-A8CC-C952B70A193C}" id="{98A932BB-37DE-49C6-A6E8-FF9CDA1B203C}">
    <text>7-8</text>
  </threadedComment>
  <threadedComment ref="T65" dT="2023-03-05T09:26:40.46" personId="{0499562B-EFAF-4D5B-A8CC-C952B70A193C}" id="{8E9A97A2-EF2C-447F-B148-32474C73EFFF}">
    <text>7-8</text>
  </threadedComment>
  <threadedComment ref="A66" dT="2023-03-05T09:17:21.46" personId="{0499562B-EFAF-4D5B-A8CC-C952B70A193C}" id="{ABD1619A-65E4-4BE3-98C0-85FB49FF280B}">
    <text>Cortex + striatal volumes for total</text>
  </threadedComment>
  <threadedComment ref="R66" dT="2023-03-05T09:26:40.46" personId="{0499562B-EFAF-4D5B-A8CC-C952B70A193C}" id="{C7E227ED-1EC6-41EB-B57F-7A9BF9F00180}">
    <text>7-8</text>
  </threadedComment>
  <threadedComment ref="T66" dT="2023-03-05T09:26:40.46" personId="{0499562B-EFAF-4D5B-A8CC-C952B70A193C}" id="{CE6C9F50-EAC4-454C-83C6-F46E3B07BBCB}">
    <text>7-8</text>
  </threadedComment>
  <threadedComment ref="AO66" dT="2023-03-05T09:18:22.27" personId="{0499562B-EFAF-4D5B-A8CC-C952B70A193C}" id="{01124EA7-060C-4342-9F9B-F1CE45EBBADA}">
    <text>Reaching training</text>
  </threadedComment>
  <threadedComment ref="U67" dT="2023-03-05T09:47:02.66" personId="{0499562B-EFAF-4D5B-A8CC-C952B70A193C}" id="{7F57D15E-BE1C-4E0A-9D5A-5DB7E2D642B2}">
    <text>Brand name Zoletil</text>
  </threadedComment>
  <threadedComment ref="X67" dT="2023-03-05T09:47:02.66" personId="{0499562B-EFAF-4D5B-A8CC-C952B70A193C}" id="{E1D8B921-E65A-4401-9B76-285461FC3A11}">
    <text>Brand name Zoletil</text>
  </threadedComment>
  <threadedComment ref="AJ67" dT="2023-03-05T09:53:02.54" personId="{0499562B-EFAF-4D5B-A8CC-C952B70A193C}" id="{5C5312BC-77A9-4050-B8D1-191C1EA37BEC}">
    <text>0.5uL/min</text>
  </threadedComment>
  <threadedComment ref="AN67" dT="2023-03-07T01:22:16.12" personId="{0499562B-EFAF-4D5B-A8CC-C952B70A193C}" id="{2DF5C98C-A08F-42E1-8FCD-1590DFDF9CB8}">
    <text>Antibiotic administration after completion of all surgical procedures
was done to prevent infection.</text>
  </threadedComment>
  <threadedComment ref="AO68" dT="2023-03-05T09:18:22.27" personId="{0499562B-EFAF-4D5B-A8CC-C952B70A193C}" id="{FD5BBEB1-EB30-4CCF-B25C-447F78BB0AC8}">
    <text>Reaching training</text>
  </threadedComment>
  <threadedComment ref="AO70" dT="2023-03-05T09:18:22.27" personId="{0499562B-EFAF-4D5B-A8CC-C952B70A193C}" id="{9C2EAA8B-FFA8-4D7C-8486-A328B893D41C}">
    <text>Reaching training</text>
  </threadedComment>
  <threadedComment ref="AF72" dT="2023-03-06T10:47:22.87" personId="{0499562B-EFAF-4D5B-A8CC-C952B70A193C}" id="{A5735497-CF56-45D5-8ACC-A57737A91A94}">
    <text>0.2ug/uL</text>
  </threadedComment>
  <threadedComment ref="AO73" dT="2023-03-07T04:18:32.35" personId="{0499562B-EFAF-4D5B-A8CC-C952B70A193C}" id="{C1ED59CC-536F-483E-A87E-BD93802DB69C}">
    <text xml:space="preserve">Spry2 and Spry4 siRNA. stimulates injury-induced astrogliosis which limits neuronal cell death and lesion size. </text>
  </threadedComment>
  <threadedComment ref="A74" dT="2023-03-08T00:13:02.49" personId="{0499562B-EFAF-4D5B-A8CC-C952B70A193C}" id="{D5F5B70B-B086-41B3-9BCF-BB5D9F073409}">
    <text>Infarct volumes calculated from cortical + striatal</text>
  </threadedComment>
  <threadedComment ref="R74" dT="2023-03-08T00:14:01.07" personId="{0499562B-EFAF-4D5B-A8CC-C952B70A193C}" id="{725A5F72-C2AB-4D55-92E7-B99DB4C41147}">
    <text>4-6</text>
  </threadedComment>
  <threadedComment ref="T74" dT="2023-03-08T00:14:01.07" personId="{0499562B-EFAF-4D5B-A8CC-C952B70A193C}" id="{FAC7D7A1-1EA9-4031-87DE-4DB2DAE593D0}">
    <text>4-6</text>
  </threadedComment>
  <threadedComment ref="AB74" dT="2023-03-08T00:19:48.42" personId="{0499562B-EFAF-4D5B-A8CC-C952B70A193C}" id="{3DB41CA0-15B6-4FA1-8D9B-EEB53AB84038}">
    <text>Piriform cortex</text>
  </threadedComment>
  <threadedComment ref="AT74" dT="2023-03-04T02:48:50.36" personId="{0499562B-EFAF-4D5B-A8CC-C952B70A193C}" id="{B294378F-9199-4716-8293-019C1F1DFA60}">
    <text>Used their own method of computer recognition which requires no staining: DOI: 10.1016/s0165-0270(00)00278-8</text>
    <extLst>
      <x:ext xmlns:xltc2="http://schemas.microsoft.com/office/spreadsheetml/2020/threadedcomments2" uri="{F7C98A9C-CBB3-438F-8F68-D28B6AF4A901}">
        <xltc2:checksum>3399920790</xltc2:checksum>
        <xltc2:hyperlink startIndex="79" length="29" url="https://doi.org/10.1016/s0165-0270(00)00278-8"/>
      </x:ext>
    </extLst>
  </threadedComment>
  <threadedComment ref="K75" dT="2023-03-03T10:14:20.84" personId="{0499562B-EFAF-4D5B-A8CC-C952B70A193C}" id="{861BDA6C-E8BD-4662-90DF-277A8E438373}">
    <text>"adult"</text>
  </threadedComment>
  <threadedComment ref="AF75" dT="2023-03-29T09:19:41.73" personId="{0499562B-EFAF-4D5B-A8CC-C952B70A193C}" id="{D9E0C40F-84D8-4A92-996C-153C28881053}">
    <text>2*400pmol</text>
  </threadedComment>
  <threadedComment ref="AH75" dT="2023-03-08T01:00:46.62" personId="{0499562B-EFAF-4D5B-A8CC-C952B70A193C}" id="{E2F3A5CF-B593-4A2F-A9A2-1C3D247A5A9B}">
    <text>2 x 2uL</text>
  </threadedComment>
  <threadedComment ref="AJ75" dT="2023-03-08T01:01:19.77" personId="{0499562B-EFAF-4D5B-A8CC-C952B70A193C}" id="{A2218E78-5968-433C-ABD7-00574A7A5EB8}">
    <text>1uL/min x 2 x 2uL injections</text>
  </threadedComment>
  <threadedComment ref="AL75" dT="2023-03-08T01:03:42.71" personId="{0499562B-EFAF-4D5B-A8CC-C952B70A193C}" id="{F720869A-D735-4F0F-B6B3-D1132E738BF9}">
    <text>Brand marcaine</text>
  </threadedComment>
  <threadedComment ref="AB76" dT="2023-03-08T01:33:16.90" personId="{0499562B-EFAF-4D5B-A8CC-C952B70A193C}" id="{1F77608B-CD49-49F8-A468-96AFE043516A}">
    <text>2 x forelimb cortical sites + 1 striatum</text>
  </threadedComment>
  <threadedComment ref="AH76" dT="2023-03-08T01:32:54.35" personId="{0499562B-EFAF-4D5B-A8CC-C952B70A193C}" id="{D0838DD0-677A-4BBF-88DD-51ED4B28AE04}">
    <text>2uL at each of the forelimb cortical sites
and 1uL in the striatum.</text>
  </threadedComment>
  <threadedComment ref="AO76" dT="2023-03-08T01:22:34.61" personId="{0499562B-EFAF-4D5B-A8CC-C952B70A193C}" id="{BA035F81-F8F6-4859-980F-3E78836329E7}">
    <text>High fat "Western diet"</text>
  </threadedComment>
  <threadedComment ref="AP76" dT="2023-03-08T01:26:41.46" personId="{0499562B-EFAF-4D5B-A8CC-C952B70A193C}" id="{74D7DB5C-4CD9-4D40-86B7-821FC9D97A00}">
    <text>Diet hypothesized to worsen stroke</text>
  </threadedComment>
  <threadedComment ref="AQ76" dT="2023-03-08T01:24:49.37" personId="{0499562B-EFAF-4D5B-A8CC-C952B70A193C}" id="{44CF33D1-57F0-4177-8E30-5021617E335D}">
    <text>3 months prior to stroke</text>
  </threadedComment>
  <threadedComment ref="BI76" dT="2023-03-08T01:24:19.40" personId="{0499562B-EFAF-4D5B-A8CC-C952B70A193C}" id="{208FF0F4-1F36-4D3D-92E9-3A7318221B5D}">
    <text>1 month or 3 months on diet before stroke</text>
  </threadedComment>
  <threadedComment ref="AO77" dT="2023-03-08T03:15:36.50" personId="{0499562B-EFAF-4D5B-A8CC-C952B70A193C}" id="{8B4540CE-FB97-4B6E-A602-ECFC5CCEEA2F}">
    <text>Exercise - mild walking</text>
  </threadedComment>
  <threadedComment ref="AJ78" dT="2023-03-08T04:41:45.59" personId="{0499562B-EFAF-4D5B-A8CC-C952B70A193C}" id="{BCB443E4-92EB-4268-A08C-C10824955291}">
    <text>1uL/min</text>
  </threadedComment>
  <threadedComment ref="K79" dT="2023-03-03T10:14:20.84" personId="{0499562B-EFAF-4D5B-A8CC-C952B70A193C}" id="{08B296E1-0B0E-45F1-A9AE-33D474C64362}">
    <text>"adult"</text>
  </threadedComment>
  <threadedComment ref="AB79" dT="2023-03-08T04:53:30.88" personId="{0499562B-EFAF-4D5B-A8CC-C952B70A193C}" id="{F85018DD-FCD0-47E2-96C0-1B9D25F41A53}">
    <text>5 sites total, one striatal</text>
  </threadedComment>
  <threadedComment ref="AH79" dT="2023-03-08T05:04:10.75" personId="{0499562B-EFAF-4D5B-A8CC-C952B70A193C}" id="{BC59E6B3-AA85-4B97-96C6-44DC28A04EF1}">
    <text>1uL x 5</text>
  </threadedComment>
  <threadedComment ref="AJ79" dT="2023-03-08T05:04:23.30" personId="{0499562B-EFAF-4D5B-A8CC-C952B70A193C}" id="{5BF46841-E0A2-4803-8FAE-05FD09F48E02}">
    <text>0.5uL per min</text>
  </threadedComment>
  <threadedComment ref="AL79" dT="2023-03-08T04:52:59.41" personId="{0499562B-EFAF-4D5B-A8CC-C952B70A193C}" id="{7FF5E0EA-D5DF-4AB4-B1BC-198A77A90D50}">
    <text>Brand name Xylocaine, applied topically</text>
  </threadedComment>
  <threadedComment ref="AO79" dT="2023-03-08T05:07:47.05" personId="{0499562B-EFAF-4D5B-A8CC-C952B70A193C}" id="{689424EE-B451-48E1-BDA1-E49F17549F8B}">
    <text>Forced limb use through ball rolling activity, no restraint</text>
  </threadedComment>
  <threadedComment ref="K80" dT="2023-03-03T10:14:20.84" personId="{0499562B-EFAF-4D5B-A8CC-C952B70A193C}" id="{4CB3AE49-0AEE-431F-9D58-F5B6CDF38B48}">
    <text>"adult"</text>
  </threadedComment>
  <threadedComment ref="AB80" dT="2023-03-08T04:53:30.88" personId="{0499562B-EFAF-4D5B-A8CC-C952B70A193C}" id="{5B816A53-B3CB-4865-8029-A6A45DA00112}">
    <text>5 sites total, one striatal</text>
  </threadedComment>
  <threadedComment ref="AH80" dT="2023-03-08T05:04:10.75" personId="{0499562B-EFAF-4D5B-A8CC-C952B70A193C}" id="{BC266DF3-05F1-4A52-B31F-3F1E84B67BB4}">
    <text>1uL x 5</text>
  </threadedComment>
  <threadedComment ref="AJ80" dT="2023-03-08T05:04:23.30" personId="{0499562B-EFAF-4D5B-A8CC-C952B70A193C}" id="{B89408CC-90DF-4F35-8748-EC07A3EBD2E1}">
    <text>0.5uL per min</text>
  </threadedComment>
  <threadedComment ref="AL80" dT="2023-03-08T04:52:59.41" personId="{0499562B-EFAF-4D5B-A8CC-C952B70A193C}" id="{283076D3-E510-47D1-86C4-1DC35099B5FE}">
    <text>Brand name Xylocaine, applied topically</text>
  </threadedComment>
  <threadedComment ref="AO80" dT="2023-03-08T05:07:47.05" personId="{0499562B-EFAF-4D5B-A8CC-C952B70A193C}" id="{D270D376-3A24-43EE-B2AD-D9DA17F98ED6}">
    <text>Forced limb use through ball rolling activity, no restraint</text>
  </threadedComment>
  <threadedComment ref="AF81" dT="2023-03-08T05:23:31.47" personId="{0499562B-EFAF-4D5B-A8CC-C952B70A193C}" id="{6D452C67-37F6-4518-9135-F1BAE2B397C2}">
    <text>800 pmol x 3 "The coordinates for each 800-pmol ET-1 injection (diluted to
2 mL) in relation to bregma were:"</text>
  </threadedComment>
  <threadedComment ref="AH81" dT="2023-03-08T05:22:42.27" personId="{0499562B-EFAF-4D5B-A8CC-C952B70A193C}" id="{94CFABCB-D319-4284-8B7E-A023145765B9}">
    <text>2uL x 3</text>
  </threadedComment>
  <threadedComment ref="AJ81" dT="2023-03-08T05:04:23.30" personId="{0499562B-EFAF-4D5B-A8CC-C952B70A193C}" id="{ADD08703-C833-491E-B30F-76CE9127CB55}">
    <text>0.5uL per min</text>
  </threadedComment>
  <threadedComment ref="AO81" dT="2023-03-08T05:21:51.62" personId="{0499562B-EFAF-4D5B-A8CC-C952B70A193C}" id="{F9456EFA-1645-445C-A837-9EF174D1B987}">
    <text>Electrode implanted in brain, stimulation done while awake</text>
  </threadedComment>
  <threadedComment ref="AH82" dT="2023-03-08T06:52:13.88" personId="{0499562B-EFAF-4D5B-A8CC-C952B70A193C}" id="{57C662D4-BA4C-499A-B31D-C4FBC8BAF3A1}">
    <text>2 x 2uL cortical, 1uL striatal</text>
  </threadedComment>
  <threadedComment ref="AJ82" dT="2023-03-08T06:53:40.22" personId="{0499562B-EFAF-4D5B-A8CC-C952B70A193C}" id="{98347242-8E0C-4D31-AD89-81C6D88E31FA}">
    <text>1uL / 2 mins</text>
  </threadedComment>
  <threadedComment ref="AO82" dT="2023-03-08T06:54:33.47" personId="{0499562B-EFAF-4D5B-A8CC-C952B70A193C}" id="{54498D17-5F4F-4161-BC18-727C99A6C040}">
    <text>Ipsilateral reach training</text>
  </threadedComment>
  <threadedComment ref="AS82" dT="2023-03-08T06:46:12.85" personId="{0499562B-EFAF-4D5B-A8CC-C952B70A193C}" id="{EC0F5368-98F9-4014-93E4-79A41177515E}">
    <text>2 months</text>
  </threadedComment>
  <threadedComment ref="AH83" dT="2023-03-08T07:50:06.70" personId="{0499562B-EFAF-4D5B-A8CC-C952B70A193C}" id="{ACA26CEE-235E-4212-BAE0-E7DEDF207941}">
    <text>0.33uL x 6</text>
  </threadedComment>
  <threadedComment ref="AJ83" dT="2023-03-08T07:51:31.75" personId="{0499562B-EFAF-4D5B-A8CC-C952B70A193C}" id="{98BE1ABA-A878-4336-B05F-50C6B392296F}">
    <text>3 nL/sec = 0.18 µL/min = ~11.11 mins to inject 2 uL. Rounding this up to 12 to account for human error time</text>
  </threadedComment>
  <threadedComment ref="AL83" dT="2023-03-08T07:55:19.52" personId="{0499562B-EFAF-4D5B-A8CC-C952B70A193C}" id="{A2C1CEAC-6461-45CA-A627-56FA292498E4}">
    <text>"animals received a regimen of pain,
anti-inflammatory and antibiotic medication"</text>
  </threadedComment>
  <threadedComment ref="AO83" dT="2023-03-08T07:57:22.01" personId="{0499562B-EFAF-4D5B-A8CC-C952B70A193C}" id="{CEB95490-18B6-4C90-AFA0-B26C075A5156}">
    <text>Designed to "reliably inactivate neural tissue for sustained periods without
causing damage" to force other half of brain (ipsilateral side) to compensate</text>
  </threadedComment>
  <threadedComment ref="AB84" dT="2023-03-08T10:07:11.72" personId="{0499562B-EFAF-4D5B-A8CC-C952B70A193C}" id="{941C541A-AF92-4CD0-8DCE-CBB7334008C7}">
    <text>Striatal</text>
  </threadedComment>
  <threadedComment ref="AJ84" dT="2023-03-08T10:08:29.88" personId="{0499562B-EFAF-4D5B-A8CC-C952B70A193C}" id="{4838CCD8-8849-4A3D-A001-9AE90914E20C}">
    <text>1uL / 3min</text>
  </threadedComment>
  <threadedComment ref="AO84" dT="2023-03-08T10:05:42.71" personId="{0499562B-EFAF-4D5B-A8CC-C952B70A193C}" id="{4A92250D-6A39-4A37-9630-10EE5EDAD559}">
    <text>A rocking headward to footward movement of the whole body,
is a non-invasive method to induce pulsatile shear stress on
the vascular endothelium eliciting an enhanced production
and secretion of endothelium-derived products such as nitric
oxide, prostacyclin, prostaglandin E2, tissue plasminogen
activator (tPA), and adrenomedullin. All these products have
been shown to protect the brain from ischemic injuries.</text>
  </threadedComment>
  <threadedComment ref="AE85" dT="2023-03-08T10:23:55.84" personId="{0499562B-EFAF-4D5B-A8CC-C952B70A193C}" id="{476C1DA6-7475-45D7-8457-E6281735312A}">
    <text>4-5 days</text>
  </threadedComment>
  <threadedComment ref="AN85" dT="2023-03-08T10:23:32.27" personId="{0499562B-EFAF-4D5B-A8CC-C952B70A193C}" id="{16170881-EB56-42C7-A0B7-F3554C7704B5}">
    <text>"treated with antibiotic"</text>
  </threadedComment>
  <threadedComment ref="AE86" dT="2023-03-08T10:41:36.07" personId="{0499562B-EFAF-4D5B-A8CC-C952B70A193C}" id="{1275C7DB-FE17-4842-BDC0-4888FB16946F}">
    <text>15-16 days</text>
  </threadedComment>
  <threadedComment ref="AN86" dT="2023-03-08T10:43:48.68" personId="{0499562B-EFAF-4D5B-A8CC-C952B70A193C}" id="{1E85E6A9-0025-4D26-8849-4B4B747F5070}">
    <text>Brand Baytril</text>
  </threadedComment>
  <threadedComment ref="AB87" dT="2023-03-08T10:42:31.68" personId="{0499562B-EFAF-4D5B-A8CC-C952B70A193C}" id="{74D627D5-C615-4D27-B3AC-20050D1CB058}">
    <text>Piriform cortex</text>
  </threadedComment>
  <threadedComment ref="AE87" dT="2023-03-08T10:41:36.07" personId="{0499562B-EFAF-4D5B-A8CC-C952B70A193C}" id="{EB842ED9-9D9B-4A12-9D13-07440610DCB1}">
    <text>15-16 days</text>
  </threadedComment>
  <threadedComment ref="AN87" dT="2023-03-08T10:43:48.68" personId="{0499562B-EFAF-4D5B-A8CC-C952B70A193C}" id="{914A5624-546C-4E64-9ED7-F5976259AE22}">
    <text>Brand Baytril</text>
  </threadedComment>
  <threadedComment ref="A88" dT="2023-03-08T10:52:35.94" personId="{0499562B-EFAF-4D5B-A8CC-C952B70A193C}" id="{7AD10CD0-2225-4894-A5AC-D5AA2E474982}">
    <text>Infarct vol calculated from cortical + striatal</text>
  </threadedComment>
  <threadedComment ref="AJ88" dT="2023-03-08T10:57:47.32" personId="{0499562B-EFAF-4D5B-A8CC-C952B70A193C}" id="{45B3E513-CD5D-48B9-BC53-550EB44710D8}">
    <text>0.2 ml every 30 s</text>
  </threadedComment>
  <threadedComment ref="BI88" dT="2023-03-08T10:49:17.34" personId="{0499562B-EFAF-4D5B-A8CC-C952B70A193C}" id="{BE913830-744C-4C8D-959F-5C1B91768C56}">
    <text>An inactive form of treatment was also given</text>
  </threadedComment>
  <threadedComment ref="A89" dT="2023-03-08T11:07:46.03" personId="{0499562B-EFAF-4D5B-A8CC-C952B70A193C}" id="{A46F5CFA-094B-4DB6-9720-6276DC83CDCD}">
    <text>Infarct vol calculated from cortical + striatal</text>
  </threadedComment>
  <threadedComment ref="AB89" dT="2023-03-08T10:42:31.68" personId="{0499562B-EFAF-4D5B-A8CC-C952B70A193C}" id="{9FC4DA1E-F116-4C9D-A548-5A7B8C384440}">
    <text>Piriform cortex</text>
  </threadedComment>
  <threadedComment ref="AJ89" dT="2023-03-08T10:57:47.32" personId="{0499562B-EFAF-4D5B-A8CC-C952B70A193C}" id="{599232AC-124E-410E-9A95-B883C605DEB1}">
    <text>0.2 ml every 30 s</text>
  </threadedComment>
  <threadedComment ref="AT89" dT="2023-03-04T02:48:50.36" personId="{0499562B-EFAF-4D5B-A8CC-C952B70A193C}" id="{17FE403D-43AF-46C3-80C0-D598860D60D6}">
    <text>Used their own method of computer recognition which requires no staining: DOI: 10.1016/s0165-0270(00)00278-8</text>
    <extLst>
      <x:ext xmlns:xltc2="http://schemas.microsoft.com/office/spreadsheetml/2020/threadedcomments2" uri="{F7C98A9C-CBB3-438F-8F68-D28B6AF4A901}">
        <xltc2:checksum>3399920790</xltc2:checksum>
        <xltc2:hyperlink startIndex="79" length="29" url="https://doi.org/10.1016/s0165-0270(00)00278-8"/>
      </x:ext>
    </extLst>
  </threadedComment>
  <threadedComment ref="A90" dT="2023-03-08T11:07:46.03" personId="{0499562B-EFAF-4D5B-A8CC-C952B70A193C}" id="{7BD0E66F-5CF2-4EE2-ABA5-05031C373BF6}">
    <text>Infarct vol calculated from cortical + striatal</text>
  </threadedComment>
  <threadedComment ref="AB90" dT="2023-03-08T10:42:31.68" personId="{0499562B-EFAF-4D5B-A8CC-C952B70A193C}" id="{8D87C042-C0DF-45B4-A508-7D92009580B2}">
    <text>Piriform cortex</text>
  </threadedComment>
  <threadedComment ref="AJ90" dT="2023-03-08T10:57:47.32" personId="{0499562B-EFAF-4D5B-A8CC-C952B70A193C}" id="{BDF2E699-2F49-444D-A204-01013B2EAC25}">
    <text>0.2 ml every 30 s</text>
  </threadedComment>
  <threadedComment ref="AT90" dT="2023-03-04T02:48:50.36" personId="{0499562B-EFAF-4D5B-A8CC-C952B70A193C}" id="{497D7FD1-1BC7-45FA-ABBA-F534589B3747}">
    <text>Used their own method of computer recognition which requires no staining: DOI: 10.1016/s0165-0270(00)00278-8</text>
    <extLst>
      <x:ext xmlns:xltc2="http://schemas.microsoft.com/office/spreadsheetml/2020/threadedcomments2" uri="{F7C98A9C-CBB3-438F-8F68-D28B6AF4A901}">
        <xltc2:checksum>3399920790</xltc2:checksum>
        <xltc2:hyperlink startIndex="79" length="29" url="https://doi.org/10.1016/s0165-0270(00)00278-8"/>
      </x:ext>
    </extLst>
  </threadedComment>
  <threadedComment ref="AB91" dT="2023-03-08T10:42:31.68" personId="{0499562B-EFAF-4D5B-A8CC-C952B70A193C}" id="{A1B9080A-9DFE-46CD-BCA0-CEB79F309BA7}">
    <text>Piriform cortex</text>
  </threadedComment>
  <threadedComment ref="AJ91" dT="2023-03-08T10:57:47.32" personId="{0499562B-EFAF-4D5B-A8CC-C952B70A193C}" id="{38CDB6AA-431C-4F35-BA85-092DF3568A7B}">
    <text>0.2 ml every 30 s, just gave until had stroke symptoms</text>
  </threadedComment>
  <threadedComment ref="AT91" dT="2023-03-04T02:48:50.36" personId="{0499562B-EFAF-4D5B-A8CC-C952B70A193C}" id="{C14CC959-79FA-4430-915C-7494392B79D9}">
    <text>Used their own method of computer recognition which requires no staining: DOI: 10.1016/s0165-0270(00)00278-8</text>
    <extLst>
      <x:ext xmlns:xltc2="http://schemas.microsoft.com/office/spreadsheetml/2020/threadedcomments2" uri="{F7C98A9C-CBB3-438F-8F68-D28B6AF4A901}">
        <xltc2:checksum>3399920790</xltc2:checksum>
        <xltc2:hyperlink startIndex="79" length="29" url="https://doi.org/10.1016/s0165-0270(00)00278-8"/>
      </x:ext>
    </extLst>
  </threadedComment>
  <threadedComment ref="AW91" dT="2023-03-08T11:21:01.77" personId="{0499562B-EFAF-4D5B-A8CC-C952B70A193C}" id="{BFE34CF6-E0FA-4227-961C-FDEFEC91D2DB}">
    <text>Striatal control mean: 36.69
Striatal control error: 5.08</text>
  </threadedComment>
  <threadedComment ref="AY91" dT="2023-03-08T11:21:41.58" personId="{0499562B-EFAF-4D5B-A8CC-C952B70A193C}" id="{41FF9AF4-FFFA-4CF3-BE02-E3DD168A9A3D}">
    <text>Striatal treatment mean: 14.36
Striatal treatment error: 5.5</text>
  </threadedComment>
  <threadedComment ref="AB92" dT="2023-03-08T10:42:31.68" personId="{0499562B-EFAF-4D5B-A8CC-C952B70A193C}" id="{D7ACC7F4-6B7C-4815-A20F-2BE5FA4D5B14}">
    <text>Piriform cortex</text>
  </threadedComment>
  <threadedComment ref="AJ92" dT="2023-03-08T10:57:47.32" personId="{0499562B-EFAF-4D5B-A8CC-C952B70A193C}" id="{069F1B3E-359F-49F3-8E40-702AEEB7C854}">
    <text>0.2 ml every 30 s, just gave until had stroke symptoms</text>
  </threadedComment>
  <threadedComment ref="AT92" dT="2023-03-04T02:48:50.36" personId="{0499562B-EFAF-4D5B-A8CC-C952B70A193C}" id="{34B22EAF-841C-4025-93C8-F24F21A769BB}">
    <text>Used their own method of computer recognition which requires no staining: DOI: 10.1016/s0165-0270(00)00278-8</text>
    <extLst>
      <x:ext xmlns:xltc2="http://schemas.microsoft.com/office/spreadsheetml/2020/threadedcomments2" uri="{F7C98A9C-CBB3-438F-8F68-D28B6AF4A901}">
        <xltc2:checksum>3399920790</xltc2:checksum>
        <xltc2:hyperlink startIndex="79" length="29" url="https://doi.org/10.1016/s0165-0270(00)00278-8"/>
      </x:ext>
    </extLst>
  </threadedComment>
  <threadedComment ref="AW92" dT="2023-03-08T11:21:01.77" personId="{0499562B-EFAF-4D5B-A8CC-C952B70A193C}" id="{F9DCD168-C45E-4950-898E-14989C504EE2}">
    <text>Striatal control mean: 36.69
Striatal control error: 5.08</text>
  </threadedComment>
  <threadedComment ref="AY92" dT="2023-03-08T11:24:14.09" personId="{0499562B-EFAF-4D5B-A8CC-C952B70A193C}" id="{626553DF-580B-4188-95EC-ABE325E19AFB}">
    <text>Striatal treatment mean: 25.91
Striatal treatment error: 6.46</text>
  </threadedComment>
  <threadedComment ref="Q93" dT="2023-03-09T00:46:38.82" personId="{0499562B-EFAF-4D5B-A8CC-C952B70A193C}" id="{8B59D676-453B-4557-9A1B-5B3DBE0CBDFB}">
    <text>Interestingly animals acted as own controls</text>
  </threadedComment>
  <threadedComment ref="AB93" dT="2023-03-08T10:42:31.68" personId="{0499562B-EFAF-4D5B-A8CC-C952B70A193C}" id="{C93DC220-BDB2-4791-B340-480212B5358A}">
    <text>Piriform cortex</text>
  </threadedComment>
  <threadedComment ref="AE93" dT="2023-03-08T10:41:36.07" personId="{0499562B-EFAF-4D5B-A8CC-C952B70A193C}" id="{0EB682FC-B4B1-4E8E-9EEF-9C97617988C7}">
    <text>15-16 days</text>
  </threadedComment>
  <threadedComment ref="AJ93" dT="2023-03-09T00:44:49.70" personId="{0499562B-EFAF-4D5B-A8CC-C952B70A193C}" id="{EF947661-C9EE-4DF0-A31F-48D5AFCCC7C7}">
    <text>1uL/min</text>
  </threadedComment>
  <threadedComment ref="AQ93" dT="2023-03-08T23:54:57.14" personId="{0499562B-EFAF-4D5B-A8CC-C952B70A193C}" id="{1BA878CF-C633-4F36-A316-538F0B2A598D}">
    <text>20 minutes</text>
  </threadedComment>
  <threadedComment ref="AQ94" dT="2023-03-08T23:54:57.14" personId="{0499562B-EFAF-4D5B-A8CC-C952B70A193C}" id="{47B13146-13B9-4507-8CA6-0E4AD8A42291}">
    <text>20 minutes</text>
  </threadedComment>
  <threadedComment ref="AJ95" dT="2023-03-09T00:44:49.70" personId="{0499562B-EFAF-4D5B-A8CC-C952B70A193C}" id="{D231AF95-E503-42A0-977A-40E614082A3C}">
    <text>1uL/min</text>
  </threadedComment>
  <threadedComment ref="AJ96" dT="2023-03-09T00:44:49.70" personId="{0499562B-EFAF-4D5B-A8CC-C952B70A193C}" id="{8E2FCFBB-E4C2-4E74-8038-A45EDFC929C8}">
    <text>1uL/min</text>
  </threadedComment>
  <threadedComment ref="K97" dT="2023-03-03T10:14:20.84" personId="{0499562B-EFAF-4D5B-A8CC-C952B70A193C}" id="{D5A8A47E-844E-41C6-9563-490F98E7EDBF}">
    <text>"adult"</text>
  </threadedComment>
  <threadedComment ref="AJ97" dT="2023-03-09T01:25:33.20" personId="{0499562B-EFAF-4D5B-A8CC-C952B70A193C}" id="{FBE074A0-99E6-4512-AC07-8E9BFD22C697}">
    <text>0.5uL/min</text>
  </threadedComment>
  <threadedComment ref="K98" dT="2023-03-03T10:14:20.84" personId="{0499562B-EFAF-4D5B-A8CC-C952B70A193C}" id="{C240D080-85D1-4C95-B3AB-B1DF9DE15210}">
    <text>"adult"</text>
  </threadedComment>
  <threadedComment ref="AB98" dT="2023-03-08T10:42:31.68" personId="{0499562B-EFAF-4D5B-A8CC-C952B70A193C}" id="{724341FF-77FE-47A4-B847-05229C0DD0F6}">
    <text>Piriform cortex</text>
  </threadedComment>
  <threadedComment ref="K99" dT="2023-03-03T10:14:20.84" personId="{0499562B-EFAF-4D5B-A8CC-C952B70A193C}" id="{C02BBA06-5118-4D35-AD3E-BEB92D8B8000}">
    <text>"adult"</text>
  </threadedComment>
  <threadedComment ref="AH99" dT="2023-03-09T02:34:14.70" personId="{0499562B-EFAF-4D5B-A8CC-C952B70A193C}" id="{5735EE50-84FC-4828-8408-88F0193A86B6}">
    <text>0.33uL x 6</text>
  </threadedComment>
  <threadedComment ref="AL99" dT="2023-03-09T02:36:16.00" personId="{0499562B-EFAF-4D5B-A8CC-C952B70A193C}" id="{673D9187-5825-4330-AB0B-67D2CE738CE3}">
    <text>Appropriate postoperative care was provided under veterinary
supervision</text>
  </threadedComment>
  <threadedComment ref="AO99" dT="2023-03-09T02:31:32.77" personId="{0499562B-EFAF-4D5B-A8CC-C952B70A193C}" id="{008665E0-C062-44E0-AEBA-8157739924BF}">
    <text>"rehabilitative training"</text>
  </threadedComment>
  <threadedComment ref="R100" dT="2023-03-12T01:36:43.95" personId="{0499562B-EFAF-4D5B-A8CC-C952B70A193C}" id="{1D8B13AC-E2AD-4DA0-A4AD-5064C488225F}">
    <text>10-12</text>
  </threadedComment>
  <threadedComment ref="T100" dT="2023-03-12T01:36:43.95" personId="{0499562B-EFAF-4D5B-A8CC-C952B70A193C}" id="{71689D76-002B-4567-94B7-E61FE97F67FF}">
    <text>10-12</text>
  </threadedComment>
  <threadedComment ref="AJ100" dT="2023-03-12T01:41:52.90" personId="{0499562B-EFAF-4D5B-A8CC-C952B70A193C}" id="{1988D78B-17AA-4F2A-9C13-FF765D16D74A}">
    <text>2-5 mins</text>
  </threadedComment>
  <threadedComment ref="R101" dT="2023-03-12T01:36:43.95" personId="{0499562B-EFAF-4D5B-A8CC-C952B70A193C}" id="{2116E5D8-118C-45DB-B317-B14BF9D2C16C}">
    <text>10-12</text>
  </threadedComment>
  <threadedComment ref="T101" dT="2023-03-12T01:36:43.95" personId="{0499562B-EFAF-4D5B-A8CC-C952B70A193C}" id="{9E95FEC7-BEBE-45AA-B1EB-67C416F1BB8E}">
    <text>10-12</text>
  </threadedComment>
  <threadedComment ref="AJ101" dT="2023-03-12T01:41:52.90" personId="{0499562B-EFAF-4D5B-A8CC-C952B70A193C}" id="{D04C90B2-CC9C-4BCC-80EC-3CD7DFB4A752}">
    <text>2-5 mins</text>
  </threadedComment>
  <threadedComment ref="R102" dT="2023-03-12T02:09:13.23" personId="{0499562B-EFAF-4D5B-A8CC-C952B70A193C}" id="{3F07BF10-F287-49EA-9618-C7FDD3F4B5E7}">
    <text>10-15</text>
  </threadedComment>
  <threadedComment ref="T102" dT="2023-03-12T02:09:13.23" personId="{0499562B-EFAF-4D5B-A8CC-C952B70A193C}" id="{C490CC5A-CAE1-4FE6-91EA-ADD1D604E0A3}">
    <text>10-15</text>
  </threadedComment>
  <threadedComment ref="U102" dT="2023-03-12T02:09:43.09" personId="{0499562B-EFAF-4D5B-A8CC-C952B70A193C}" id="{38EF9F9B-B7CF-4DC1-957C-CEB3689DBD1A}">
    <text>"inhalation anaesthetic"</text>
  </threadedComment>
  <threadedComment ref="X102" dT="2023-03-12T02:09:43.09" personId="{0499562B-EFAF-4D5B-A8CC-C952B70A193C}" id="{38459738-D805-40D4-8DC0-105C8122E93D}">
    <text>"inhalation anaesthetic"</text>
  </threadedComment>
  <threadedComment ref="G103" dT="2023-03-12T04:55:57.76" personId="{0499562B-EFAF-4D5B-A8CC-C952B70A193C}" id="{024629BB-63A7-447B-94C5-8DCC0F59052E}">
    <text>SPF Wistar strain</text>
  </threadedComment>
  <threadedComment ref="K103" dT="2023-03-03T10:14:20.84" personId="{0499562B-EFAF-4D5B-A8CC-C952B70A193C}" id="{E16951CF-6D33-404A-9750-ACF34C331B2D}">
    <text>"adult"</text>
  </threadedComment>
  <threadedComment ref="AB103" dT="2023-03-12T02:14:42.76" personId="{0499562B-EFAF-4D5B-A8CC-C952B70A193C}" id="{D9F8E6B7-D119-457B-A792-3CD119636310}">
    <text>neostriatum</text>
  </threadedComment>
  <threadedComment ref="AU103" dT="2023-03-12T05:00:43.85" personId="{0499562B-EFAF-4D5B-A8CC-C952B70A193C}" id="{7354853E-F46D-4D85-9BEB-D7D1B2E5D64A}">
    <text>+ nissl + Luxol fast blue</text>
  </threadedComment>
  <threadedComment ref="AB104" dT="2023-03-13T04:05:47.61" personId="{0499562B-EFAF-4D5B-A8CC-C952B70A193C}" id="{B619B4FE-4473-4DBA-9328-3E73A6885EDE}">
    <text>injected into the motor cortex (2 uL) and into the dorsolateral striatum (2 uL)</text>
  </threadedComment>
  <threadedComment ref="AH104" dT="2023-03-13T04:06:28.60" personId="{0499562B-EFAF-4D5B-A8CC-C952B70A193C}" id="{F17ED5F1-4B3D-477E-9B2F-AB9F2D63FEA6}">
    <text>injected into the motor cortex (2 uL) and into the dorsolateral striatum (2 uL)</text>
  </threadedComment>
  <threadedComment ref="AJ104" dT="2023-03-13T04:07:27.55" personId="{0499562B-EFAF-4D5B-A8CC-C952B70A193C}" id="{F9649571-0BAB-499B-B429-A27C7D57815B}">
    <text>1.0 uL/2 min</text>
  </threadedComment>
  <threadedComment ref="AL104" dT="2023-03-13T04:07:51.08" personId="{0499562B-EFAF-4D5B-A8CC-C952B70A193C}" id="{119C34DF-A06C-41DF-93F4-76CA1F403C3E}">
    <text>topical anesthetic Lidocaine</text>
  </threadedComment>
  <threadedComment ref="AB105" dT="2023-03-13T04:29:15.43" personId="{0499562B-EFAF-4D5B-A8CC-C952B70A193C}" id="{41345F3E-8D6E-474D-8ACC-6F2894D82BF7}">
    <text>striatal</text>
  </threadedComment>
  <threadedComment ref="AQ105" dT="2023-03-13T04:31:44.55" personId="{0499562B-EFAF-4D5B-A8CC-C952B70A193C}" id="{78C32603-BB1F-4701-8755-9FB2990CAD8D}">
    <text>Didn't report exact time after stroke when hypoxia was induced</text>
  </threadedComment>
  <threadedComment ref="AU105" dT="2023-03-12T05:00:43.85" personId="{0499562B-EFAF-4D5B-A8CC-C952B70A193C}" id="{71BC379D-47FB-4773-A0AF-C6E5265B3C8A}">
    <text>+ nissl + Luxol fast blue</text>
  </threadedComment>
  <threadedComment ref="AJ106" dT="2023-03-13T05:08:47.60" personId="{0499562B-EFAF-4D5B-A8CC-C952B70A193C}" id="{278E5190-EA17-47A5-AE30-974773BB263D}">
    <text>1uL/min</text>
  </threadedComment>
  <threadedComment ref="AB107" dT="2023-03-13T05:36:04.07" personId="{0499562B-EFAF-4D5B-A8CC-C952B70A193C}" id="{EA717E2A-37AB-409F-9D6A-7895010B461E}">
    <text>(1) AP +0.7 mm, ML +2.2 mm, DV −2.0 mm; 
(2) AP +2.3 mm, ML +2.5 mm, DV −2.3 mm; and 
(3) AP +0.7 mm, ML +3.8 mm, DV −5.8mm</text>
  </threadedComment>
  <threadedComment ref="AH107" dT="2023-03-13T05:34:07.84" personId="{0499562B-EFAF-4D5B-A8CC-C952B70A193C}" id="{6BE1FC2E-2354-4A53-A811-FA69D68A24AF}">
    <text>2uL x 3 injections</text>
  </threadedComment>
  <threadedComment ref="AJ107" dT="2023-03-13T05:33:46.26" personId="{0499562B-EFAF-4D5B-A8CC-C952B70A193C}" id="{3E1421B7-01A2-4636-B697-6BFD663725F2}">
    <text>0.5uL/min</text>
  </threadedComment>
  <threadedComment ref="K108" dT="2023-03-13T05:40:57.51" personId="{0499562B-EFAF-4D5B-A8CC-C952B70A193C}" id="{779AAFAD-AEE8-4232-9928-4E7B246D6B1F}">
    <text>18 months</text>
  </threadedComment>
  <threadedComment ref="M108" dT="2023-03-13T05:41:04.68" personId="{0499562B-EFAF-4D5B-A8CC-C952B70A193C}" id="{27D95F93-EBCB-43F3-B480-687D9F39CAAA}">
    <text>20 months</text>
  </threadedComment>
  <threadedComment ref="AB108" dT="2023-03-13T05:43:56.39" personId="{0499562B-EFAF-4D5B-A8CC-C952B70A193C}" id="{AE669807-6242-405B-B1AF-B1B3BCB34310}">
    <text>(1) AP+3.5 mm ML+ 2.8 mm DV - 1.0 mm; 
(2) AP+2 mm ML+2.8 mm DV - 1.0 mm; and 
(3) AP+0.5 mm ML+2.8 mm DV - 1.0 mm</text>
  </threadedComment>
  <threadedComment ref="AH108" dT="2023-03-13T05:44:57.22" personId="{0499562B-EFAF-4D5B-A8CC-C952B70A193C}" id="{3F5C737D-B7B6-4F76-A797-0E0E1F679FB1}">
    <text>1.uL x 3 injections</text>
  </threadedComment>
  <threadedComment ref="AJ108" dT="2023-03-13T05:33:46.26" personId="{0499562B-EFAF-4D5B-A8CC-C952B70A193C}" id="{A9D09184-5FBA-43D8-AC1E-6B756AFDC748}">
    <text>0.5uL/min</text>
  </threadedComment>
  <threadedComment ref="AD109" dT="2023-03-13T06:04:32.98" personId="{0499562B-EFAF-4D5B-A8CC-C952B70A193C}" id="{A353495A-DA05-43DB-8112-69C0ED2B9636}">
    <text>I suspect conscious though</text>
  </threadedComment>
  <threadedComment ref="AE109" dT="2023-03-13T06:04:59.06" personId="{0499562B-EFAF-4D5B-A8CC-C952B70A193C}" id="{B663ABEA-3154-4F4A-B07E-068220737741}">
    <text>Some time after stroke though</text>
  </threadedComment>
  <threadedComment ref="AJ109" dT="2023-03-13T06:05:41.31" personId="{0499562B-EFAF-4D5B-A8CC-C952B70A193C}" id="{93A32729-6A8A-4193-8F06-E7FA899292B8}">
    <text>0.2uL/min</text>
  </threadedComment>
  <threadedComment ref="AQ110" dT="2023-03-13T06:16:07.55" personId="{0499562B-EFAF-4D5B-A8CC-C952B70A193C}" id="{76247962-8D42-4A32-8107-7900FB31135B}">
    <text>10 mins</text>
  </threadedComment>
  <threadedComment ref="A111" dT="2023-03-14T03:08:59.26" personId="{0499562B-EFAF-4D5B-A8CC-C952B70A193C}" id="{31C9600D-1883-48CB-B3F4-EF36A0F0D30F}">
    <text>Reports in cortical + striatal, cortical volumes in cells, striatal in comments</text>
  </threadedComment>
  <threadedComment ref="Q111" dT="2023-03-14T03:29:43.61" personId="{0499562B-EFAF-4D5B-A8CC-C952B70A193C}" id="{43FF1835-334D-4979-A615-94B793A30801}">
    <text>One without vehicle, one with. I took with vehicle</text>
  </threadedComment>
  <threadedComment ref="AF111" dT="2023-03-14T03:44:47.51" personId="{0499562B-EFAF-4D5B-A8CC-C952B70A193C}" id="{BFC9131C-DC18-47F5-AFF6-34287264FEF7}">
    <text>0.1 M</text>
  </threadedComment>
  <threadedComment ref="H112" dT="2023-03-14T04:28:23.40" personId="{0499562B-EFAF-4D5B-A8CC-C952B70A193C}" id="{AA7C7387-2D10-423A-BC21-73732DD01808}">
    <text>Also reported male/female separately but didn't specify which treatment group they were in so couldn't use it</text>
  </threadedComment>
  <threadedComment ref="K112" dT="2023-03-03T10:14:20.84" personId="{0499562B-EFAF-4D5B-A8CC-C952B70A193C}" id="{F08EB9A0-F255-4050-9B58-F585521FAF3D}">
    <text>"adult"</text>
  </threadedComment>
  <threadedComment ref="AB112" dT="2023-03-14T04:42:40.37" personId="{0499562B-EFAF-4D5B-A8CC-C952B70A193C}" id="{A11B4877-D58F-4742-AA52-F76DBE90B7CE}">
    <text>Medial prefrontal cortex (MPFC)</text>
  </threadedComment>
  <threadedComment ref="AC112" dT="2023-03-14T04:43:21.22" personId="{0499562B-EFAF-4D5B-A8CC-C952B70A193C}" id="{4691DF4A-F269-4F74-9C46-887E058BF02C}">
    <text>4 sites at the following Bregma coordinates:
[AP+3.5, ML ± 0.6, DV−5.2] and [AP+2.5, ML ± 0.6, DV−5.0].</text>
  </threadedComment>
  <threadedComment ref="AF112" dT="2023-03-29T09:23:59.84" personId="{0499562B-EFAF-4D5B-A8CC-C952B70A193C}" id="{1A4D3D04-535E-4068-84C8-1A825E9349DE}">
    <text>400pmol*4</text>
  </threadedComment>
  <threadedComment ref="AH112" dT="2023-03-29T09:23:37.51" personId="{0499562B-EFAF-4D5B-A8CC-C952B70A193C}" id="{D774E7B5-AD79-41B0-9BBB-08AAE2F27138}">
    <text>0.8uL*4</text>
  </threadedComment>
  <threadedComment ref="AT112" dT="2023-03-14T04:45:55.76" personId="{0499562B-EFAF-4D5B-A8CC-C952B70A193C}" id="{89CD87F7-15EB-4388-B21E-7BF5FD0E10DE}">
    <text>Possibly MRI</text>
  </threadedComment>
  <threadedComment ref="K113" dT="2023-03-14T05:30:55.68" personId="{0499562B-EFAF-4D5B-A8CC-C952B70A193C}" id="{E19B2E14-92D4-4701-A3BA-FBAB04D3706B}">
    <text>6 months</text>
  </threadedComment>
  <threadedComment ref="M113" dT="2023-03-14T05:31:02.11" personId="{0499562B-EFAF-4D5B-A8CC-C952B70A193C}" id="{9ECCFC42-C2B5-43F1-BAEB-67165E287184}">
    <text>7 months</text>
  </threadedComment>
  <threadedComment ref="AF113" dT="2023-03-14T05:34:43.14" personId="{0499562B-EFAF-4D5B-A8CC-C952B70A193C}" id="{901671AC-60D9-4B9F-B407-B4F9F8E8037B}">
    <text>"3 μl of ET-1 (endothelin-1) (0.5 ml
in 1 ml of PBS; American Peptide Company)."</text>
  </threadedComment>
  <threadedComment ref="AV113" dT="2023-03-14T05:12:18.33" personId="{0499562B-EFAF-4D5B-A8CC-C952B70A193C}" id="{4786F266-1DB1-47FB-8B1E-48A5F4D36F51}">
    <text>Compared to other 3 groups</text>
  </threadedComment>
  <threadedComment ref="BA113" dT="2023-03-14T05:38:15.39" personId="{0499562B-EFAF-4D5B-A8CC-C952B70A193C}" id="{05E21335-49C5-41CD-AE92-97006D04DBA5}">
    <text>Calculated myself in excel</text>
  </threadedComment>
  <threadedComment ref="BB113" dT="2023-03-14T05:38:04.65" personId="{0499562B-EFAF-4D5B-A8CC-C952B70A193C}" id="{87AF1A1B-BF15-43AF-9E40-99336BE6D938}">
    <text>Calculated myself in excel</text>
  </threadedComment>
  <threadedComment ref="K114" dT="2023-03-14T05:31:27.24" personId="{0499562B-EFAF-4D5B-A8CC-C952B70A193C}" id="{3EFD41E0-0B9E-4F6A-BE58-61A8C2C1974E}">
    <text>10 months</text>
  </threadedComment>
  <threadedComment ref="M114" dT="2023-03-14T05:31:32.43" personId="{0499562B-EFAF-4D5B-A8CC-C952B70A193C}" id="{CE3EF833-7AFA-47FC-BAD0-30CF74A0C776}">
    <text>12 months</text>
  </threadedComment>
  <threadedComment ref="AF114" dT="2023-03-14T05:34:43.14" personId="{0499562B-EFAF-4D5B-A8CC-C952B70A193C}" id="{C9B7302B-3CE2-4E39-8787-E70A9D3AC2AB}">
    <text>"3 μl of ET-1 (endothelin-1) (0.5 ml
in 1 ml of PBS; American Peptide Company)."</text>
  </threadedComment>
  <threadedComment ref="BA114" dT="2023-03-14T05:38:15.39" personId="{0499562B-EFAF-4D5B-A8CC-C952B70A193C}" id="{7C69FB67-A926-4B36-BD2E-60C53A1D5660}">
    <text>Calculated myself in excel</text>
  </threadedComment>
  <threadedComment ref="BB114" dT="2023-03-14T05:38:04.65" personId="{0499562B-EFAF-4D5B-A8CC-C952B70A193C}" id="{4E950117-1C36-47E6-AB53-A8FBB1F4A3B2}">
    <text>Calculated myself in excel</text>
  </threadedComment>
  <threadedComment ref="K115" dT="2023-03-14T05:30:55.68" personId="{0499562B-EFAF-4D5B-A8CC-C952B70A193C}" id="{AD9B4C94-BF69-48FD-8670-E1EE68ADF83B}">
    <text>6 months</text>
  </threadedComment>
  <threadedComment ref="M115" dT="2023-03-14T05:31:02.11" personId="{0499562B-EFAF-4D5B-A8CC-C952B70A193C}" id="{4FC196F8-4D69-48BA-B944-225D8742CB4F}">
    <text>7 months</text>
  </threadedComment>
  <threadedComment ref="AF115" dT="2023-03-14T05:34:43.14" personId="{0499562B-EFAF-4D5B-A8CC-C952B70A193C}" id="{1EC9FA88-E549-4A30-A980-1F0AC2886875}">
    <text>"3 μl of ET-1 (endothelin-1) (0.5 ml
in 1 ml of PBS; American Peptide Company)."</text>
  </threadedComment>
  <threadedComment ref="BA115" dT="2023-03-14T05:38:15.39" personId="{0499562B-EFAF-4D5B-A8CC-C952B70A193C}" id="{74C89DCD-937C-4EE2-8CDA-7082085DF9ED}">
    <text>Calculated myself in excel</text>
  </threadedComment>
  <threadedComment ref="BB115" dT="2023-03-14T05:38:04.65" personId="{0499562B-EFAF-4D5B-A8CC-C952B70A193C}" id="{6A93CBEC-A71E-489D-893B-258B623EAC45}">
    <text>Calculated myself in excel</text>
  </threadedComment>
  <threadedComment ref="K116" dT="2023-03-14T05:31:27.24" personId="{0499562B-EFAF-4D5B-A8CC-C952B70A193C}" id="{5086593F-0930-473B-AF50-F853FFCB21AE}">
    <text>10 months</text>
  </threadedComment>
  <threadedComment ref="M116" dT="2023-03-14T05:31:32.43" personId="{0499562B-EFAF-4D5B-A8CC-C952B70A193C}" id="{9BE2E27F-F563-4067-8B22-DE6BD540D846}">
    <text>12 months</text>
  </threadedComment>
  <threadedComment ref="AF116" dT="2023-03-14T05:34:43.14" personId="{0499562B-EFAF-4D5B-A8CC-C952B70A193C}" id="{61DA58F1-8EA8-40CA-AC73-E82D3428DF0C}">
    <text>"3 μl of ET-1 (endothelin-1) (0.5 ml
in 1 ml of PBS; American Peptide Company)."</text>
  </threadedComment>
  <threadedComment ref="BA116" dT="2023-03-14T05:38:15.39" personId="{0499562B-EFAF-4D5B-A8CC-C952B70A193C}" id="{4DFDE97D-9000-4210-A1C4-8E23A2A85792}">
    <text>Calculated myself in excel</text>
  </threadedComment>
  <threadedComment ref="BB116" dT="2023-03-14T05:38:04.65" personId="{0499562B-EFAF-4D5B-A8CC-C952B70A193C}" id="{2ACC87DE-DDBA-426C-8D7F-B2E97EB310C9}">
    <text>Calculated myself in excel</text>
  </threadedComment>
  <threadedComment ref="AJ117" dT="2023-03-14T06:05:46.17" personId="{0499562B-EFAF-4D5B-A8CC-C952B70A193C}" id="{DF254517-31A2-4636-B495-E43EDCEC09DC}">
    <text>1uL/min</text>
  </threadedComment>
  <threadedComment ref="AJ118" dT="2023-03-14T06:05:46.17" personId="{0499562B-EFAF-4D5B-A8CC-C952B70A193C}" id="{7B0ED94C-701D-4E93-BCA1-AE2F9776F283}">
    <text>1uL/min</text>
  </threadedComment>
  <threadedComment ref="K119" dT="2023-03-14T05:30:55.68" personId="{0499562B-EFAF-4D5B-A8CC-C952B70A193C}" id="{C8A8EACB-CDEC-4F0C-8AC0-43432B0325FC}">
    <text>6 months</text>
  </threadedComment>
  <threadedComment ref="M119" dT="2023-03-14T05:31:02.11" personId="{0499562B-EFAF-4D5B-A8CC-C952B70A193C}" id="{0D137625-1B4F-4072-9390-E42B82DD9FB0}">
    <text>7 months</text>
  </threadedComment>
  <threadedComment ref="K120" dT="2023-03-14T06:18:15.30" personId="{0499562B-EFAF-4D5B-A8CC-C952B70A193C}" id="{441252DF-BCFD-47E8-B9D1-350EDF564112}">
    <text>24 months</text>
  </threadedComment>
  <threadedComment ref="M120" dT="2023-03-14T06:18:22.22" personId="{0499562B-EFAF-4D5B-A8CC-C952B70A193C}" id="{8A519099-5516-40C6-972E-EB81B1A9B451}">
    <text>25 months</text>
  </threadedComment>
  <threadedComment ref="A121" dT="2023-03-14T09:11:03.15" personId="{0499562B-EFAF-4D5B-A8CC-C952B70A193C}" id="{079AEDC0-DFF2-440F-ABD0-C51C454B6949}">
    <text>This pdf has unreadable figures due to poor photocopying - I have put a request in to document delivery, come back to this if the new copy has readable figures as the paper itself seems useable. This paper is the second in the field of ET1 stroke I believe.
Update: got document back after 4 tries. Need to convert into toal volume from cortical+striatal</text>
  </threadedComment>
  <threadedComment ref="AB121" dT="2023-03-08T10:42:31.68" personId="{0499562B-EFAF-4D5B-A8CC-C952B70A193C}" id="{C196697F-0B19-4BD2-827A-9DCCA36121B2}">
    <text>Piriform cortex</text>
  </threadedComment>
  <threadedComment ref="A122" dT="2023-03-14T09:11:03.15" personId="{0499562B-EFAF-4D5B-A8CC-C952B70A193C}" id="{7449ECC0-DF3D-48B0-AD35-54372C2B8B67}">
    <text>This pdf has unreadable figures due to poor photocopying - I have put a request in to document delivery, come back to this if the new copy has readable figures as the paper itself seems useable. This paper is the second in the field of ET1 stroke I believe.
Update: got document back after 4 tries. Need to convert into toal volume from cortical+striatal</text>
  </threadedComment>
  <threadedComment ref="AB122" dT="2023-03-08T10:42:31.68" personId="{0499562B-EFAF-4D5B-A8CC-C952B70A193C}" id="{5ADBE10D-FA12-4C5E-A485-ADC9DDECF532}">
    <text>Piriform cortex</text>
  </threadedComment>
  <threadedComment ref="A123" dT="2023-03-14T09:25:55.25" personId="{0499562B-EFAF-4D5B-A8CC-C952B70A193C}" id="{9469D96F-F9D1-4ADA-8EF8-97C9D1FC97C8}">
    <text>Infarct vol calculated from cortical + striatal</text>
  </threadedComment>
  <threadedComment ref="K123" dT="2023-03-03T10:14:20.84" personId="{0499562B-EFAF-4D5B-A8CC-C952B70A193C}" id="{0E3F9BD6-440D-4645-A298-F592F97746AE}">
    <text>"adult"</text>
  </threadedComment>
  <threadedComment ref="AB123" dT="2023-03-08T10:42:31.68" personId="{0499562B-EFAF-4D5B-A8CC-C952B70A193C}" id="{5A2BE91B-2B99-4DEB-86A3-06C888F3D42D}">
    <text>Piriform cortex</text>
  </threadedComment>
  <threadedComment ref="A124" dT="2023-03-14T09:25:55.25" personId="{0499562B-EFAF-4D5B-A8CC-C952B70A193C}" id="{3AF05D2C-71F9-467F-B866-AA18108F30E0}">
    <text>Infarct vol calculated from cortical + striatal</text>
  </threadedComment>
  <threadedComment ref="K124" dT="2023-03-03T10:14:20.84" personId="{0499562B-EFAF-4D5B-A8CC-C952B70A193C}" id="{D5C142A7-FF03-42D6-B34D-372F09A8CC8F}">
    <text>"adult"</text>
  </threadedComment>
  <threadedComment ref="AB124" dT="2023-03-08T10:42:31.68" personId="{0499562B-EFAF-4D5B-A8CC-C952B70A193C}" id="{1C468514-1529-48C7-84E0-0DFD84B34EE6}">
    <text>Piriform cortex</text>
  </threadedComment>
  <threadedComment ref="AV124" dT="2023-03-14T11:23:59.08" personId="{0499562B-EFAF-4D5B-A8CC-C952B70A193C}" id="{6B88597B-56A6-445E-B204-92A52612EF39}">
    <text>When compared to pentobarbital animals</text>
  </threadedComment>
  <threadedComment ref="AF125" dT="2023-03-18T02:02:25.35" personId="{0499562B-EFAF-4D5B-A8CC-C952B70A193C}" id="{A180F707-0439-4718-97E9-0C3C2230CC98}">
    <text>1 ug</text>
  </threadedComment>
  <threadedComment ref="AT125" dT="2023-03-18T02:03:51.72" personId="{0499562B-EFAF-4D5B-A8CC-C952B70A193C}" id="{2C2790E8-6B68-4484-9B62-F3035B1CB9D0}">
    <text>T2 weighted</text>
  </threadedComment>
  <threadedComment ref="AF126" dT="2023-03-18T02:02:25.35" personId="{0499562B-EFAF-4D5B-A8CC-C952B70A193C}" id="{D1E63E6C-09A4-415A-8647-6F5E77AE7268}">
    <text>1 ug</text>
  </threadedComment>
  <threadedComment ref="AT126" dT="2023-03-18T02:03:51.72" personId="{0499562B-EFAF-4D5B-A8CC-C952B70A193C}" id="{D57B8E1A-5397-441F-A8CA-7EB92DE5461E}">
    <text>T2 weighted</text>
  </threadedComment>
  <threadedComment ref="AB127" dT="2023-03-08T10:42:31.68" personId="{0499562B-EFAF-4D5B-A8CC-C952B70A193C}" id="{1BCBF4BD-83C5-430E-86E5-A3DFED54CA99}">
    <text>Piriform cortex</text>
  </threadedComment>
  <threadedComment ref="AB128" dT="2023-03-08T10:42:31.68" personId="{0499562B-EFAF-4D5B-A8CC-C952B70A193C}" id="{0650C2CF-E83C-4052-8173-A2773D1528D9}">
    <text>Piriform cortex</text>
  </threadedComment>
  <threadedComment ref="K129" dT="2023-03-03T10:14:20.84" personId="{0499562B-EFAF-4D5B-A8CC-C952B70A193C}" id="{F7C62B3A-1C70-4C00-BB60-95F8B45F12F8}">
    <text>"adult"</text>
  </threadedComment>
  <threadedComment ref="AB129" dT="2023-03-18T02:36:04.04" personId="{0499562B-EFAF-4D5B-A8CC-C952B70A193C}" id="{ADDD63E2-4A7E-4967-B0C6-6E62018216D9}">
    <text>(1) AP +0.7mm, ML+2.2mm, DV −2.0mm; (2) AP
+2.3mm, ML +2.5mm, DV −2.3mm; and (3) AP +0.7mm, ML
+3.8mm, DV −5.8mm</text>
  </threadedComment>
  <threadedComment ref="AH129" dT="2023-03-18T02:34:48.03" personId="{0499562B-EFAF-4D5B-A8CC-C952B70A193C}" id="{C568D690-0CA3-4557-A5E9-6DC257AFEC3B}">
    <text>2uL x 3</text>
  </threadedComment>
  <threadedComment ref="AJ129" dT="2023-03-18T02:34:27.77" personId="{0499562B-EFAF-4D5B-A8CC-C952B70A193C}" id="{693167E9-F228-4286-ABAC-B4FE890C6637}">
    <text>0.5uL/min</text>
  </threadedComment>
  <threadedComment ref="AQ129" dT="2023-03-18T02:42:05.30" personId="{0499562B-EFAF-4D5B-A8CC-C952B70A193C}" id="{2767F645-EA87-4CC3-8F7B-9AE0FD84AADF}">
    <text>Mention it was consumed in drinking water for 3 weeks but not if this was pre- or post-stroke</text>
  </threadedComment>
  <threadedComment ref="K130" dT="2023-03-13T05:40:57.51" personId="{0499562B-EFAF-4D5B-A8CC-C952B70A193C}" id="{22CA2666-4E70-4E62-8AFD-6AECE19F1B66}">
    <text>18 months</text>
  </threadedComment>
  <threadedComment ref="M130" dT="2023-03-13T05:41:04.68" personId="{0499562B-EFAF-4D5B-A8CC-C952B70A193C}" id="{8144C8B1-7F05-4F1B-A569-9C8E0E096F9C}">
    <text>20 months</text>
  </threadedComment>
  <threadedComment ref="AB130" dT="2023-03-18T02:36:04.04" personId="{0499562B-EFAF-4D5B-A8CC-C952B70A193C}" id="{2C864C64-829F-4916-8E81-03FE4AD6138B}">
    <text>1) AP +3.5 mm, ML +2.8 mm, DV −1.0 mm
(1.5 μl); 2) AP +2 mm, ML +2.8 mm, DV −1.0 mm (1.5 μl);
and 3) AP +0.5 mm, ML +2.8 mm, DV −1.0 mm (1.5 μl).</text>
  </threadedComment>
  <threadedComment ref="AH130" dT="2023-03-18T02:55:19.30" personId="{0499562B-EFAF-4D5B-A8CC-C952B70A193C}" id="{03A1BDC3-F633-4A3C-9D97-5FC6670D6C38}">
    <text>1.5uL x 3</text>
  </threadedComment>
  <threadedComment ref="AJ130" dT="2023-03-18T02:34:27.77" personId="{0499562B-EFAF-4D5B-A8CC-C952B70A193C}" id="{E6501520-9C81-423A-A820-01B7C935A1C4}">
    <text>0.5uL/min</text>
  </threadedComment>
  <threadedComment ref="AB131" dT="2023-03-18T03:12:22.65" personId="{0499562B-EFAF-4D5B-A8CC-C952B70A193C}" id="{EFE097E8-5D77-4E95-B594-7C0885966D3C}">
    <text>(1) AP
+ 0.7 mm, ML +2.2 mm, DV −2.0 mm; (2) AP+ 2.3 mm, ML
+2.5 mm, DV −2.3 mm; [10] AP+ 0.7 mm, ML +3.8 mm, DV
−5.8 mm</text>
  </threadedComment>
  <threadedComment ref="AH131" dT="2023-03-18T02:34:48.03" personId="{0499562B-EFAF-4D5B-A8CC-C952B70A193C}" id="{590F5626-D3E5-4200-B834-6E49B48376A3}">
    <text>2uL x 3</text>
  </threadedComment>
  <threadedComment ref="AJ131" dT="2023-03-18T02:34:27.77" personId="{0499562B-EFAF-4D5B-A8CC-C952B70A193C}" id="{A7CBBC38-03DC-4FD9-A68E-2D2EDA265FC2}">
    <text>0.5uL/min</text>
  </threadedComment>
  <threadedComment ref="A132" dT="2023-03-18T05:42:21.48" personId="{0499562B-EFAF-4D5B-A8CC-C952B70A193C}" id="{2DD9F18B-FB5A-43A2-B520-96110264824E}">
    <text>Volume calculated from cortical + striatal</text>
  </threadedComment>
  <threadedComment ref="U132" dT="2023-03-18T06:19:42.22" personId="{0499562B-EFAF-4D5B-A8CC-C952B70A193C}" id="{A61A0C05-B566-4CA8-9B49-2BC2B523A10B}">
    <text>For cannula/microdialysis surgery</text>
  </threadedComment>
  <threadedComment ref="V132" dT="2023-03-18T06:19:49.58" personId="{0499562B-EFAF-4D5B-A8CC-C952B70A193C}" id="{D5BDCFA1-8D87-4FB1-98BE-213C2D261654}">
    <text>For cannula/microdialysis surgery</text>
  </threadedComment>
  <threadedComment ref="X132" dT="2023-03-18T06:24:27.89" personId="{0499562B-EFAF-4D5B-A8CC-C952B70A193C}" id="{C028BAEC-5B8B-423D-BAC9-C2C90F3F02D2}">
    <text>For the ET1 induction</text>
  </threadedComment>
  <threadedComment ref="AB132" dT="2023-03-18T06:22:52.65" personId="{0499562B-EFAF-4D5B-A8CC-C952B70A193C}" id="{DE5DC61C-59A7-4833-8A11-9CF4CCF7222A}">
    <text>implantation of three intracerebral guides
according to the atlas of Paxinos and Watson (1986): one was
positioned close to the MCA (co-ordinates relative to bregma
AP + 0.9 mm, L + 5.2 mm and V + 3.1 mm); one into the ipsilateral
striatum (AP + 1.2 mm, L + 2.4 mm and V + 2.8 mm); and the third
in the contralateral prefrontal cortex (AP + 3.2 mm, L)3.0 mm and
V + 2.3 mm).
The guides were replaced by a cannula in the MCA
(CMA12, 3 mm probe of which the membrane is removed; CMA,
Stockholm, Sweden), a microdialysis probe in the striatum
(CMA12, 3 mm) and a thermocouple probe in the prefrontal cortex
(HYP-O-SLE, Omega Corporation, Stamford, CT, USA).</text>
  </threadedComment>
  <threadedComment ref="AJ132" dT="2023-03-18T06:28:28.06" personId="{0499562B-EFAF-4D5B-A8CC-C952B70A193C}" id="{0933B8CC-BF08-4F6A-981E-EA252EBEE85A}">
    <text>1uL/min</text>
  </threadedComment>
  <threadedComment ref="AK132" dT="2023-03-18T06:24:11.80" personId="{0499562B-EFAF-4D5B-A8CC-C952B70A193C}" id="{40AA1EB8-A605-4DBD-9146-8D3C86EAB184}">
    <text>But two other sites where probes implanted</text>
  </threadedComment>
  <threadedComment ref="AQ132" dT="2023-03-18T05:28:26.40" personId="{0499562B-EFAF-4D5B-A8CC-C952B70A193C}" id="{837A7DC7-12C7-47C1-8F0C-5025F64821CA}">
    <text>40 mins before</text>
  </threadedComment>
  <threadedComment ref="A133" dT="2023-03-18T05:42:21.48" personId="{0499562B-EFAF-4D5B-A8CC-C952B70A193C}" id="{75261232-E715-471C-B8F5-60773D02CF6A}">
    <text>Volume calculated from cortical + striatal</text>
  </threadedComment>
  <threadedComment ref="U133" dT="2023-03-18T06:19:46.05" personId="{0499562B-EFAF-4D5B-A8CC-C952B70A193C}" id="{9B2139E0-9DAA-4B5F-A9A4-05022D222C5D}">
    <text>For cannula/microdialysis surgery</text>
  </threadedComment>
  <threadedComment ref="V133" dT="2023-03-18T06:19:53.26" personId="{0499562B-EFAF-4D5B-A8CC-C952B70A193C}" id="{BC68584B-37AF-4F5F-AB52-DEA16E184A83}">
    <text>For cannula/microdialysis surgery</text>
  </threadedComment>
  <threadedComment ref="X133" dT="2023-03-18T06:24:27.89" personId="{0499562B-EFAF-4D5B-A8CC-C952B70A193C}" id="{F380B978-BAA0-4B44-BE4C-8B5FD43C0CCD}">
    <text>For the ET1 induction</text>
  </threadedComment>
  <threadedComment ref="AB133" dT="2023-03-18T06:22:52.65" personId="{0499562B-EFAF-4D5B-A8CC-C952B70A193C}" id="{CF90048F-F67D-4F22-A375-6FE63F7C9708}">
    <text>implantation of three intracerebral guides
according to the atlas of Paxinos and Watson (1986): one was
positioned close to the MCA (co-ordinates relative to bregma
AP + 0.9 mm, L + 5.2 mm and V + 3.1 mm); one into the ipsilateral
striatum (AP + 1.2 mm, L + 2.4 mm and V + 2.8 mm); and the third
in the contralateral prefrontal cortex (AP + 3.2 mm, L)3.0 mm and
V + 2.3 mm).
The guides were replaced by a cannula in the MCA
(CMA12, 3 mm probe of which the membrane is removed; CMA,
Stockholm, Sweden), a microdialysis probe in the striatum
(CMA12, 3 mm) and a thermocouple probe in the prefrontal cortex
(HYP-O-SLE, Omega Corporation, Stamford, CT, USA).</text>
  </threadedComment>
  <threadedComment ref="AJ133" dT="2023-03-18T06:28:28.06" personId="{0499562B-EFAF-4D5B-A8CC-C952B70A193C}" id="{A36BE78F-B235-4847-80C7-0777A61B86BA}">
    <text>1uL/min</text>
  </threadedComment>
  <threadedComment ref="AK133" dT="2023-03-18T06:24:11.80" personId="{0499562B-EFAF-4D5B-A8CC-C952B70A193C}" id="{8C1CD704-2834-4E4C-8A6E-49D3DB20FF47}">
    <text>But two other sites where probes implanted</text>
  </threadedComment>
  <threadedComment ref="AQ133" dT="2023-03-18T05:28:26.40" personId="{0499562B-EFAF-4D5B-A8CC-C952B70A193C}" id="{D33DB6F8-3476-4D4C-BE66-3D62D31192E0}">
    <text>40 mins before</text>
  </threadedComment>
  <threadedComment ref="G134" dT="2023-03-18T07:02:58.15" personId="{0499562B-EFAF-4D5B-A8CC-C952B70A193C}" id="{F386D213-236A-42B9-B178-F97BA431D0BA}">
    <text>"CD rats"</text>
  </threadedComment>
  <threadedComment ref="AB134" dT="2023-03-08T10:42:31.68" personId="{0499562B-EFAF-4D5B-A8CC-C952B70A193C}" id="{82FBB71A-79D2-4A7E-839B-A346497033ED}">
    <text>Piriform cortex</text>
  </threadedComment>
  <threadedComment ref="AF134" dT="2023-03-18T07:11:54.28" personId="{0499562B-EFAF-4D5B-A8CC-C952B70A193C}" id="{702BC106-EFEB-4CF4-8F39-2C6FDD065D0B}">
    <text>50 uMol/L</text>
  </threadedComment>
  <threadedComment ref="AJ134" dT="2023-03-18T07:12:18.69" personId="{0499562B-EFAF-4D5B-A8CC-C952B70A193C}" id="{EF72D373-9FF8-46FB-AB5C-F18321B2BC57}">
    <text>1uL/min</text>
  </threadedComment>
  <threadedComment ref="K135" dT="2023-03-03T10:14:20.84" personId="{0499562B-EFAF-4D5B-A8CC-C952B70A193C}" id="{2A6D9740-B267-43B8-B1CC-B3A034D83E13}">
    <text>"adult"</text>
  </threadedComment>
  <threadedComment ref="AB135" dT="2023-03-08T10:42:31.68" personId="{0499562B-EFAF-4D5B-A8CC-C952B70A193C}" id="{EB64007A-F4F3-4081-904D-B95B1C06DE7F}">
    <text>Piriform cortex</text>
  </threadedComment>
  <threadedComment ref="AT135" dT="2023-03-18T08:43:29.58" personId="{0499562B-EFAF-4D5B-A8CC-C952B70A193C}" id="{DE60BAB1-9EFC-40FD-A86D-A2E0A7E276C3}">
    <text>infarct area was determined in unstained sections using the ballistic light method (Callaway et al., 2000)</text>
  </threadedComment>
  <threadedComment ref="AW135" dT="2023-03-18T08:32:57.85" personId="{0499562B-EFAF-4D5B-A8CC-C952B70A193C}" id="{7F27AB92-8A17-4F52-AB6F-A23BE118F0CD}">
    <text>Striatal control mean: 24.05
Striatal control error: 8.1</text>
  </threadedComment>
  <threadedComment ref="AY135" dT="2023-03-18T08:33:31.22" personId="{0499562B-EFAF-4D5B-A8CC-C952B70A193C}" id="{FE5BF903-320D-4199-BE25-E90C3C0D454C}">
    <text>Striatal treatment mean: 7.61
Striatal treatment error: 3.19</text>
  </threadedComment>
  <threadedComment ref="K136" dT="2023-03-03T10:14:20.84" personId="{0499562B-EFAF-4D5B-A8CC-C952B70A193C}" id="{F9530732-2C9D-44E6-BF31-1936BCA14CF7}">
    <text>"adult"</text>
  </threadedComment>
  <threadedComment ref="R136" dT="2023-03-18T08:50:51.00" personId="{0499562B-EFAF-4D5B-A8CC-C952B70A193C}" id="{E48531B3-5CCA-4386-98B6-7B65B83D5DD9}">
    <text>4-5</text>
  </threadedComment>
  <threadedComment ref="AB136" dT="2023-03-08T10:42:31.68" personId="{0499562B-EFAF-4D5B-A8CC-C952B70A193C}" id="{6566244B-2175-47D6-8226-D86284DAFE2C}">
    <text>Piriform cortex</text>
  </threadedComment>
  <threadedComment ref="AT136" dT="2023-03-18T08:43:29.58" personId="{0499562B-EFAF-4D5B-A8CC-C952B70A193C}" id="{1E6A46D4-2159-4A99-B001-6535FBBF5B89}">
    <text>infarct area was determined in unstained sections using the ballistic light method (Callaway et al., 2000)</text>
  </threadedComment>
  <threadedComment ref="AW136" dT="2023-03-18T08:32:57.85" personId="{0499562B-EFAF-4D5B-A8CC-C952B70A193C}" id="{AA95B1CB-9440-4C78-BC6B-56622E2CBB8D}">
    <text>Striatal control mean: 24.82
Striatal control error: 3.0</text>
  </threadedComment>
  <threadedComment ref="AB137" dT="2023-03-18T09:10:32.95" personId="{0499562B-EFAF-4D5B-A8CC-C952B70A193C}" id="{DE39020E-54C7-4427-BEB1-18B9A9B23DCE}">
    <text>1. anteroposterior (AP) +2.3 mm, mediolateral
(ML) F 2.5 mm, dorsoventral (DV) _x0001_2.3 mm (2.0 Al), 2.
AP 0.0 mm, ML F 2.5 mm, DV _x0001_2.3 mm (2.0 Al), 3.
AP +0.7 mm, ML F 3.8 mm, DV _x0001_7.0 mm (1.0 Al)</text>
  </threadedComment>
  <threadedComment ref="AH137" dT="2023-03-18T09:10:13.97" personId="{0499562B-EFAF-4D5B-A8CC-C952B70A193C}" id="{9A75448A-138B-437C-9056-0004333B0DC9}">
    <text>2 + 2 + 1</text>
  </threadedComment>
  <threadedComment ref="AO137" dT="2023-03-18T09:14:44.15" personId="{0499562B-EFAF-4D5B-A8CC-C952B70A193C}" id="{739F9A32-48A0-4CF9-A077-1C5EC4060981}">
    <text>"rehabilitation" - reaching tasks</text>
  </threadedComment>
  <threadedComment ref="L138" dT="2023-03-18T09:35:05.85" personId="{0499562B-EFAF-4D5B-A8CC-C952B70A193C}" id="{1D3FD6DF-87B9-4B78-8607-0FBE334C6FB1}">
    <text>10 days old</text>
  </threadedComment>
  <threadedComment ref="AJ138" dT="2023-03-18T09:49:25.44" personId="{0499562B-EFAF-4D5B-A8CC-C952B70A193C}" id="{B35C5DBF-3990-4975-8BA9-5BEBFC5B0C97}">
    <text>15 s/uL</text>
  </threadedComment>
  <threadedComment ref="L139" dT="2023-03-18T09:35:05.85" personId="{0499562B-EFAF-4D5B-A8CC-C952B70A193C}" id="{14B66B3F-E766-4F9B-9DCF-D8811FF65D6A}">
    <text>10 days old</text>
  </threadedComment>
  <threadedComment ref="AJ139" dT="2023-03-18T09:49:25.44" personId="{0499562B-EFAF-4D5B-A8CC-C952B70A193C}" id="{7DF79DB1-391C-4979-91F1-5C891A59D3BA}">
    <text>15 s/uL</text>
  </threadedComment>
  <threadedComment ref="L140" dT="2023-03-18T09:35:35.07" personId="{0499562B-EFAF-4D5B-A8CC-C952B70A193C}" id="{DAEFE71C-9C12-4F3F-8D2A-8BA65AEA1C64}">
    <text>63 days old</text>
  </threadedComment>
  <threadedComment ref="AJ140" dT="2023-03-18T09:49:25.44" personId="{0499562B-EFAF-4D5B-A8CC-C952B70A193C}" id="{06D08E53-053C-4CFF-B895-A30B4FB4FA5A}">
    <text>15 s/uL</text>
  </threadedComment>
  <threadedComment ref="L141" dT="2023-03-18T09:35:35.07" personId="{0499562B-EFAF-4D5B-A8CC-C952B70A193C}" id="{E72A6504-FCF6-4740-862B-CC1D1A27564E}">
    <text>63 days old</text>
  </threadedComment>
  <threadedComment ref="AJ141" dT="2023-03-18T09:49:25.44" personId="{0499562B-EFAF-4D5B-A8CC-C952B70A193C}" id="{CECECAB1-FD6B-4CFF-B9FD-8A77495B9B80}">
    <text>15 s/uL</text>
  </threadedComment>
  <threadedComment ref="L142" dT="2023-03-18T09:35:56.39" personId="{0499562B-EFAF-4D5B-A8CC-C952B70A193C}" id="{E7EE7B3D-C95F-4127-B432-BB5998EB6EA4}">
    <text>180 days old</text>
  </threadedComment>
  <threadedComment ref="AJ142" dT="2023-03-18T09:49:25.44" personId="{0499562B-EFAF-4D5B-A8CC-C952B70A193C}" id="{03EC7948-C25C-4CB8-B442-D8577825A5C6}">
    <text>15 s/uL</text>
  </threadedComment>
  <threadedComment ref="L143" dT="2023-03-18T09:35:56.39" personId="{0499562B-EFAF-4D5B-A8CC-C952B70A193C}" id="{3AF43723-6701-44FD-B669-85F978A32318}">
    <text>180 days old</text>
  </threadedComment>
  <threadedComment ref="AJ143" dT="2023-03-18T09:49:25.44" personId="{0499562B-EFAF-4D5B-A8CC-C952B70A193C}" id="{1DA2A7D8-5FDF-4FD9-801E-C54CB0D4BD67}">
    <text>15 s/uL</text>
  </threadedComment>
  <threadedComment ref="L144" dT="2023-03-18T09:35:05.85" personId="{0499562B-EFAF-4D5B-A8CC-C952B70A193C}" id="{8A41FC09-77B0-4277-8840-59F3371FC516}">
    <text>10 days old</text>
  </threadedComment>
  <threadedComment ref="R144" dT="2023-03-18T10:03:19.85" personId="{0499562B-EFAF-4D5B-A8CC-C952B70A193C}" id="{C321ED22-C017-4342-A80D-41702EDD8B43}">
    <text>19 females, 11 males</text>
  </threadedComment>
  <threadedComment ref="AB144" dT="2023-03-08T10:42:31.68" personId="{0499562B-EFAF-4D5B-A8CC-C952B70A193C}" id="{4649E451-E7CC-48A4-A55F-A344FB776E2F}">
    <text>Piriform cortex</text>
  </threadedComment>
  <threadedComment ref="AJ144" dT="2023-03-18T09:49:25.44" personId="{0499562B-EFAF-4D5B-A8CC-C952B70A193C}" id="{753B5C16-AB5C-4B27-9AD5-001F753A7BE3}">
    <text>15 s/uL</text>
  </threadedComment>
  <threadedComment ref="L145" dT="2023-03-18T10:03:00.04" personId="{0499562B-EFAF-4D5B-A8CC-C952B70A193C}" id="{DA29D83E-CF17-4B1A-9970-BD0AD7975DC2}">
    <text>42 days</text>
  </threadedComment>
  <threadedComment ref="R145" dT="2023-03-18T10:03:32.96" personId="{0499562B-EFAF-4D5B-A8CC-C952B70A193C}" id="{F60452F7-6F68-470D-93AF-CBC01CEE7A64}">
    <text>15 females, 17 males</text>
  </threadedComment>
  <threadedComment ref="AB145" dT="2023-03-08T10:42:31.68" personId="{0499562B-EFAF-4D5B-A8CC-C952B70A193C}" id="{629DCC8A-813D-4338-93FB-05D8DEED849B}">
    <text>Piriform cortex</text>
  </threadedComment>
  <threadedComment ref="AJ145" dT="2023-03-18T09:49:25.44" personId="{0499562B-EFAF-4D5B-A8CC-C952B70A193C}" id="{57EBB6A9-37AB-47F6-B74A-980A6036BD89}">
    <text>15 s/uL</text>
  </threadedComment>
  <threadedComment ref="L146" dT="2023-03-18T09:35:56.39" personId="{0499562B-EFAF-4D5B-A8CC-C952B70A193C}" id="{75579467-198B-46DC-9D6E-E4865FA99E40}">
    <text>180 days old</text>
  </threadedComment>
  <threadedComment ref="R146" dT="2023-03-18T10:03:58.80" personId="{0499562B-EFAF-4D5B-A8CC-C952B70A193C}" id="{A99FCA90-B448-4090-86C2-709888DCA10C}">
    <text>8 females, 9 males</text>
  </threadedComment>
  <threadedComment ref="AB146" dT="2023-03-08T10:42:31.68" personId="{0499562B-EFAF-4D5B-A8CC-C952B70A193C}" id="{61A5D8B9-F744-4932-9CCB-AB07D984FCC6}">
    <text>Piriform cortex</text>
  </threadedComment>
  <threadedComment ref="AJ146" dT="2023-03-18T09:49:25.44" personId="{0499562B-EFAF-4D5B-A8CC-C952B70A193C}" id="{7C701988-4337-45C1-8C5B-8FB0905AE5FD}">
    <text>15 s/uL</text>
  </threadedComment>
  <threadedComment ref="AJ147" dT="2023-03-18T10:21:51.76" personId="{0499562B-EFAF-4D5B-A8CC-C952B70A193C}" id="{30001F59-2F0E-4319-8560-AC2C6C41F227}">
    <text>0.1 μL/15 seconds</text>
  </threadedComment>
  <threadedComment ref="AL147" dT="2023-03-18T10:22:34.92" personId="{0499562B-EFAF-4D5B-A8CC-C952B70A193C}" id="{29AB70FC-B699-48DE-A590-033C64A64E15}">
    <text>topical</text>
  </threadedComment>
  <threadedComment ref="AJ148" dT="2023-03-18T10:21:51.76" personId="{0499562B-EFAF-4D5B-A8CC-C952B70A193C}" id="{6EB01C6F-6171-456A-A54E-B8C2FEC0FFFF}">
    <text>0.1 μL/15 seconds</text>
  </threadedComment>
  <threadedComment ref="AL148" dT="2023-03-18T10:22:34.92" personId="{0499562B-EFAF-4D5B-A8CC-C952B70A193C}" id="{688926B4-4A05-45B4-97D1-2C257CA370D6}">
    <text>topical</text>
  </threadedComment>
  <threadedComment ref="AO148" dT="2023-03-18T10:18:54.91" personId="{0499562B-EFAF-4D5B-A8CC-C952B70A193C}" id="{BDF07949-23ED-46A5-8059-0789F5E689CA}">
    <text>Rats were dwarves, this is to combat their lack of GH</text>
  </threadedComment>
  <threadedComment ref="K149" dT="2023-03-03T10:14:20.84" personId="{0499562B-EFAF-4D5B-A8CC-C952B70A193C}" id="{10F9C97D-50EE-4098-9784-B0021503BD9C}">
    <text>"adult"</text>
  </threadedComment>
  <threadedComment ref="AB149" dT="2023-03-19T05:23:34.98" personId="{0499562B-EFAF-4D5B-A8CC-C952B70A193C}" id="{63B255EF-E380-4A06-80A8-2207AE2F9BA1}">
    <text>injection 1 (0.0
anteroposterior, +2.5 mediolateral, and -2.1 dorsoventral) and
injection 2 (+2.3 anteroposterior, +2.5 mediolateral, and -1.9
dorsoventral) corresponded to the right motor and right somatosensory
primary cortices, respectively</text>
  </threadedComment>
  <threadedComment ref="AF149" dT="2023-03-29T09:27:14.02" personId="{0499562B-EFAF-4D5B-A8CC-C952B70A193C}" id="{86C578D8-5934-491D-B567-E1469910B234}">
    <text>400pmol*2</text>
  </threadedComment>
  <threadedComment ref="AH149" dT="2023-03-29T09:27:36.05" personId="{0499562B-EFAF-4D5B-A8CC-C952B70A193C}" id="{4CD45DE0-C753-4276-8786-D60C91B78E38}">
    <text>0.5uL*2</text>
  </threadedComment>
  <threadedComment ref="AJ149" dT="2023-03-19T05:22:32.92" personId="{0499562B-EFAF-4D5B-A8CC-C952B70A193C}" id="{989E5753-E72D-4BB9-B26D-A17095939939}">
    <text>0.25 uL/min</text>
  </threadedComment>
  <threadedComment ref="U150" dT="2023-03-19T05:40:12.10" personId="{0499562B-EFAF-4D5B-A8CC-C952B70A193C}" id="{2685DF9D-BE65-47EA-AA48-CEF648BE5051}">
    <text>For cannula implantation</text>
  </threadedComment>
  <threadedComment ref="V150" dT="2023-03-19T05:40:17.27" personId="{0499562B-EFAF-4D5B-A8CC-C952B70A193C}" id="{0D6ABC13-ADE8-439A-85BC-C3929EDC9A39}">
    <text>For cannula implantation</text>
  </threadedComment>
  <threadedComment ref="X150" dT="2023-03-19T05:40:27.52" personId="{0499562B-EFAF-4D5B-A8CC-C952B70A193C}" id="{CC5CA08B-51DA-4C50-BFDC-A142D9307244}">
    <text>For stroke induction</text>
  </threadedComment>
  <threadedComment ref="AB150" dT="2023-03-19T05:39:44.30" personId="{0499562B-EFAF-4D5B-A8CC-C952B70A193C}" id="{8F5CF139-8454-4955-BF35-85E1614234F9}">
    <text>An Et-1 administration probe was positioned close to the
middle cerebral artery (MCA) (relative to bregma: AP
+0.9 mm; L +5.0 mm; V +2.8 mm) and a thermocouple
probe was positioned in the contralateral prefrontal cortex
(AP +3.2 mm; L −3.0 mm; V +2.3 mm)</text>
  </threadedComment>
  <threadedComment ref="AJ150" dT="2023-03-19T05:44:01.25" personId="{0499562B-EFAF-4D5B-A8CC-C952B70A193C}" id="{392725BF-8354-4A72-BFB6-B70611486710}">
    <text>1uL/min</text>
  </threadedComment>
  <threadedComment ref="AQ150" dT="2023-03-19T05:36:53.90" personId="{0499562B-EFAF-4D5B-A8CC-C952B70A193C}" id="{643582AC-E221-4DE9-8D8D-CDE03346A5E3}">
    <text>20 minutes</text>
  </threadedComment>
  <threadedComment ref="U151" dT="2023-03-19T05:40:12.10" personId="{0499562B-EFAF-4D5B-A8CC-C952B70A193C}" id="{8627BB6E-96C9-49F3-B18C-A4DA73A81BF2}">
    <text>For cannula implantation</text>
  </threadedComment>
  <threadedComment ref="V151" dT="2023-03-19T05:40:17.27" personId="{0499562B-EFAF-4D5B-A8CC-C952B70A193C}" id="{85805DE6-243B-45AB-9881-D567D5215B59}">
    <text>For cannula implantation</text>
  </threadedComment>
  <threadedComment ref="X151" dT="2023-03-19T05:40:27.52" personId="{0499562B-EFAF-4D5B-A8CC-C952B70A193C}" id="{B606A802-FBF9-486E-80D7-1B7924688049}">
    <text>For stroke induction</text>
  </threadedComment>
  <threadedComment ref="AB151" dT="2023-03-19T05:52:13.23" personId="{0499562B-EFAF-4D5B-A8CC-C952B70A193C}" id="{4F55A36D-4E3D-44D7-AFBD-5AFF644F9F0B}">
    <text>AnEt-1administrationguidewas positioned close to the MCA (relative to bregma :AP þ0.9 mm; L þ5.0 mm;V þ2.8 mm)andathermocoupleguide waspositionedinthecontralateralprefrontalcortex (AP þ3.2 mm;L _x0002_3.0 mm;V þ2.3 mm)</text>
  </threadedComment>
  <threadedComment ref="AJ151" dT="2023-03-19T05:44:01.25" personId="{0499562B-EFAF-4D5B-A8CC-C952B70A193C}" id="{FBC974DE-3472-4A9E-AF5D-B3CE5294A33C}">
    <text>1uL/min</text>
  </threadedComment>
  <threadedComment ref="AQ151" dT="2023-03-19T05:36:53.90" personId="{0499562B-EFAF-4D5B-A8CC-C952B70A193C}" id="{C1A47CDA-E6AE-4775-A99B-6621CFE4C4B2}">
    <text>20 minutes</text>
  </threadedComment>
  <threadedComment ref="U152" dT="2023-03-19T05:40:12.10" personId="{0499562B-EFAF-4D5B-A8CC-C952B70A193C}" id="{AF0AC800-3E26-4070-8EDE-CA9D8BC576F6}">
    <text>For cannula implantation</text>
  </threadedComment>
  <threadedComment ref="V152" dT="2023-03-19T05:40:17.27" personId="{0499562B-EFAF-4D5B-A8CC-C952B70A193C}" id="{F188A787-95F6-4C48-B514-863EFC44B9D5}">
    <text>For cannula implantation</text>
  </threadedComment>
  <threadedComment ref="X152" dT="2023-03-19T05:40:27.52" personId="{0499562B-EFAF-4D5B-A8CC-C952B70A193C}" id="{353D3182-BE43-4E24-A89A-C734B39A402A}">
    <text>For stroke induction</text>
  </threadedComment>
  <threadedComment ref="AB152" dT="2023-03-19T05:52:13.23" personId="{0499562B-EFAF-4D5B-A8CC-C952B70A193C}" id="{E9F9B89B-E309-46A8-A964-24D407FF16C7}">
    <text>Et-1 administration was positioned close to
the middle cerebral artery (MCA) (relative to bregma: AP
+0.9 mm; L +5.0 mm; V +2.8 mm) and a cannula for the thermocouple
probe was positioned in the contralateral prefrontal cortex
(AP +3.2 mm; L _x0002_3.0 mm; V +2.3 mm)</text>
  </threadedComment>
  <threadedComment ref="AJ152" dT="2023-03-19T05:44:01.25" personId="{0499562B-EFAF-4D5B-A8CC-C952B70A193C}" id="{8B917FC4-4AC4-49A4-9B93-ECAB8AEEEEA7}">
    <text>1uL/min</text>
  </threadedComment>
  <threadedComment ref="AQ152" dT="2023-03-19T05:36:53.90" personId="{0499562B-EFAF-4D5B-A8CC-C952B70A193C}" id="{B77A3E0E-71D0-4C87-8505-CF4A13D8C280}">
    <text>20 minutes</text>
  </threadedComment>
  <threadedComment ref="K153" dT="2023-03-03T10:14:20.84" personId="{0499562B-EFAF-4D5B-A8CC-C952B70A193C}" id="{E88E7533-19E0-44EE-A0CB-F1B655C660EC}">
    <text>"adult"</text>
  </threadedComment>
  <threadedComment ref="AB153" dT="2023-03-19T06:23:29.54" personId="{0499562B-EFAF-4D5B-A8CC-C952B70A193C}" id="{7016CA6A-B390-472A-8020-1C14EFFEAAF0}">
    <text>Motor cortex: (1) AP +0.7 mm, ML +2.2 mm, DV
–2.0 mm; (2)AP+2.3 mm,ML+2.5 mm,DV–2.3 mm;
(3) AP +0.7 mm, ML +3.8 mm, DV –5.8mm (1_x0001_g per
injection site)</text>
  </threadedComment>
  <threadedComment ref="AF153" dT="2023-03-19T06:24:34.08" personId="{0499562B-EFAF-4D5B-A8CC-C952B70A193C}" id="{87584123-B460-44A3-93CE-CC99F8BB25C1}">
    <text>1ug/injection x 3</text>
  </threadedComment>
  <threadedComment ref="AJ153" dT="2023-03-19T06:25:05.37" personId="{0499562B-EFAF-4D5B-A8CC-C952B70A193C}" id="{A304B18C-F218-4A6C-B89E-A790E3DF6331}">
    <text>0.5 ul/min</text>
  </threadedComment>
  <threadedComment ref="K154" dT="2023-03-03T10:14:20.84" personId="{0499562B-EFAF-4D5B-A8CC-C952B70A193C}" id="{AD2149B3-88E7-4DF5-A7DE-917CB4A2B3B9}">
    <text>"adult"</text>
  </threadedComment>
  <threadedComment ref="AB154" dT="2023-03-19T06:23:29.54" personId="{0499562B-EFAF-4D5B-A8CC-C952B70A193C}" id="{5C983A73-C5ED-4F9F-B33B-5FC80EDD24DA}">
    <text>Motor cortex: (1) AP +0.7 mm, ML +2.2 mm, DV
–2.0 mm; (2)AP+2.3 mm,ML+2.5 mm,DV–2.3 mm;
(3) AP +0.7 mm, ML +3.8 mm, DV –5.8mm (1_x0001_g per
injection site)</text>
  </threadedComment>
  <threadedComment ref="AF154" dT="2023-03-19T06:24:34.08" personId="{0499562B-EFAF-4D5B-A8CC-C952B70A193C}" id="{127E9C04-06B5-47B8-8CC4-F752520D9258}">
    <text>1ug/injection x 3</text>
  </threadedComment>
  <threadedComment ref="AJ154" dT="2023-03-19T06:25:05.37" personId="{0499562B-EFAF-4D5B-A8CC-C952B70A193C}" id="{1FA6CE38-6E83-483E-A6AA-4CED00D8F7C6}">
    <text>0.5 ul/min</text>
  </threadedComment>
  <threadedComment ref="AB155" dT="2023-03-19T06:45:55.15" personId="{0499562B-EFAF-4D5B-A8CC-C952B70A193C}" id="{7D334CC5-40C4-4B8E-A2A7-A8475703082C}">
    <text>(1) anteroposterior (AP) +0.7 mm, mediolateral
(ML) +2.2 mm, dorsoventral −2.0 mm; (2) AP +2.3 mm, ML
+2.5 mm, dorsoventral −2.3 mm; and (3) AP +0.7 mm, ML +3.8 mm,
dorsoventral −5.8 mm</text>
  </threadedComment>
  <threadedComment ref="AH155" dT="2023-03-19T06:46:22.46" personId="{0499562B-EFAF-4D5B-A8CC-C952B70A193C}" id="{49D24FB9-431C-4C19-9CB7-39AACEAEFC35}">
    <text>2uL x 3</text>
  </threadedComment>
  <threadedComment ref="AJ155" dT="2023-03-19T06:25:05.37" personId="{0499562B-EFAF-4D5B-A8CC-C952B70A193C}" id="{D84283CD-A6D3-452A-82B2-01E0661470D0}">
    <text>0.5 ul/min</text>
  </threadedComment>
  <threadedComment ref="AO155" dT="2023-03-19T06:45:08.66" personId="{0499562B-EFAF-4D5B-A8CC-C952B70A193C}" id="{8444BDFE-45CB-4696-835D-EDB6962D7EAA}">
    <text>Although named differently, this is really the same as forced limb use (especially between these two papers from the same author). Re-classify as one therapy later</text>
  </threadedComment>
  <threadedComment ref="K156" dT="2023-03-03T10:14:20.84" personId="{0499562B-EFAF-4D5B-A8CC-C952B70A193C}" id="{E6EF73CA-5D02-4C5A-B464-E21C994331BA}">
    <text>"adult"</text>
  </threadedComment>
  <threadedComment ref="AL156" dT="2023-03-21T04:44:45.30" personId="{0499562B-EFAF-4D5B-A8CC-C952B70A193C}" id="{4FA9C666-7D44-4F21-B129-BC0BBE1FF40A}">
    <text>Given in drinking water</text>
  </threadedComment>
  <threadedComment ref="AT156" dT="2023-03-18T08:43:29.58" personId="{0499562B-EFAF-4D5B-A8CC-C952B70A193C}" id="{66979A1A-F113-4107-9BAF-F956B7ECD796}">
    <text>infarct area was determined in unstained sections using the ballistic light method (Callaway et al., 2000)</text>
  </threadedComment>
  <threadedComment ref="AU157" dT="2023-03-21T09:04:09.18" personId="{0499562B-EFAF-4D5B-A8CC-C952B70A193C}" id="{A9483054-BD6B-4C86-9E19-F6BB25AA2216}">
    <text>Also cresyl violet</text>
  </threadedComment>
  <threadedComment ref="BA157" dT="2023-03-21T08:51:57.83" personId="{0499562B-EFAF-4D5B-A8CC-C952B70A193C}" id="{AC0253D5-1210-45E4-99BB-9030C4014FC7}">
    <text>"Percentage of volume of remaining tissue compared with the contralateral hemisphere" - converted this to % damage by subtracting from 100</text>
  </threadedComment>
  <threadedComment ref="AJ158" dT="2023-03-21T09:41:44.98" personId="{0499562B-EFAF-4D5B-A8CC-C952B70A193C}" id="{368BADB0-751D-4B5D-ACFC-99EB1E3E908A}">
    <text>1uL/min</text>
  </threadedComment>
  <threadedComment ref="AL158" dT="2023-03-21T09:33:09.90" personId="{0499562B-EFAF-4D5B-A8CC-C952B70A193C}" id="{79F75ADD-7C5D-4AE3-B9FF-D519186F1930}">
    <text>Topical - Xylocaine brand</text>
  </threadedComment>
  <threadedComment ref="AM158" dT="2023-03-21T09:37:34.01" personId="{0499562B-EFAF-4D5B-A8CC-C952B70A193C}" id="{71E1D5AB-1259-4FFF-ADED-491B8E072AB3}">
    <text>Ketofen brand</text>
  </threadedComment>
  <threadedComment ref="AJ159" dT="2023-03-21T09:41:44.98" personId="{0499562B-EFAF-4D5B-A8CC-C952B70A193C}" id="{5999A22A-C6CE-44F2-A650-117923842965}">
    <text>1uL/min</text>
  </threadedComment>
  <threadedComment ref="AL159" dT="2023-03-21T09:33:09.90" personId="{0499562B-EFAF-4D5B-A8CC-C952B70A193C}" id="{AF36201E-C386-43BF-9D60-2F37B45ED5B8}">
    <text>Topical - Xylocaine brand</text>
  </threadedComment>
  <threadedComment ref="AM159" dT="2023-03-21T09:37:34.01" personId="{0499562B-EFAF-4D5B-A8CC-C952B70A193C}" id="{519C6AFA-6383-47C2-8E7F-9D46601F1C14}">
    <text>Ketofen brand</text>
  </threadedComment>
  <threadedComment ref="V160" dT="2023-03-21T10:40:14.98" personId="{0499562B-EFAF-4D5B-A8CC-C952B70A193C}" id="{B7C27C59-A493-4983-BC6D-C0B38F0FA58F}">
    <text>Reversed at the end with atipamezole</text>
  </threadedComment>
  <threadedComment ref="Y160" dT="2023-03-21T10:40:14.98" personId="{0499562B-EFAF-4D5B-A8CC-C952B70A193C}" id="{158F2E18-47FE-4B78-B4B5-59DBACD38F16}">
    <text>Reversed at the end with atipamezole</text>
  </threadedComment>
  <threadedComment ref="AB160" dT="2023-03-21T10:29:32.60" personId="{0499562B-EFAF-4D5B-A8CC-C952B70A193C}" id="{62FF2B00-0F96-4F3A-B3C7-1F45394EC9DA}">
    <text>sensorimotor cortex. six stereotaxic coordinates in relation to bregma:
(1) AP: 􀀀1.0, ML: +2.5, DV: 􀀀2.3; (2) AP: +1.0, ML: +2.5,
DV: 􀀀2.3; (3) AP: +3.0, ML: +2.5, DV: 􀀀2.3; (4) AP: 􀀀1.0,
ML: +3.5, DV: 􀀀2.3; (5) AP: +1.0, ML: +3.5, DV: 􀀀2.3; and
(6) AP: +3.0, ML: +3.5, DV: 􀀀2.3</text>
  </threadedComment>
  <threadedComment ref="AF160" dT="2023-03-29T09:29:20.33" personId="{0499562B-EFAF-4D5B-A8CC-C952B70A193C}" id="{382D4D8E-66D8-4DF7-8732-2342ADCFABDB}">
    <text>800pmol/2uL = 400pmol/uL</text>
  </threadedComment>
  <threadedComment ref="AH160" dT="2023-03-29T09:29:46.87" personId="{0499562B-EFAF-4D5B-A8CC-C952B70A193C}" id="{65E4A119-F9F5-4557-A6CE-B0D3E7A68BFE}">
    <text>4*2uL</text>
  </threadedComment>
  <threadedComment ref="K161" dT="2023-03-22T00:30:23.14" personId="{0499562B-EFAF-4D5B-A8CC-C952B70A193C}" id="{BA58ACF3-6A76-4A63-BC48-32BE75B1EED0}">
    <text>3 months</text>
  </threadedComment>
  <threadedComment ref="M161" dT="2023-03-22T00:30:29.45" personId="{0499562B-EFAF-4D5B-A8CC-C952B70A193C}" id="{92E5433A-B14B-4CF5-97C5-413D75C92923}">
    <text>5 months</text>
  </threadedComment>
  <threadedComment ref="AB161" dT="2023-03-22T00:32:44.39" personId="{0499562B-EFAF-4D5B-A8CC-C952B70A193C}" id="{3B12060E-3B29-4AD1-892B-763DA9999646}">
    <text>Prefrontal cortex</text>
  </threadedComment>
  <threadedComment ref="K162" dT="2023-03-03T10:14:20.84" personId="{0499562B-EFAF-4D5B-A8CC-C952B70A193C}" id="{93C69B46-134E-4250-A89B-E8EFEE8B43CE}">
    <text>"adult"</text>
  </threadedComment>
  <threadedComment ref="AF162" dT="2023-03-29T09:31:04.86" personId="{0499562B-EFAF-4D5B-A8CC-C952B70A193C}" id="{AE701669-D171-4FAB-A9C5-25E6ADAC552D}">
    <text>400pmol*2</text>
  </threadedComment>
  <threadedComment ref="AH162" dT="2023-03-29T09:31:16.40" personId="{0499562B-EFAF-4D5B-A8CC-C952B70A193C}" id="{16F3A23C-B88F-4CE9-AAF6-8E1D6E4A3B08}">
    <text>2*1uL</text>
  </threadedComment>
  <threadedComment ref="AJ162" dT="2023-03-22T00:49:28.10" personId="{0499562B-EFAF-4D5B-A8CC-C952B70A193C}" id="{BC90EDA2-F2C9-483F-AE29-102CA7CE10C5}">
    <text>0.5uL/min</text>
  </threadedComment>
  <threadedComment ref="AL162" dT="2023-03-21T09:33:09.90" personId="{0499562B-EFAF-4D5B-A8CC-C952B70A193C}" id="{4CBC9900-F3F3-44D1-9297-58D539B95000}">
    <text>Topical - Xylocaine brand</text>
  </threadedComment>
  <threadedComment ref="K163" dT="2023-03-03T10:14:20.84" personId="{0499562B-EFAF-4D5B-A8CC-C952B70A193C}" id="{105FD75D-6857-48F7-B382-621ED54DE72B}">
    <text>"adult"</text>
  </threadedComment>
  <threadedComment ref="AB163" dT="2023-03-22T01:33:12.99" personId="{0499562B-EFAF-4D5B-A8CC-C952B70A193C}" id="{00FB9588-836D-4A57-A5A1-31EB8C693FF0}">
    <text>Medial prefrontal cortex</text>
  </threadedComment>
  <threadedComment ref="AF163" dT="2023-03-29T09:31:04.86" personId="{0499562B-EFAF-4D5B-A8CC-C952B70A193C}" id="{17A2257C-E465-49C9-A92D-A1F58A959CCD}">
    <text>400pmol*2</text>
  </threadedComment>
  <threadedComment ref="AH163" dT="2023-03-29T09:31:16.40" personId="{0499562B-EFAF-4D5B-A8CC-C952B70A193C}" id="{57C3752E-1401-410D-BBDC-B3B2BFC899CF}">
    <text>2*1uL</text>
  </threadedComment>
  <threadedComment ref="AJ163" dT="2023-03-22T00:49:28.10" personId="{0499562B-EFAF-4D5B-A8CC-C952B70A193C}" id="{43B5F097-A797-4F81-B55F-B57CF571C68A}">
    <text>0.5uL/min</text>
  </threadedComment>
  <threadedComment ref="AL163" dT="2023-03-21T09:33:09.90" personId="{0499562B-EFAF-4D5B-A8CC-C952B70A193C}" id="{73EE8F84-0E08-4049-B740-68AE14348E22}">
    <text>Topical - Xylocaine brand</text>
  </threadedComment>
  <threadedComment ref="K164" dT="2023-03-03T10:14:20.84" personId="{0499562B-EFAF-4D5B-A8CC-C952B70A193C}" id="{32676EF7-D9E4-49D3-BA08-27A862B8B849}">
    <text>"adult"</text>
  </threadedComment>
  <threadedComment ref="AB164" dT="2023-03-22T01:33:30.97" personId="{0499562B-EFAF-4D5B-A8CC-C952B70A193C}" id="{90A5FA07-9DF2-4320-9ADD-8C65B1ACA8EB}">
    <text>Orbital prefrontal cortex</text>
  </threadedComment>
  <threadedComment ref="AF164" dT="2023-03-29T09:31:04.86" personId="{0499562B-EFAF-4D5B-A8CC-C952B70A193C}" id="{D4C19860-6D6B-497A-A5DA-57DD17BDEEA9}">
    <text>400pmol*2</text>
  </threadedComment>
  <threadedComment ref="AH164" dT="2023-03-29T09:31:16.40" personId="{0499562B-EFAF-4D5B-A8CC-C952B70A193C}" id="{573010B1-805E-4A6C-A9FF-605E3BEE5148}">
    <text>2*1uL</text>
  </threadedComment>
  <threadedComment ref="AJ164" dT="2023-03-22T00:49:28.10" personId="{0499562B-EFAF-4D5B-A8CC-C952B70A193C}" id="{8E0B8B1B-5A11-448C-9379-705C8E592661}">
    <text>0.5uL/min</text>
  </threadedComment>
  <threadedComment ref="AL164" dT="2023-03-21T09:33:09.90" personId="{0499562B-EFAF-4D5B-A8CC-C952B70A193C}" id="{48471D0E-B51F-4D35-8786-F099B68BE0CF}">
    <text>Topical - Xylocaine brand</text>
  </threadedComment>
  <threadedComment ref="K165" dT="2023-03-03T10:14:20.84" personId="{0499562B-EFAF-4D5B-A8CC-C952B70A193C}" id="{3E179CFD-59E5-4CFE-AA40-228AB3AB4AD7}">
    <text>"adult"</text>
  </threadedComment>
  <threadedComment ref="AT165" dT="2023-03-22T01:58:01.22" personId="{0499562B-EFAF-4D5B-A8CC-C952B70A193C}" id="{5E01F40D-E481-4BF7-85ED-C15C3101FB18}">
    <text>Diffusion weighted</text>
  </threadedComment>
  <threadedComment ref="AC166" dT="2023-03-22T02:54:00.86" personId="{0499562B-EFAF-4D5B-A8CC-C952B70A193C}" id="{62116317-F71E-4DFE-A0CF-0E710CAE7E49}">
    <text>Anterior cerebral artery</text>
  </threadedComment>
  <threadedComment ref="AJ166" dT="2023-03-22T02:55:04.99" personId="{0499562B-EFAF-4D5B-A8CC-C952B70A193C}" id="{F8DA6C57-78B5-4293-9C80-964788E9D162}">
    <text>0.2uL/min</text>
  </threadedComment>
  <threadedComment ref="AL166" dT="2023-03-21T09:33:09.90" personId="{0499562B-EFAF-4D5B-A8CC-C952B70A193C}" id="{8457E35D-4652-4E81-990D-1476342F5686}">
    <text>Topical</text>
  </threadedComment>
  <threadedComment ref="AT166" dT="2023-03-22T02:10:28.97" personId="{0499562B-EFAF-4D5B-A8CC-C952B70A193C}" id="{30EE0A1B-3D0F-4EB0-BA0D-FF1E70A3C0FE}">
    <text>T2 weighted</text>
  </threadedComment>
  <threadedComment ref="G167" dT="2023-03-22T03:24:52.43" personId="{0499562B-EFAF-4D5B-A8CC-C952B70A193C}" id="{EA9899D0-9AB5-4236-84C1-0459674BE0FF}">
    <text>CBH RNU rats</text>
  </threadedComment>
  <threadedComment ref="AJ167" dT="2023-03-22T00:49:28.10" personId="{0499562B-EFAF-4D5B-A8CC-C952B70A193C}" id="{4BFAF62E-C035-45BA-A013-E46FFE902266}">
    <text>0.5uL/min</text>
  </threadedComment>
  <threadedComment ref="AB168" dT="2023-03-22T04:18:04.28" personId="{0499562B-EFAF-4D5B-A8CC-C952B70A193C}" id="{30FE818F-FC79-42C4-BFBF-36A95321B542}">
    <text>anterior forelimb cortex</text>
  </threadedComment>
  <threadedComment ref="AH168" dT="2023-03-22T04:18:24.24" personId="{0499562B-EFAF-4D5B-A8CC-C952B70A193C}" id="{E33D7671-9F78-451A-8F44-B0CC7E156C96}">
    <text>2 x 1uL</text>
  </threadedComment>
  <threadedComment ref="AJ168" dT="2023-03-22T04:18:53.70" personId="{0499562B-EFAF-4D5B-A8CC-C952B70A193C}" id="{0311959F-492B-4B96-A596-6A7446DEF029}">
    <text>0.2uL/min</text>
  </threadedComment>
  <threadedComment ref="AO168" dT="2023-03-22T04:10:09.55" personId="{0499562B-EFAF-4D5B-A8CC-C952B70A193C}" id="{1E057F32-0A62-4CC6-9101-ADDC65B3C888}">
    <text>High fat diet</text>
  </threadedComment>
  <threadedComment ref="K169" dT="2023-03-22T00:30:23.14" personId="{0499562B-EFAF-4D5B-A8CC-C952B70A193C}" id="{E6C2C889-07A1-42BE-B9F2-322AC793DE4E}">
    <text>3 months</text>
  </threadedComment>
  <threadedComment ref="M169" dT="2023-03-22T04:25:01.84" personId="{0499562B-EFAF-4D5B-A8CC-C952B70A193C}" id="{F764EFD4-63EF-4801-B77A-1EDF6A21F43F}">
    <text>6 months</text>
  </threadedComment>
  <threadedComment ref="AB169" dT="2023-03-22T04:18:04.28" personId="{0499562B-EFAF-4D5B-A8CC-C952B70A193C}" id="{EECB2DCB-79A3-44CF-8440-629538131F9E}">
    <text>anterior forelimb cortex</text>
  </threadedComment>
  <threadedComment ref="AH169" dT="2023-03-22T04:18:24.24" personId="{0499562B-EFAF-4D5B-A8CC-C952B70A193C}" id="{52FC7B48-8941-4034-8D0A-AFAA64BBCA4F}">
    <text>2 x 1uL</text>
  </threadedComment>
  <threadedComment ref="AJ169" dT="2023-03-22T04:18:53.70" personId="{0499562B-EFAF-4D5B-A8CC-C952B70A193C}" id="{847E2252-411B-415E-9BA3-E51EC1484FBD}">
    <text>0.2uL/min</text>
  </threadedComment>
  <threadedComment ref="R170" dT="2023-03-22T04:50:31.09" personId="{0499562B-EFAF-4D5B-A8CC-C952B70A193C}" id="{64549081-EB6F-406C-809A-E90752CC4A44}">
    <text>6-11</text>
  </threadedComment>
  <threadedComment ref="AU170" dT="2023-03-22T05:03:10.35" personId="{0499562B-EFAF-4D5B-A8CC-C952B70A193C}" id="{A17CBD76-F82D-44CC-92FF-126238A08300}">
    <text>+cresyl violet</text>
  </threadedComment>
  <threadedComment ref="R171" dT="2023-03-22T04:50:31.09" personId="{0499562B-EFAF-4D5B-A8CC-C952B70A193C}" id="{34F09BDB-9C71-4D0E-BD55-F88593C0E0B1}">
    <text>6-11</text>
  </threadedComment>
  <threadedComment ref="AU171" dT="2023-03-22T05:03:10.35" personId="{0499562B-EFAF-4D5B-A8CC-C952B70A193C}" id="{6CC1B850-80AD-4CD3-9797-97436B68BE57}">
    <text>+cresyl violet</text>
  </threadedComment>
  <threadedComment ref="R172" dT="2023-03-22T04:50:31.09" personId="{0499562B-EFAF-4D5B-A8CC-C952B70A193C}" id="{AE7D0897-EBD5-42CD-8739-DF0963C5A42F}">
    <text>6-11</text>
  </threadedComment>
  <threadedComment ref="AU172" dT="2023-03-22T05:03:10.35" personId="{0499562B-EFAF-4D5B-A8CC-C952B70A193C}" id="{DBE8454A-4CA6-4CC0-8D3E-AB6A4646990C}">
    <text>+cresyl violet</text>
  </threadedComment>
  <threadedComment ref="R173" dT="2023-03-22T04:50:31.09" personId="{0499562B-EFAF-4D5B-A8CC-C952B70A193C}" id="{DED78E75-F1CD-4C35-897C-D9D39C8EC0DF}">
    <text>6-11</text>
  </threadedComment>
  <threadedComment ref="AU173" dT="2023-03-22T05:03:10.35" personId="{0499562B-EFAF-4D5B-A8CC-C952B70A193C}" id="{16B327E8-8197-47F0-B2E8-B1B9829F18B4}">
    <text>+cresyl violet</text>
  </threadedComment>
  <threadedComment ref="R174" dT="2023-03-22T04:50:31.09" personId="{0499562B-EFAF-4D5B-A8CC-C952B70A193C}" id="{03D9AD96-4B0A-4500-AB38-4C1089E1EEA1}">
    <text>6-11</text>
  </threadedComment>
  <threadedComment ref="AU174" dT="2023-03-22T05:03:10.35" personId="{0499562B-EFAF-4D5B-A8CC-C952B70A193C}" id="{2687B953-8C19-41C7-87B3-3F80909A3185}">
    <text>+cresyl violet</text>
  </threadedComment>
  <threadedComment ref="U175" dT="2023-03-22T23:29:12.54" personId="{0499562B-EFAF-4D5B-A8CC-C952B70A193C}" id="{35781939-217E-42B5-AD91-E0EBDCC30289}">
    <text>Brand Avertin</text>
  </threadedComment>
  <threadedComment ref="X175" dT="2023-03-22T23:29:12.54" personId="{0499562B-EFAF-4D5B-A8CC-C952B70A193C}" id="{DC932A38-C95F-47E2-9EDC-B76B82E15F98}">
    <text>Brand Avertin</text>
  </threadedComment>
  <threadedComment ref="AB175" dT="2023-03-22T23:47:30.15" personId="{0499562B-EFAF-4D5B-A8CC-C952B70A193C}" id="{9E80A834-5197-4C34-BB77-DCB29D3F235F}">
    <text>Forelimb cortex</text>
  </threadedComment>
  <threadedComment ref="AH175" dT="2023-03-22T23:56:06.46" personId="{0499562B-EFAF-4D5B-A8CC-C952B70A193C}" id="{E702D8F5-C932-49A9-BDE3-9026E4394E5B}">
    <text>3*0.33uL</text>
  </threadedComment>
  <threadedComment ref="AJ175" dT="2023-03-22T23:57:48.80" personId="{0499562B-EFAF-4D5B-A8CC-C952B70A193C}" id="{CC39DACA-D895-45B1-8FA7-729C2532BB1D}">
    <text>3*1min10sec</text>
  </threadedComment>
  <threadedComment ref="AN175" dT="2023-03-22T23:58:11.42" personId="{0499562B-EFAF-4D5B-A8CC-C952B70A193C}" id="{428D1646-8FBC-4576-95DE-79891C363773}">
    <text>+ topical "antibacterial powder"</text>
  </threadedComment>
  <threadedComment ref="U176" dT="2023-03-23T00:44:32.00" personId="{0499562B-EFAF-4D5B-A8CC-C952B70A193C}" id="{56C0EA0B-5796-4632-B9E1-DE313BFF57A0}">
    <text>Hypnorm/Dormicum brand</text>
  </threadedComment>
  <threadedComment ref="V176" dT="2023-03-23T00:44:50.31" personId="{0499562B-EFAF-4D5B-A8CC-C952B70A193C}" id="{78C7D3C0-9059-427D-A882-E54042429DBF}">
    <text>Hypnorm/Dormicum brand</text>
  </threadedComment>
  <threadedComment ref="X176" dT="2023-03-23T00:44:32.00" personId="{0499562B-EFAF-4D5B-A8CC-C952B70A193C}" id="{3AE59822-D428-47DB-A969-FE6B521A59CB}">
    <text>Hypnorm/Dormicum brand</text>
  </threadedComment>
  <threadedComment ref="Y176" dT="2023-03-23T00:44:50.31" personId="{0499562B-EFAF-4D5B-A8CC-C952B70A193C}" id="{904F4335-8CD6-40BD-ADB1-991B9D61C097}">
    <text>Hypnorm/Dormicum brand</text>
  </threadedComment>
  <threadedComment ref="AB176" dT="2023-03-23T00:33:55.55" personId="{0499562B-EFAF-4D5B-A8CC-C952B70A193C}" id="{4587A2EB-72B6-48B4-BEEA-9BC9B958482C}">
    <text>Say injection into piriform cortex but appear to focus on striatal part of it</text>
  </threadedComment>
  <threadedComment ref="AL176" dT="2023-03-21T09:33:09.90" personId="{0499562B-EFAF-4D5B-A8CC-C952B70A193C}" id="{C930E3A3-67F3-46A7-830E-F58AC833B4F4}">
    <text>Topical</text>
  </threadedComment>
  <threadedComment ref="AM176" dT="2023-03-23T00:45:46.81" personId="{0499562B-EFAF-4D5B-A8CC-C952B70A193C}" id="{90AF3031-AD0A-4775-B0E1-8C6F3D2E560C}">
    <text>Temgesic brand</text>
  </threadedComment>
  <threadedComment ref="U177" dT="2023-03-23T00:44:32.00" personId="{0499562B-EFAF-4D5B-A8CC-C952B70A193C}" id="{57740B26-31CB-4203-A57C-6D226BD750F3}">
    <text>Hypnorm/Dormicum brand</text>
  </threadedComment>
  <threadedComment ref="V177" dT="2023-03-23T00:44:50.31" personId="{0499562B-EFAF-4D5B-A8CC-C952B70A193C}" id="{0FCA0B4C-45D9-4608-AF71-00DE02BDB56B}">
    <text>Hypnorm/Dormicum brand</text>
  </threadedComment>
  <threadedComment ref="X177" dT="2023-03-23T00:44:32.00" personId="{0499562B-EFAF-4D5B-A8CC-C952B70A193C}" id="{ED3E5891-78A6-4028-A811-3D21F1C5E1BC}">
    <text>Hypnorm/Dormicum brand</text>
  </threadedComment>
  <threadedComment ref="Y177" dT="2023-03-23T00:44:50.31" personId="{0499562B-EFAF-4D5B-A8CC-C952B70A193C}" id="{0DBE1F67-9D01-47EF-A0AF-1AA290449D5F}">
    <text>Hypnorm/Dormicum brand</text>
  </threadedComment>
  <threadedComment ref="AB177" dT="2023-03-23T00:33:55.55" personId="{0499562B-EFAF-4D5B-A8CC-C952B70A193C}" id="{7B21A412-E993-46DC-A346-A745043EFBC8}">
    <text>Say injection into piriform cortex but appear to focus on striatal part of it</text>
  </threadedComment>
  <threadedComment ref="AL177" dT="2023-03-21T09:33:09.90" personId="{0499562B-EFAF-4D5B-A8CC-C952B70A193C}" id="{81199F8A-63CB-4E70-BCA4-D7C695814679}">
    <text>Topical</text>
  </threadedComment>
  <threadedComment ref="AM177" dT="2023-03-23T00:45:46.81" personId="{0499562B-EFAF-4D5B-A8CC-C952B70A193C}" id="{88650F19-0528-4B0E-ABCD-5B92783AA091}">
    <text>Temgesic brand</text>
  </threadedComment>
  <threadedComment ref="AW177" dT="2023-03-23T00:18:45.58" personId="{0499562B-EFAF-4D5B-A8CC-C952B70A193C}" id="{D3564604-A973-4F96-A821-F1F772FDBD4F}">
    <text>Had 3 values coming up just under 0 when I extracted data from graph, so have made them 0.001 as a minimum infarct volume</text>
  </threadedComment>
  <threadedComment ref="AX177" dT="2023-03-23T00:18:45.58" personId="{0499562B-EFAF-4D5B-A8CC-C952B70A193C}" id="{45C75B8A-CD24-4F40-AB55-467CE830656F}">
    <text>Had 3 values coming up just under 0 when I extracted data from graph, so have made them 0.001 as a minimum infarct volume</text>
  </threadedComment>
  <threadedComment ref="A178" dT="2023-03-23T03:33:57.87" personId="{0499562B-EFAF-4D5B-A8CC-C952B70A193C}" id="{125CCAE1-EF00-42C1-A4E4-82EACAD5C667}">
    <text>Volumes calculated from cortical + striatal</text>
  </threadedComment>
  <threadedComment ref="K178" dT="2023-03-03T10:14:20.84" personId="{0499562B-EFAF-4D5B-A8CC-C952B70A193C}" id="{96581BED-F87C-42FC-8A51-015753A55BB3}">
    <text>"adult"</text>
  </threadedComment>
  <threadedComment ref="AB178" dT="2023-03-23T03:40:49.92" personId="{0499562B-EFAF-4D5B-A8CC-C952B70A193C}" id="{212BEEE1-9447-41E4-B39D-37D7ACD717E1}">
    <text>Piriform cortex</text>
  </threadedComment>
  <threadedComment ref="AJ178" dT="2023-03-23T03:42:48.40" personId="{0499562B-EFAF-4D5B-A8CC-C952B70A193C}" id="{A64AA737-B0BF-4819-8C82-4BC45B679343}">
    <text>0.5uL/min</text>
  </threadedComment>
  <threadedComment ref="AT178" dT="2023-03-18T08:43:29.58" personId="{0499562B-EFAF-4D5B-A8CC-C952B70A193C}" id="{87E9E0B9-9250-4D2B-9FFB-5ACCE2011000}">
    <text>infarct area was determined in unstained sections using the ballistic light method (Callaway et al., 2000)</text>
  </threadedComment>
  <threadedComment ref="AB179" dT="2023-03-23T04:22:53.33" personId="{0499562B-EFAF-4D5B-A8CC-C952B70A193C}" id="{C9DE7AE3-F95B-4853-BBA5-BB1A5752DF0C}">
    <text>Motor prefrontal cortex</text>
  </threadedComment>
  <threadedComment ref="AL179" dT="2023-03-21T09:33:09.90" personId="{0499562B-EFAF-4D5B-A8CC-C952B70A193C}" id="{DC591F1E-53FE-4954-AC57-1FD0B4BD8046}">
    <text>Topical - Xylocaine brand</text>
  </threadedComment>
  <threadedComment ref="AF180" dT="2023-03-23T05:19:25.37" personId="{0499562B-EFAF-4D5B-A8CC-C952B70A193C}" id="{FA827CCC-5635-4736-88F4-ACC580820832}">
    <text>20pmol/uL</text>
  </threadedComment>
  <threadedComment ref="AL180" dT="2023-03-21T09:33:09.90" personId="{0499562B-EFAF-4D5B-A8CC-C952B70A193C}" id="{535A6545-B9E3-4223-80A5-5BFB0543B348}">
    <text>Topical</text>
  </threadedComment>
  <threadedComment ref="AN180" dT="2023-03-23T05:20:40.96" personId="{0499562B-EFAF-4D5B-A8CC-C952B70A193C}" id="{16BA435E-0997-4958-BE0E-F9575B6FA904}">
    <text>Bacibact powder, Orion</text>
  </threadedComment>
  <threadedComment ref="AB181" dT="2023-03-23T05:25:27.94" personId="{0499562B-EFAF-4D5B-A8CC-C952B70A193C}" id="{25DFD7FA-3CC0-44CB-9F80-C7A22BE8AC0E}">
    <text>striatal</text>
  </threadedComment>
  <threadedComment ref="AJ181" dT="2023-03-23T05:45:22.52" personId="{0499562B-EFAF-4D5B-A8CC-C952B70A193C}" id="{C2D87775-BE8D-4A50-A763-CD33D5D12305}">
    <text>250nL/min</text>
  </threadedComment>
  <threadedComment ref="AL181" dT="2023-03-23T05:46:00.44" personId="{0499562B-EFAF-4D5B-A8CC-C952B70A193C}" id="{9D641768-05EA-469C-AB08-6B7C469AE8F8}">
    <text>Plus bupivacaine cream</text>
  </threadedComment>
  <threadedComment ref="AJ182" dT="2023-03-23T05:45:22.52" personId="{0499562B-EFAF-4D5B-A8CC-C952B70A193C}" id="{538BEA87-3DBF-45E0-9125-E3E6F4CFF2C2}">
    <text>250nL/min</text>
  </threadedComment>
  <threadedComment ref="AL182" dT="2023-03-23T05:46:00.44" personId="{0499562B-EFAF-4D5B-A8CC-C952B70A193C}" id="{7AAA70D2-B5E1-464D-B911-FD4BDD8AD3A4}">
    <text>Plus bupivacaine cream</text>
  </threadedComment>
  <threadedComment ref="AB183" dT="2023-03-23T05:25:42.03" personId="{0499562B-EFAF-4D5B-A8CC-C952B70A193C}" id="{06AAFBA8-CACA-4D81-80E7-FFF960B4ACBE}">
    <text>Two injections, one cortical one striatal</text>
  </threadedComment>
  <threadedComment ref="AJ183" dT="2023-03-23T05:45:22.52" personId="{0499562B-EFAF-4D5B-A8CC-C952B70A193C}" id="{49AEC69F-7AB8-4C03-B8F4-824D184E3CA8}">
    <text>250nL/min</text>
  </threadedComment>
  <threadedComment ref="AL183" dT="2023-03-23T05:46:00.44" personId="{0499562B-EFAF-4D5B-A8CC-C952B70A193C}" id="{322B7634-6258-4A9A-8726-CA1103BB425B}">
    <text>Plus bupivacaine cream</text>
  </threadedComment>
  <threadedComment ref="AB184" dT="2023-03-23T08:15:36.74" personId="{0499562B-EFAF-4D5B-A8CC-C952B70A193C}" id="{F21E79A5-1029-4AD0-BB82-F7AE5CCAA96E}">
    <text>pial application in caudal forelimb area</text>
  </threadedComment>
  <threadedComment ref="AO184" dT="2023-03-23T08:00:56.55" personId="{0499562B-EFAF-4D5B-A8CC-C952B70A193C}" id="{142F56C6-9A16-4EB3-B010-D0968C4472E6}">
    <text>motor skill training with the nonparetic forelimb (NPT)</text>
  </threadedComment>
  <threadedComment ref="K185" dT="2023-03-03T10:14:20.84" personId="{0499562B-EFAF-4D5B-A8CC-C952B70A193C}" id="{25625FA3-6BB8-4CCA-9C2F-05CC4DB4C175}">
    <text>"adult"</text>
  </threadedComment>
  <threadedComment ref="AF185" dT="2023-03-29T09:32:21.36" personId="{0499562B-EFAF-4D5B-A8CC-C952B70A193C}" id="{5688D2BE-0132-4CA1-8DED-DCC0D1A28A27}">
    <text>total</text>
  </threadedComment>
  <threadedComment ref="AH185" dT="2023-03-23T09:21:22.58" personId="{0499562B-EFAF-4D5B-A8CC-C952B70A193C}" id="{C23D9C25-C491-4466-8C20-8247B6DAB7D1}">
    <text>2*2uL</text>
  </threadedComment>
  <threadedComment ref="AJ185" dT="2023-03-23T09:21:39.79" personId="{0499562B-EFAF-4D5B-A8CC-C952B70A193C}" id="{683C7CD0-1480-4C1C-B681-D1DA335C79BD}">
    <text>1uL/min</text>
  </threadedComment>
  <threadedComment ref="AL185" dT="2023-03-23T09:22:33.14" personId="{0499562B-EFAF-4D5B-A8CC-C952B70A193C}" id="{6B591298-2526-4534-9D4B-32BCFFA1ED10}">
    <text>Brand Marcaine</text>
  </threadedComment>
  <threadedComment ref="AT185" dT="2023-03-23T09:09:24.49" personId="{0499562B-EFAF-4D5B-A8CC-C952B70A193C}" id="{BB14B719-D248-42A2-8AE6-5891C336164E}">
    <text>T2 weighted</text>
  </threadedComment>
  <threadedComment ref="AB186" dT="2023-03-23T09:59:28.84" personId="{0499562B-EFAF-4D5B-A8CC-C952B70A193C}" id="{03715210-5BD9-4A54-887D-644E078F28ED}">
    <text>caudate putamen</text>
  </threadedComment>
  <threadedComment ref="AJ186" dT="2023-03-23T10:00:09.96" personId="{0499562B-EFAF-4D5B-A8CC-C952B70A193C}" id="{FA438965-CE3D-47FD-8653-713C80717236}">
    <text>0.5uL/min</text>
  </threadedComment>
  <threadedComment ref="AL186" dT="2023-03-23T10:03:16.34" personId="{0499562B-EFAF-4D5B-A8CC-C952B70A193C}" id="{D5226364-AE1A-4B21-A8FB-AC35D06906E4}">
    <text>Xylocaine injection</text>
  </threadedComment>
  <threadedComment ref="K187" dT="2023-03-03T10:14:20.84" personId="{0499562B-EFAF-4D5B-A8CC-C952B70A193C}" id="{A860A9D3-7C9C-43B3-84DA-5F74A45A86CD}">
    <text>"adult"</text>
  </threadedComment>
  <threadedComment ref="AB187" dT="2023-03-26T00:20:32.88" personId="{0499562B-EFAF-4D5B-A8CC-C952B70A193C}" id="{DA3EF076-9D92-48AB-A140-1EBE4B5EB8E0}">
    <text>Medial prefrontal cortex</text>
  </threadedComment>
  <threadedComment ref="AJ187" dT="2023-03-26T00:21:35.88" personId="{0499562B-EFAF-4D5B-A8CC-C952B70A193C}" id="{E98AAA49-50CA-4609-ACDD-EC4578BEFB83}">
    <text>0.4uL/min</text>
  </threadedComment>
  <threadedComment ref="AL187" dT="2023-03-26T00:22:17.82" personId="{0499562B-EFAF-4D5B-A8CC-C952B70A193C}" id="{8F449576-4937-4F3F-904B-71E8DBB4F08D}">
    <text>topical</text>
  </threadedComment>
  <threadedComment ref="AF188" dT="2023-03-26T01:01:14.20" personId="{0499562B-EFAF-4D5B-A8CC-C952B70A193C}" id="{04CF846C-F203-427B-8D54-49BFC38B8868}">
    <text>"10^-7-10^-4 M in 25 uL of sterile
saline]. This represents application of minute amounts of
the peptide (e.g., 2.5 nmol for 10^-4 M)." so they reported per uL. I am using their example to list these in nmol absolute amounts</text>
  </threadedComment>
  <threadedComment ref="AU188" dT="2023-03-26T01:40:31.84" personId="{0499562B-EFAF-4D5B-A8CC-C952B70A193C}" id="{C3F7B71F-F84B-4222-A93C-C8D0073E92BB}">
    <text>Or cresyl violet + luxol fast blue</text>
  </threadedComment>
  <threadedComment ref="AF189" dT="2023-03-26T01:01:14.20" personId="{0499562B-EFAF-4D5B-A8CC-C952B70A193C}" id="{50D3F14E-F9C0-4A90-B4CD-4B931BBAA268}">
    <text>"10^-7-10^-4 M in 25 uL of sterile
saline]. This represents application of minute amounts of
the peptide (e.g., 2.5 nmol for 10^-4 M)." so they reported per uL. I am using their example to list these in nmol absolute amounts</text>
  </threadedComment>
  <threadedComment ref="AU189" dT="2023-03-26T01:40:31.84" personId="{0499562B-EFAF-4D5B-A8CC-C952B70A193C}" id="{D7105D5D-C70F-42BD-91DE-D045D9564702}">
    <text>Or cresyl violet + luxol fast blue</text>
  </threadedComment>
  <threadedComment ref="AF190" dT="2023-03-26T01:01:14.20" personId="{0499562B-EFAF-4D5B-A8CC-C952B70A193C}" id="{12F7040A-C3B1-4BF8-BB4A-1F5FBD998A77}">
    <text>"10^-7-10^-4 M in 25 uL of sterile
saline]. This represents application of minute amounts of
the peptide (e.g., 2.5 nmol for 10^-4 M)." so they reported per uL. I am using their example to list these in nmol absolute amounts</text>
  </threadedComment>
  <threadedComment ref="AU190" dT="2023-03-26T01:40:31.84" personId="{0499562B-EFAF-4D5B-A8CC-C952B70A193C}" id="{D44820CA-819F-46F1-845A-0F546F65E1B6}">
    <text>Or cresyl violet + luxol fast blue</text>
  </threadedComment>
  <threadedComment ref="AF191" dT="2023-03-26T01:01:14.20" personId="{0499562B-EFAF-4D5B-A8CC-C952B70A193C}" id="{9017259D-D330-4EB3-B69E-EDE100B61871}">
    <text>"10^-7-10^-4 M in 25 uL of sterile
saline]. This represents application of minute amounts of
the peptide (e.g., 2.5 nmol for 10^-4 M)." so they reported mol per 25uL. I am using their example to list these in nmol absolute amounts</text>
  </threadedComment>
  <threadedComment ref="AU191" dT="2023-03-26T01:40:31.84" personId="{0499562B-EFAF-4D5B-A8CC-C952B70A193C}" id="{78D6457C-15F3-4114-88A7-D71F5FE563F6}">
    <text>Or cresyl violet + luxol fast blue</text>
  </threadedComment>
  <threadedComment ref="A192" dT="2023-03-26T01:44:38.61" personId="{0499562B-EFAF-4D5B-A8CC-C952B70A193C}" id="{9DBC9B2D-BF06-4081-9876-1933221CCCC7}">
    <text>Volume calculated from cortical + striatal</text>
  </threadedComment>
  <threadedComment ref="K192" dT="2023-03-03T10:14:20.84" personId="{0499562B-EFAF-4D5B-A8CC-C952B70A193C}" id="{DAB18A97-DD42-4E0C-8CC1-6664B5ED83AC}">
    <text>"adult"</text>
  </threadedComment>
  <threadedComment ref="AB192" dT="2023-03-26T02:04:14.99" personId="{0499562B-EFAF-4D5B-A8CC-C952B70A193C}" id="{E816636D-01AA-4857-85B2-864B983B1BB2}">
    <text>Piriform cortex</text>
  </threadedComment>
  <threadedComment ref="L193" dT="2023-03-26T02:48:26.37" personId="{0499562B-EFAF-4D5B-A8CC-C952B70A193C}" id="{FA8FFD50-64FB-4750-A73B-20C75E5BA6F2}">
    <text>3 months</text>
  </threadedComment>
  <threadedComment ref="AB193" dT="2023-03-26T02:49:21.82" personId="{0499562B-EFAF-4D5B-A8CC-C952B70A193C}" id="{03FF4BFC-A0AA-4BE6-A425-9735AE657E9F}">
    <text>One cortical one striatal</text>
  </threadedComment>
  <threadedComment ref="AF193" dT="2023-03-26T02:49:49.53" personId="{0499562B-EFAF-4D5B-A8CC-C952B70A193C}" id="{C8512441-034E-493A-8F13-69E48BDA39D6}">
    <text>800*2 injections</text>
  </threadedComment>
  <threadedComment ref="AL193" dT="2023-03-21T09:33:09.90" personId="{0499562B-EFAF-4D5B-A8CC-C952B70A193C}" id="{83CBF66F-39E2-418B-A0DC-9E7E810A2FF1}">
    <text>Topical</text>
  </threadedComment>
  <threadedComment ref="AT193" dT="2023-03-26T02:51:25.10" personId="{0499562B-EFAF-4D5B-A8CC-C952B70A193C}" id="{FEF1A519-A35D-482C-90AF-80EDB1822E65}">
    <text>the volume of lesion plus atrophy was stereologically
estimated using the Cavalieri procedure</text>
  </threadedComment>
  <threadedComment ref="A194" dT="2023-03-26T03:24:10.14" personId="{0499562B-EFAF-4D5B-A8CC-C952B70A193C}" id="{3534922E-9974-4B89-A7D6-24C814708827}">
    <text>Volumes calculated from cortical + striatal</text>
  </threadedComment>
  <threadedComment ref="AH194" dT="2023-03-26T03:28:38.07" personId="{0499562B-EFAF-4D5B-A8CC-C952B70A193C}" id="{B99C8817-9CF9-4117-B646-5D79B91B64A9}">
    <text>2uL*2</text>
  </threadedComment>
  <threadedComment ref="AJ194" dT="2023-03-26T03:28:57.62" personId="{0499562B-EFAF-4D5B-A8CC-C952B70A193C}" id="{545C1AD5-4D3A-4A6E-81C1-11E8B8D837E4}">
    <text>0.25uL/min</text>
  </threadedComment>
  <threadedComment ref="AL194" dT="2023-03-26T00:22:17.82" personId="{0499562B-EFAF-4D5B-A8CC-C952B70A193C}" id="{69CF7FCB-B252-450A-A83A-CED8A4172288}">
    <text>topical</text>
  </threadedComment>
  <threadedComment ref="L195" dT="2023-03-27T05:21:48.72" personId="{0499562B-EFAF-4D5B-A8CC-C952B70A193C}" id="{8F81C1E1-1BBA-4B8E-ABC8-CE377031547A}">
    <text>100 days</text>
  </threadedComment>
  <threadedComment ref="U195" dT="2023-03-27T05:31:18.45" personId="{0499562B-EFAF-4D5B-A8CC-C952B70A193C}" id="{37ECA692-0FFC-48F6-9447-AF52F0C4168A}">
    <text>Brand mix Equithesin</text>
  </threadedComment>
  <threadedComment ref="V195" dT="2023-03-27T05:31:22.19" personId="{0499562B-EFAF-4D5B-A8CC-C952B70A193C}" id="{E48B0BC7-A7A1-4E5E-9DF9-9F09B07A9CAE}">
    <text>Brand mix Equithesin</text>
  </threadedComment>
  <threadedComment ref="W195" dT="2023-03-27T05:32:00.91" personId="{0499562B-EFAF-4D5B-A8CC-C952B70A193C}" id="{C36120DE-AF6B-4987-B6BF-63C5EDD6CFA5}">
    <text>To combat respiratory depression from equithesin</text>
  </threadedComment>
  <threadedComment ref="X195" dT="2023-03-27T05:31:18.45" personId="{0499562B-EFAF-4D5B-A8CC-C952B70A193C}" id="{92F52FA6-0581-403F-93AB-B5330DCE0CC0}">
    <text>Brand mix Equithesin</text>
  </threadedComment>
  <threadedComment ref="Y195" dT="2023-03-27T05:31:22.19" personId="{0499562B-EFAF-4D5B-A8CC-C952B70A193C}" id="{4AB29074-0C1A-469E-8D09-7A355758A4EC}">
    <text>Brand mix Equithesin</text>
  </threadedComment>
  <threadedComment ref="Z195" dT="2023-03-27T05:32:00.91" personId="{0499562B-EFAF-4D5B-A8CC-C952B70A193C}" id="{26A3178E-B870-4A02-A461-C2CA092C719A}">
    <text>To combat respiratory depression from equithesin</text>
  </threadedComment>
  <threadedComment ref="AB195" dT="2023-03-27T05:30:36.61" personId="{0499562B-EFAF-4D5B-A8CC-C952B70A193C}" id="{90A44CA0-F926-4D40-B242-83C43CD1BCC9}">
    <text>Sensorimotor cortex</text>
  </threadedComment>
  <threadedComment ref="AG195" dT="2023-03-29T10:12:13.12" personId="{0499562B-EFAF-4D5B-A8CC-C952B70A193C}" id="{69E48879-FA00-4DFA-834F-C7010C71F156}">
    <text>Reported as uM</text>
  </threadedComment>
  <threadedComment ref="AH195" dT="2023-03-27T05:33:30.39" personId="{0499562B-EFAF-4D5B-A8CC-C952B70A193C}" id="{AE54C166-FA22-4E16-8E51-A6FB6E8FBEB2}">
    <text>2uL*2</text>
  </threadedComment>
  <threadedComment ref="AJ195" dT="2023-03-27T05:34:18.48" personId="{0499562B-EFAF-4D5B-A8CC-C952B70A193C}" id="{715C8751-EE1F-4ECC-9DDF-03DE8B1D5248}">
    <text>"two 2.0 μl applications separated
by 2 min"</text>
  </threadedComment>
  <threadedComment ref="AK195" dT="2023-03-27T05:34:30.60" personId="{0499562B-EFAF-4D5B-A8CC-C952B70A193C}" id="{5F082279-EB3C-4623-A20C-4DD308B822B7}">
    <text>2 doses, one location</text>
  </threadedComment>
  <threadedComment ref="AS195" dT="2023-03-27T05:35:17.04" personId="{0499562B-EFAF-4D5B-A8CC-C952B70A193C}" id="{B5DD1AF4-E315-4579-AE37-6DA5E29BCE73}">
    <text>Days 46-51, averaged this to 48.5</text>
  </threadedComment>
  <threadedComment ref="R196" dT="2023-03-27T06:05:32.94" personId="{0499562B-EFAF-4D5B-A8CC-C952B70A193C}" id="{21CA7E20-7535-4ED8-B94A-83E58DF043FD}">
    <text>10-15</text>
  </threadedComment>
  <threadedComment ref="T196" dT="2023-03-27T06:05:32.94" personId="{0499562B-EFAF-4D5B-A8CC-C952B70A193C}" id="{7DAB3A6F-4424-4DC5-8E5A-BA6E7C579FD5}">
    <text>10-15</text>
  </threadedComment>
  <threadedComment ref="U196" dT="2023-03-27T06:18:30.99" personId="{0499562B-EFAF-4D5B-A8CC-C952B70A193C}" id="{8BBA8700-C550-493C-8DBE-F1CA6B52C827}">
    <text>"inhalation anaesthetic"</text>
  </threadedComment>
  <threadedComment ref="X196" dT="2023-03-27T06:18:30.99" personId="{0499562B-EFAF-4D5B-A8CC-C952B70A193C}" id="{9E5465D0-E8A4-4AC1-AEF4-00325F767FFA}">
    <text>"inhalation anaesthetic"</text>
  </threadedComment>
  <threadedComment ref="K199" dT="2023-03-28T01:43:39.32" personId="{0499562B-EFAF-4D5B-A8CC-C952B70A193C}" id="{BA115022-D2E5-4350-A4C1-774126C91917}">
    <text>2 months</text>
  </threadedComment>
  <threadedComment ref="M199" dT="2023-03-28T01:43:48.75" personId="{0499562B-EFAF-4D5B-A8CC-C952B70A193C}" id="{F26D5E12-C3FC-423E-BA20-37CD80D12277}">
    <text>4 months</text>
  </threadedComment>
  <threadedComment ref="AB199" dT="2023-03-28T01:47:23.95" personId="{0499562B-EFAF-4D5B-A8CC-C952B70A193C}" id="{3DB4F163-2C3D-4CC3-A7FF-4E6D37AF1A1D}">
    <text xml:space="preserve">Motor cortex, (i) 0.0 anterior–posterior (AP), +1.50 medial–lateral (ML),−1.2 dorsal–ventral (DV) and (ii) 0.0 AP, +1.75 ML, −1.2 DV. </text>
  </threadedComment>
  <threadedComment ref="AH199" dT="2023-03-28T01:48:25.80" personId="{0499562B-EFAF-4D5B-A8CC-C952B70A193C}" id="{6894E9D9-02BC-4F41-95B4-4489BD9F30CF}">
    <text>2*1uL</text>
  </threadedComment>
  <threadedComment ref="AJ199" dT="2023-03-28T01:48:56.53" personId="{0499562B-EFAF-4D5B-A8CC-C952B70A193C}" id="{0D519C72-62EA-403E-917D-D9D5B711C9A0}">
    <text>0.1uL/min</text>
  </threadedComment>
  <threadedComment ref="AV199" dT="2023-03-28T01:39:35.58" personId="{0499562B-EFAF-4D5B-A8CC-C952B70A193C}" id="{C1BB90B4-A60D-41DD-9F23-42C453A3FAFB}">
    <text>2 and 3 ET1 injections compared</text>
  </threadedComment>
  <threadedComment ref="K200" dT="2023-03-28T01:43:39.32" personId="{0499562B-EFAF-4D5B-A8CC-C952B70A193C}" id="{9DEBEC4A-3868-4F01-8255-F73CAE1384AC}">
    <text>2 months</text>
  </threadedComment>
  <threadedComment ref="M200" dT="2023-03-28T01:43:48.75" personId="{0499562B-EFAF-4D5B-A8CC-C952B70A193C}" id="{31846135-71C6-4314-9DD3-01F9213D334A}">
    <text>4 months</text>
  </threadedComment>
  <threadedComment ref="AB200" dT="2023-03-28T01:47:36.98" personId="{0499562B-EFAF-4D5B-A8CC-C952B70A193C}" id="{E2C07E86-7F19-4022-83EF-7DC1E0F8CEE7}">
    <text xml:space="preserve">Motor cortex, (i) +0.4 AP, +1.6 ML,−1.2 DV, (ii) +0.2 AP, +1.35 ML, −1.2 DV, and (iii) 0.0 AP, +1.75 ML,−1.2 DV </text>
  </threadedComment>
  <threadedComment ref="AH200" dT="2023-03-28T01:48:32.64" personId="{0499562B-EFAF-4D5B-A8CC-C952B70A193C}" id="{6D93D4B5-3FBE-4E6B-A303-EFC0D6AA0A97}">
    <text>3*1uL</text>
  </threadedComment>
  <threadedComment ref="AV200" dT="2023-03-28T01:39:35.58" personId="{0499562B-EFAF-4D5B-A8CC-C952B70A193C}" id="{754BB590-A6D4-4098-A9C3-918E21276B68}">
    <text>2 and 3 ET1 injections compared</text>
  </threadedComment>
  <threadedComment ref="L201" dT="2023-03-26T02:48:26.37" personId="{0499562B-EFAF-4D5B-A8CC-C952B70A193C}" id="{CB1E4409-9D0B-4020-8314-8E3271DC6080}">
    <text>3 months</text>
  </threadedComment>
  <threadedComment ref="K202" dT="2023-03-28T03:41:38.49" personId="{0499562B-EFAF-4D5B-A8CC-C952B70A193C}" id="{4FBDDEF9-E406-4373-A2AC-758EBFE3CC2D}">
    <text>20 months</text>
  </threadedComment>
  <threadedComment ref="M202" dT="2023-03-28T03:41:43.96" personId="{0499562B-EFAF-4D5B-A8CC-C952B70A193C}" id="{D0EF97F9-4233-4E04-B971-FBDC2DD3086E}">
    <text>23 months</text>
  </threadedComment>
  <threadedComment ref="AB202" dT="2023-03-28T03:36:58.32" personId="{0499562B-EFAF-4D5B-A8CC-C952B70A193C}" id="{ACFD2FC8-D08E-4209-B91B-33EF2A3D0B54}">
    <text>Sensorimotor cortex</text>
  </threadedComment>
  <threadedComment ref="AF202" dT="2023-03-28T03:43:33.39" personId="{0499562B-EFAF-4D5B-A8CC-C952B70A193C}" id="{20A47CE7-ABB2-4F5B-B5CD-466A677B29D1}">
    <text>0.5 μg/uL</text>
  </threadedComment>
  <threadedComment ref="AH202" dT="2023-03-28T03:43:05.88" personId="{0499562B-EFAF-4D5B-A8CC-C952B70A193C}" id="{41989220-A4EA-448E-A67F-8D502242EBFD}">
    <text>4*2uL</text>
  </threadedComment>
  <threadedComment ref="AJ202" dT="2023-03-28T03:44:01.03" personId="{0499562B-EFAF-4D5B-A8CC-C952B70A193C}" id="{4C62B003-6F6F-4026-80BA-1ADCAF1C5434}">
    <text>0.5uL/min</text>
  </threadedComment>
  <threadedComment ref="AU202" dT="2023-03-28T03:46:44.89" personId="{0499562B-EFAF-4D5B-A8CC-C952B70A193C}" id="{E4A1F8D2-BF6F-4BEA-BB6F-4ABE92D05CEA}">
    <text>Neurotrace Nissl</text>
  </threadedComment>
  <threadedComment ref="K203" dT="2023-03-28T03:50:34.50" personId="{0499562B-EFAF-4D5B-A8CC-C952B70A193C}" id="{67FF1B49-9698-4FC4-AEBC-5D3B8EDA5F62}">
    <text>85 days</text>
  </threadedComment>
  <threadedComment ref="M203" dT="2023-03-28T03:50:40.90" personId="{0499562B-EFAF-4D5B-A8CC-C952B70A193C}" id="{2ED7AE6F-CD49-4EEB-938A-FEB1CC9E2114}">
    <text>95 days</text>
  </threadedComment>
  <threadedComment ref="U203" dT="2023-03-28T03:51:44.33" personId="{0499562B-EFAF-4D5B-A8CC-C952B70A193C}" id="{732FF771-284D-4FEF-AD2C-65B1F004382B}">
    <text>Avertin brand</text>
  </threadedComment>
  <threadedComment ref="X203" dT="2023-03-28T03:51:44.33" personId="{0499562B-EFAF-4D5B-A8CC-C952B70A193C}" id="{B77CF858-D482-44AF-B0D1-2EA1E0A165E8}">
    <text>Avertin brand</text>
  </threadedComment>
  <threadedComment ref="AB203" dT="2023-03-28T03:52:02.86" personId="{0499562B-EFAF-4D5B-A8CC-C952B70A193C}" id="{684A0389-DC45-4D01-9C54-F84D83881F18}">
    <text>Caudal forelimb area</text>
  </threadedComment>
  <threadedComment ref="AH203" dT="2023-03-28T03:52:22.51" personId="{0499562B-EFAF-4D5B-A8CC-C952B70A193C}" id="{0F8E543F-D2F8-4072-8400-33B662B74E85}">
    <text>200nL*3</text>
  </threadedComment>
  <threadedComment ref="K204" dT="2023-03-26T02:48:26.37" personId="{0499562B-EFAF-4D5B-A8CC-C952B70A193C}" id="{5B59976E-697D-4120-BBF0-E83B2F0CF3EA}">
    <text>3 months</text>
  </threadedComment>
  <threadedComment ref="M204" dT="2023-03-22T00:30:29.45" personId="{0499562B-EFAF-4D5B-A8CC-C952B70A193C}" id="{F79B0B69-D516-4011-88B0-C5FE61363F1B}">
    <text>5 months</text>
  </threadedComment>
  <threadedComment ref="AB204" dT="2023-03-28T03:36:58.32" personId="{0499562B-EFAF-4D5B-A8CC-C952B70A193C}" id="{C845DFC1-F4B8-4D8B-9712-91F18E5474C2}">
    <text>Sensorimotor cortex</text>
  </threadedComment>
  <threadedComment ref="AF204" dT="2023-03-28T04:21:34.19" personId="{0499562B-EFAF-4D5B-A8CC-C952B70A193C}" id="{863C979C-1A78-4AC7-B262-34C261E90B6E}">
    <text>0.2ug/uL</text>
  </threadedComment>
  <threadedComment ref="AN204" dT="2023-03-28T04:22:18.08" personId="{0499562B-EFAF-4D5B-A8CC-C952B70A193C}" id="{1B441377-7F9D-42D4-A0B1-8B52E9B93601}">
    <text>"antibiotic ointment"</text>
  </threadedComment>
  <threadedComment ref="L205" dT="2023-03-26T02:48:26.37" personId="{0499562B-EFAF-4D5B-A8CC-C952B70A193C}" id="{19F51D57-C0C9-4DC6-A00A-AF0B041FE628}">
    <text>3 months</text>
  </threadedComment>
  <threadedComment ref="AB205" dT="2023-03-28T08:43:23.83" personId="{0499562B-EFAF-4D5B-A8CC-C952B70A193C}" id="{EEE7C83E-AA5F-4A56-B39C-81938B44CF4F}">
    <text>caudal forelimb area</text>
  </threadedComment>
  <threadedComment ref="AH205" dT="2023-03-28T08:45:20.13" personId="{0499562B-EFAF-4D5B-A8CC-C952B70A193C}" id="{A8133FDF-34C0-4586-A565-3CEF37ED0924}">
    <text>330nL*6</text>
  </threadedComment>
  <threadedComment ref="AJ205" dT="2023-03-28T08:47:02.49" personId="{0499562B-EFAF-4D5B-A8CC-C952B70A193C}" id="{F55621F8-3817-4C93-9EF6-1BED674BACC5}">
    <text>3nL/sec = 180nL/min = 0.18uL/min</text>
  </threadedComment>
  <threadedComment ref="AL205" dT="2023-03-28T08:49:59.78" personId="{0499562B-EFAF-4D5B-A8CC-C952B70A193C}" id="{92922672-C8B2-4EAA-9AE9-C22A635CE630}">
    <text>Gave 4 analgesics/antibiotics, have listed top concentrations here. Full list: "At the end of the procedure all
animals received dexamethasone (Vetoquinol; 1 mg/kg),
enrofloxacin (Baytril; 10 mg/kg), carprofen (Rimadyl; 10
mg/kg), and buprenorphine (Temgesic; 0.005 mg/kg)."</text>
  </threadedComment>
  <threadedComment ref="AM205" dT="2023-03-28T08:51:50.24" personId="{0499562B-EFAF-4D5B-A8CC-C952B70A193C}" id="{481673E9-8440-456E-BFBB-0A0CF2703E5A}">
    <text>Gave 4 analgesics/antibiotics, have listed top concentrations here. Full list: "At the end of the procedure all
animals received dexamethasone (Vetoquinol; 1 mg/kg),
enrofloxacin (Baytril; 10 mg/kg), carprofen (Rimadyl; 10
mg/kg), and buprenorphine (Temgesic; 0.005 mg/kg)."</text>
  </threadedComment>
  <threadedComment ref="AN205" dT="2023-03-28T08:52:10.70" personId="{0499562B-EFAF-4D5B-A8CC-C952B70A193C}" id="{2D6D6A14-EB8F-4150-B187-216CBE15BC1F}">
    <text>Gave 4 analgesics/antibiotics, have listed top concentrations here. Full list: "At the end of the procedure all
animals received dexamethasone (Vetoquinol; 1 mg/kg),
enrofloxacin (Baytril; 10 mg/kg), carprofen (Rimadyl; 10
mg/kg), and buprenorphine (Temgesic; 0.005 mg/kg)."</text>
  </threadedComment>
  <threadedComment ref="L206" dT="2023-03-26T02:48:26.37" personId="{0499562B-EFAF-4D5B-A8CC-C952B70A193C}" id="{E4B1D749-496D-47A7-8CA7-2E4E45B2A9C5}">
    <text>3 months</text>
  </threadedComment>
  <threadedComment ref="AB206" dT="2023-03-28T08:43:23.83" personId="{0499562B-EFAF-4D5B-A8CC-C952B70A193C}" id="{EEAE7ACA-EF34-479B-A6FB-CB9BA1BF8C2B}">
    <text>caudal forelimb area</text>
  </threadedComment>
  <threadedComment ref="AH206" dT="2023-03-28T08:45:20.13" personId="{0499562B-EFAF-4D5B-A8CC-C952B70A193C}" id="{0F096E66-85CA-4A6C-AB2D-840EB15207AD}">
    <text>330nL*12</text>
  </threadedComment>
  <threadedComment ref="AJ206" dT="2023-03-28T08:47:02.49" personId="{0499562B-EFAF-4D5B-A8CC-C952B70A193C}" id="{99B3FE00-4995-4FE7-A1EB-9D3CC13FA49B}">
    <text>3nL/sec = 180nL/min = 0.18uL/min</text>
  </threadedComment>
  <threadedComment ref="AL206" dT="2023-03-28T08:49:59.78" personId="{0499562B-EFAF-4D5B-A8CC-C952B70A193C}" id="{B78C405C-6CE3-4658-8DD8-7C175B88E046}">
    <text>Gave 4 analgesics/antibiotics, have listed top concentrations here. Full list: "At the end of the procedure all
animals received dexamethasone (Vetoquinol; 1 mg/kg),
enrofloxacin (Baytril; 10 mg/kg), carprofen (Rimadyl; 10
mg/kg), and buprenorphine (Temgesic; 0.005 mg/kg)."</text>
  </threadedComment>
  <threadedComment ref="AM206" dT="2023-03-28T08:51:50.24" personId="{0499562B-EFAF-4D5B-A8CC-C952B70A193C}" id="{E7787289-DD6C-46E3-87B2-5ADAE05F058A}">
    <text>Gave 4 analgesics/antibiotics, have listed top concentrations here. Full list: "At the end of the procedure all
animals received dexamethasone (Vetoquinol; 1 mg/kg),
enrofloxacin (Baytril; 10 mg/kg), carprofen (Rimadyl; 10
mg/kg), and buprenorphine (Temgesic; 0.005 mg/kg)."</text>
  </threadedComment>
  <threadedComment ref="AN206" dT="2023-03-28T08:52:15.23" personId="{0499562B-EFAF-4D5B-A8CC-C952B70A193C}" id="{F1299A5F-53ED-4DF8-813A-F8B6E19752D2}">
    <text>Gave 4 analgesics/antibiotics, have listed top concentrations here. Full list: "At the end of the procedure all
animals received dexamethasone (Vetoquinol; 1 mg/kg),
enrofloxacin (Baytril; 10 mg/kg), carprofen (Rimadyl; 10
mg/kg), and buprenorphine (Temgesic; 0.005 mg/kg)."</text>
  </threadedComment>
  <threadedComment ref="U207" dT="2023-03-29T04:26:00.03" personId="{0499562B-EFAF-4D5B-A8CC-C952B70A193C}" id="{17E03BCA-A597-4512-916B-488C50278EFF}">
    <text>For implantation</text>
  </threadedComment>
  <threadedComment ref="V207" dT="2023-03-29T04:26:05.25" personId="{0499562B-EFAF-4D5B-A8CC-C952B70A193C}" id="{A6D11B15-5F14-4321-BB88-47ED94463544}">
    <text>For implantation</text>
  </threadedComment>
  <threadedComment ref="X207" dT="2023-03-29T04:26:17.05" personId="{0499562B-EFAF-4D5B-A8CC-C952B70A193C}" id="{340BF9A8-CBA7-4608-8D07-6559161B9288}">
    <text>For stroke induction</text>
  </threadedComment>
  <threadedComment ref="AJ207" dT="2023-03-29T04:38:48.61" personId="{0499562B-EFAF-4D5B-A8CC-C952B70A193C}" id="{9C0E5A4C-340F-48A8-A34F-7778133F9625}">
    <text>1uL/min</text>
  </threadedComment>
  <threadedComment ref="U208" dT="2023-03-29T05:03:20.30" personId="{0499562B-EFAF-4D5B-A8CC-C952B70A193C}" id="{24E1467F-D794-4B4E-85A3-A0DC551BF7D2}">
    <text>Saffan brand</text>
  </threadedComment>
  <threadedComment ref="X208" dT="2023-03-29T05:03:20.30" personId="{0499562B-EFAF-4D5B-A8CC-C952B70A193C}" id="{A736B577-E263-45E9-9765-6A94E029E6C7}">
    <text>Saffan brand</text>
  </threadedComment>
  <threadedComment ref="AH208" dT="2023-03-29T05:12:20.83" personId="{0499562B-EFAF-4D5B-A8CC-C952B70A193C}" id="{6EE5535E-DAD7-4D4C-A62A-8AF1BA816A9D}">
    <text>5uL/min for 5 mins</text>
  </threadedComment>
  <threadedComment ref="AJ208" dT="2023-03-29T05:12:20.83" personId="{0499562B-EFAF-4D5B-A8CC-C952B70A193C}" id="{B2D600D8-4421-498D-82AA-651457344C95}">
    <text>5uL/min for 5 mins</text>
  </threadedComment>
  <threadedComment ref="AU208" dT="2023-03-29T05:14:07.82" personId="{0499562B-EFAF-4D5B-A8CC-C952B70A193C}" id="{1D12CA4E-E46D-40C0-B086-073AFC234FBA}">
    <text>+ Luxol fast blue</text>
  </threadedComment>
  <threadedComment ref="U209" dT="2023-03-29T05:03:20.30" personId="{0499562B-EFAF-4D5B-A8CC-C952B70A193C}" id="{87B6FC0F-D78C-46B4-A0BF-2A259260869F}">
    <text>Saffan brand</text>
  </threadedComment>
  <threadedComment ref="X209" dT="2023-03-29T05:03:20.30" personId="{0499562B-EFAF-4D5B-A8CC-C952B70A193C}" id="{47839D50-3997-47E1-BA53-C708CE7DBC8D}">
    <text>Saffan brand</text>
  </threadedComment>
  <threadedComment ref="AH209" dT="2023-03-29T05:12:20.83" personId="{0499562B-EFAF-4D5B-A8CC-C952B70A193C}" id="{E7A5D328-330B-4D38-8515-69578DEBABA2}">
    <text>5uL/min for 5 mins</text>
  </threadedComment>
  <threadedComment ref="AJ209" dT="2023-03-29T05:12:20.83" personId="{0499562B-EFAF-4D5B-A8CC-C952B70A193C}" id="{01EFA46E-9C61-43C4-83CF-93D27DFBC2FB}">
    <text>5uL/min for 5 mins</text>
  </threadedComment>
  <threadedComment ref="AU209" dT="2023-03-29T05:14:07.82" personId="{0499562B-EFAF-4D5B-A8CC-C952B70A193C}" id="{88EEACA0-3BA8-451F-8E97-08739527697C}">
    <text>+ Luxol fast blue</text>
  </threadedComment>
  <threadedComment ref="U210" dT="2023-03-29T05:03:20.30" personId="{0499562B-EFAF-4D5B-A8CC-C952B70A193C}" id="{E4829CFC-CB27-4E0C-A69A-C3B7E8659385}">
    <text>Saffan brand</text>
  </threadedComment>
  <threadedComment ref="X210" dT="2023-03-29T05:03:20.30" personId="{0499562B-EFAF-4D5B-A8CC-C952B70A193C}" id="{DC0A300F-1727-41FE-9CD9-242438FAF76B}">
    <text>Saffan brand</text>
  </threadedComment>
  <threadedComment ref="AH210" dT="2023-03-29T05:12:20.83" personId="{0499562B-EFAF-4D5B-A8CC-C952B70A193C}" id="{07AE4379-DE32-4356-B6DA-28DC7A03D3B5}">
    <text>5uL/min for 5 mins</text>
  </threadedComment>
  <threadedComment ref="AJ210" dT="2023-03-29T05:12:20.83" personId="{0499562B-EFAF-4D5B-A8CC-C952B70A193C}" id="{3F693959-7382-448B-821B-546BC799FAE5}">
    <text>5uL/min for 5 mins</text>
  </threadedComment>
  <threadedComment ref="AU210" dT="2023-03-29T05:14:07.82" personId="{0499562B-EFAF-4D5B-A8CC-C952B70A193C}" id="{3B949BD0-F790-4681-9B6D-88214D92F0BC}">
    <text>+ Luxol fast blue</text>
  </threadedComment>
  <threadedComment ref="AJ211" dT="2023-03-29T06:39:01.52" personId="{0499562B-EFAF-4D5B-A8CC-C952B70A193C}" id="{9AC57EE9-AF2F-4570-AD49-34C923EB74B6}">
    <text>0.6uL/min</text>
  </threadedComment>
  <threadedComment ref="AB212" dT="2023-03-29T06:50:13.13" personId="{0499562B-EFAF-4D5B-A8CC-C952B70A193C}" id="{71D42EA3-12C0-431D-95B7-50F0A521957E}">
    <text>Anterior cerebral arteries bilateral occlusion</text>
  </threadedComment>
  <threadedComment ref="AC212" dT="2023-03-29T06:50:29.81" personId="{0499562B-EFAF-4D5B-A8CC-C952B70A193C}" id="{1A236EF3-BC70-42C7-89B1-E023E6AED8A5}">
    <text>Anterior cerebral arteries bilateral occlusion</text>
  </threadedComment>
  <threadedComment ref="AH212" dT="2023-03-29T06:52:03.23" personId="{0499562B-EFAF-4D5B-A8CC-C952B70A193C}" id="{F4A6EF50-4BDE-425D-A41C-F0309DE05CF8}">
    <text>1uL*3</text>
  </threadedComment>
  <threadedComment ref="AJ212" dT="2023-03-29T06:51:15.13" personId="{0499562B-EFAF-4D5B-A8CC-C952B70A193C}" id="{BF755B07-4D67-4DFC-AB04-8F3BBB1DBA5B}">
    <text>1uL/10sec = 6uL/min
injected as 3 *1uL injections at same site</text>
  </threadedComment>
  <threadedComment ref="K213" dT="2023-03-29T07:22:10.51" personId="{0499562B-EFAF-4D5B-A8CC-C952B70A193C}" id="{2A73160E-6944-4ABB-9DC2-18EDF73BA0C5}">
    <text>3.5 months</text>
  </threadedComment>
  <threadedComment ref="M213" dT="2023-03-29T07:22:28.82" personId="{0499562B-EFAF-4D5B-A8CC-C952B70A193C}" id="{9D4C2D78-E20E-456E-8764-E724E8CDD6DE}">
    <text>4 months</text>
  </threadedComment>
  <threadedComment ref="AB213" dT="2023-03-29T07:25:33.79" personId="{0499562B-EFAF-4D5B-A8CC-C952B70A193C}" id="{9DC4C15D-FDA1-44F6-9EE1-4AA5D38F9408}">
    <text>Targeted at specific coordinates relative to bregma as follows: anterior/posterior +3.0,medial/lateral ±0.7, dorsal/ventral −4.5,</text>
  </threadedComment>
  <threadedComment ref="AH213" dT="2023-03-29T07:24:59.49" personId="{0499562B-EFAF-4D5B-A8CC-C952B70A193C}" id="{B5B32B39-696B-4DC4-B42C-978A03D0878D}">
    <text>1uL each side</text>
  </threadedComment>
  <threadedComment ref="AL213" dT="2023-03-23T10:03:16.34" personId="{0499562B-EFAF-4D5B-A8CC-C952B70A193C}" id="{E0237449-521F-48D4-96B1-BA4792B23CA8}">
    <text>Xylocaine topical</text>
  </threadedComment>
  <threadedComment ref="AB214" dT="2023-03-29T07:30:44.78" personId="{0499562B-EFAF-4D5B-A8CC-C952B70A193C}" id="{70F8F752-7D4C-463F-B782-68891803F768}">
    <text>Motor cortex</text>
  </threadedComment>
  <threadedComment ref="AS214" dT="2023-03-29T07:48:16.47" personId="{0499562B-EFAF-4D5B-A8CC-C952B70A193C}" id="{0B402834-9529-43D1-ADD5-4B8A718408FD}">
    <text>Combined data from 10 days and 1 month, noting 1 month here</text>
  </threadedComment>
  <threadedComment ref="AB215" dT="2023-03-29T07:30:44.78" personId="{0499562B-EFAF-4D5B-A8CC-C952B70A193C}" id="{96021854-BB71-4948-9619-7229D9E529EF}">
    <text>Motor cortex</text>
  </threadedComment>
  <threadedComment ref="AS215" dT="2023-03-29T07:48:16.47" personId="{0499562B-EFAF-4D5B-A8CC-C952B70A193C}" id="{65432FCF-8FDA-438E-8384-9E9CBA6B51A9}">
    <text>Combined data from 10 days and 1 month, noting 1 month here</text>
  </threadedComment>
  <threadedComment ref="AB216" dT="2023-03-29T07:30:44.78" personId="{0499562B-EFAF-4D5B-A8CC-C952B70A193C}" id="{DB37761C-BB3C-4406-8345-AEFEF442DDB7}">
    <text>Motor cortex</text>
  </threadedComment>
  <threadedComment ref="AS216" dT="2023-03-29T07:48:16.47" personId="{0499562B-EFAF-4D5B-A8CC-C952B70A193C}" id="{06B5926A-FA39-4B94-90DD-54D893F2BDB6}">
    <text>Combined data from 10 days and 1 month, noting 1 month here</text>
  </threadedComment>
  <threadedComment ref="AB217" dT="2023-03-29T07:30:44.78" personId="{0499562B-EFAF-4D5B-A8CC-C952B70A193C}" id="{BF71951D-0220-438E-A1E6-ECFC15B9C165}">
    <text>Motor cortex</text>
  </threadedComment>
  <threadedComment ref="AF217" dT="2023-03-29T07:42:40.68" personId="{0499562B-EFAF-4D5B-A8CC-C952B70A193C}" id="{1F696C08-69B0-4D9E-A5A8-880D792C6E3B}">
    <text>2*400pmol injections</text>
  </threadedComment>
  <threadedComment ref="AH217" dT="2023-03-29T07:46:12.24" personId="{0499562B-EFAF-4D5B-A8CC-C952B70A193C}" id="{BD74DE13-4F40-4A9E-8217-9F9F6A6D4FF6}">
    <text>2*2uL</text>
  </threadedComment>
  <threadedComment ref="AJ217" dT="2023-03-29T07:44:55.80" personId="{0499562B-EFAF-4D5B-A8CC-C952B70A193C}" id="{D12A524C-F345-4812-A6D5-7C215DA725EB}">
    <text>1uL/2min = 0.5uL/min</text>
  </threadedComment>
  <threadedComment ref="AS217" dT="2023-03-29T07:48:16.47" personId="{0499562B-EFAF-4D5B-A8CC-C952B70A193C}" id="{191973E6-67F9-4DE0-BD44-AD1C5E948BDE}">
    <text>Combined data from 10 days and 1 month, noting 1 month here</text>
  </threadedComment>
  <threadedComment ref="AB218" dT="2023-03-29T07:30:44.78" personId="{0499562B-EFAF-4D5B-A8CC-C952B70A193C}" id="{4EE485F6-0BD5-46E7-AF0B-CA92DE18E047}">
    <text>Motor cortex</text>
  </threadedComment>
  <threadedComment ref="AF218" dT="2023-03-29T07:42:48.95" personId="{0499562B-EFAF-4D5B-A8CC-C952B70A193C}" id="{BAFCCE94-E641-4071-8BB5-CEEF34D086BF}">
    <text>2*800pmol injections</text>
  </threadedComment>
  <threadedComment ref="AH218" dT="2023-03-29T07:46:12.24" personId="{0499562B-EFAF-4D5B-A8CC-C952B70A193C}" id="{E2017BA8-C18A-453D-BBAC-BB79C45F445D}">
    <text>2*2uL</text>
  </threadedComment>
  <threadedComment ref="AJ218" dT="2023-03-29T07:44:55.80" personId="{0499562B-EFAF-4D5B-A8CC-C952B70A193C}" id="{750A6283-1985-4754-8E96-911377068DBE}">
    <text>1uL/2min = 0.5uL/min</text>
  </threadedComment>
  <threadedComment ref="AS218" dT="2023-03-29T07:48:16.47" personId="{0499562B-EFAF-4D5B-A8CC-C952B70A193C}" id="{7945BF49-1527-4691-9E2A-412367BF8029}">
    <text>Combined data from 10 days and 1 month, noting 1 month here</text>
  </threadedComment>
  <threadedComment ref="AB219" dT="2023-03-29T07:30:44.78" personId="{0499562B-EFAF-4D5B-A8CC-C952B70A193C}" id="{EEBC4AD3-B0A9-4FE1-8AD8-3F51DBC49ABB}">
    <text>Motor cortex</text>
  </threadedComment>
  <threadedComment ref="AF219" dT="2023-03-29T07:43:11.56" personId="{0499562B-EFAF-4D5B-A8CC-C952B70A193C}" id="{80588FF1-5172-4B0E-B454-7DF57CEEF197}">
    <text>3*800pmol injections</text>
  </threadedComment>
  <threadedComment ref="AH219" dT="2023-03-29T07:45:57.47" personId="{0499562B-EFAF-4D5B-A8CC-C952B70A193C}" id="{6D0A636D-C8BF-43AF-9806-8DDD4CC1C28E}">
    <text>3*2uL</text>
  </threadedComment>
  <threadedComment ref="AJ219" dT="2023-03-29T07:44:55.80" personId="{0499562B-EFAF-4D5B-A8CC-C952B70A193C}" id="{DD44DDC3-65F3-43FF-8994-E9386F8C1CFB}">
    <text>1uL/2min = 0.5uL/min</text>
  </threadedComment>
  <threadedComment ref="AS219" dT="2023-03-29T07:48:16.47" personId="{0499562B-EFAF-4D5B-A8CC-C952B70A193C}" id="{F3E89BED-D44F-4370-B31E-4733A863FAF2}">
    <text>Combined data from 10 days and 1 month, noting 1 month here</text>
  </threadedComment>
  <threadedComment ref="AB220" dT="2023-03-29T07:30:44.78" personId="{0499562B-EFAF-4D5B-A8CC-C952B70A193C}" id="{BAF43448-1AF2-444C-9C5F-FA3CB3972A2C}">
    <text>Motor cortex + striatum</text>
  </threadedComment>
  <threadedComment ref="AF220" dT="2023-03-29T07:43:30.43" personId="{0499562B-EFAF-4D5B-A8CC-C952B70A193C}" id="{4E844A7D-102F-4595-B0B1-898B11ED9408}">
    <text>2 cortical injections of
400 pmol each+1 striatal injection of 400 pmol</text>
  </threadedComment>
  <threadedComment ref="AH220" dT="2023-03-29T07:45:57.47" personId="{0499562B-EFAF-4D5B-A8CC-C952B70A193C}" id="{011DAC58-3942-40E0-8F88-385E9B5264F2}">
    <text>3*2uL</text>
  </threadedComment>
  <threadedComment ref="AJ220" dT="2023-03-29T07:44:55.80" personId="{0499562B-EFAF-4D5B-A8CC-C952B70A193C}" id="{FE69BC2E-8383-42E6-B791-F9B97E147810}">
    <text>1uL/2min = 0.5uL/min</text>
  </threadedComment>
  <threadedComment ref="AS220" dT="2023-03-29T07:48:16.47" personId="{0499562B-EFAF-4D5B-A8CC-C952B70A193C}" id="{A77D1336-14AC-419D-8742-7ED1E6573BF4}">
    <text>Combined data from 10 days and 1 month, noting 1 month here</text>
  </threadedComment>
  <threadedComment ref="AB221" dT="2023-03-29T07:30:44.78" personId="{0499562B-EFAF-4D5B-A8CC-C952B70A193C}" id="{7938A2FC-EC45-4E2A-90E9-0F673C0CBA63}">
    <text>Motor cortex + striatum</text>
  </threadedComment>
  <threadedComment ref="AF221" dT="2023-03-29T07:43:45.12" personId="{0499562B-EFAF-4D5B-A8CC-C952B70A193C}" id="{631C1E86-3406-4487-B23F-02AC8890198F}">
    <text>2 cortical of 800 pmol each+1 striatal
injection of 800 pmol</text>
  </threadedComment>
  <threadedComment ref="AH221" dT="2023-03-29T07:45:57.47" personId="{0499562B-EFAF-4D5B-A8CC-C952B70A193C}" id="{BB53887E-F174-4F80-81E3-BE925C006F59}">
    <text>3*2uL</text>
  </threadedComment>
  <threadedComment ref="AJ221" dT="2023-03-29T07:44:55.80" personId="{0499562B-EFAF-4D5B-A8CC-C952B70A193C}" id="{B480E113-DADA-47FC-B56E-AC4DA3520C2A}">
    <text>1uL/2min = 0.5uL/min</text>
  </threadedComment>
  <threadedComment ref="AS221" dT="2023-03-29T07:48:16.47" personId="{0499562B-EFAF-4D5B-A8CC-C952B70A193C}" id="{7038780F-DBDD-415A-BB30-BFB4E67FC319}">
    <text>Combined data from 10 days and 1 month, noting 1 month here</text>
  </threadedComment>
  <threadedComment ref="AS222" dT="2023-03-29T07:48:16.47" personId="{0499562B-EFAF-4D5B-A8CC-C952B70A193C}" id="{5C32BC4E-0534-48FA-A214-BE7800E2D767}">
    <text>Combined data from 10 days and 1 month, noting 1 month here</text>
  </threadedComment>
  <threadedComment ref="AJ223" dT="2023-03-29T07:58:52.84" personId="{0499562B-EFAF-4D5B-A8CC-C952B70A193C}" id="{1CA30571-5375-4E1C-90F8-E87F266B68B7}">
    <text>50uL/min</text>
  </threadedComment>
  <threadedComment ref="AH224" dT="2023-03-29T08:37:35.11" personId="{0499562B-EFAF-4D5B-A8CC-C952B70A193C}" id="{967CA58B-BBBE-4B82-829C-43AB425DCECC}">
    <text>4*50uL</text>
  </threadedComment>
</ThreadedComments>
</file>

<file path=xl/threadedComments/threadedComment2.xml><?xml version="1.0" encoding="utf-8"?>
<ThreadedComments xmlns="http://schemas.microsoft.com/office/spreadsheetml/2018/threadedcomments" xmlns:x="http://schemas.openxmlformats.org/spreadsheetml/2006/main">
  <threadedComment ref="R11" dT="2023-04-05T04:22:56.25" personId="{0499562B-EFAF-4D5B-A8CC-C952B70A193C}" id="{3E71E478-F35A-4DF7-BC3D-52C9733DEFC7}">
    <text>DOI: 10.1016/s0165-0270(00)00278-8</text>
    <extLst>
      <x:ext xmlns:xltc2="http://schemas.microsoft.com/office/spreadsheetml/2020/threadedcomments2" uri="{F7C98A9C-CBB3-438F-8F68-D28B6AF4A901}">
        <xltc2:checksum>2197169263</xltc2:checksum>
        <xltc2:hyperlink startIndex="5" length="29" url="https://doi.org/10.1016/s0165-0270(00)00278-8"/>
      </x:ext>
    </extLst>
  </threadedComment>
  <threadedComment ref="V14" dT="2021-11-10T03:14:55.51" personId="{11DC6066-DA42-40E8-B306-F4C988E85EA0}" id="{2865CEEA-F5BC-43F8-BBD4-965E760CC218}">
    <text>Also known as Menzies scale</text>
  </threadedComment>
  <threadedComment ref="G20" dT="2021-07-13T00:57:23.93" personId="{11DC6066-DA42-40E8-B306-F4C988E85EA0}" id="{EF4927E9-F3F5-4A4C-88D1-AC0156D50CB6}">
    <text>mixture of water, chloral hydrate, magnesium sulfate, propylene glycol, ethanol, and nembutal</text>
  </threadedComment>
  <threadedComment ref="V21" dT="2021-10-20T04:36:36.78" personId="{11DC6066-DA42-40E8-B306-F4C988E85EA0}" id="{4E867794-C8B6-4E50-ACDE-B2A5B4C093E4}">
    <text>E.Z. Longa, P.R. Weinstein, S. Carlson, R. Cummins, Reversible middle cerebral
artery occlusion without craniectomy in rats, Stroke 20 (January (1)) (1989) 84–91.</text>
  </threadedComment>
  <threadedComment ref="B24" dT="2021-11-13T03:42:39.98" personId="{11DC6066-DA42-40E8-B306-F4C988E85EA0}" id="{7AE89696-4845-47E3-B897-1781F700E251}">
    <text>C57BL/6 background</text>
  </threadedComment>
  <threadedComment ref="V24" dT="2021-11-10T03:14:45.86" personId="{11DC6066-DA42-40E8-B306-F4C988E85EA0}" id="{D1496B3E-B148-4D76-B4A7-F98CEC6AF153}">
    <text>0-4 scale = Menzies scale</text>
  </threadedComment>
  <threadedComment ref="V27" dT="2021-11-02T03:36:49.93" personId="{11DC6066-DA42-40E8-B306-F4C988E85EA0}" id="{2B1FB8BF-6A44-40B4-AA47-9F9A2F58C427}">
    <text>Sensori-motor dysfunction was assessed by using a score of 1, 0.5, and 0: (1) — the paw is immediately placed on the table surface; (0.5) — the limb is extended, but with some movements and attempts to place the paw on the surface of the table; (0) — the paw is totally immobilized, hanging down, with no movement.</text>
  </threadedComment>
  <threadedComment ref="V28" dT="2021-11-12T06:55:56.42" personId="{11DC6066-DA42-40E8-B306-F4C988E85EA0}" id="{79BDB44A-80AD-4002-959A-7B4563F7FB66}">
    <text>score 0: no neurological deficits, score 1: mildly abnormal posture or mild hemiplegia, score 2: severely abnormal posture or severe hemiplegia. total score 0 is the lowest and total score 4 is the highest</text>
  </threadedComment>
  <threadedComment ref="B31" dT="2021-10-29T00:13:46.11" personId="{11DC6066-DA42-40E8-B306-F4C988E85EA0}" id="{34E9D505-0723-4196-A56F-F88DA0E57A2C}">
    <text>based on C57BL/6</text>
  </threadedComment>
  <threadedComment ref="B52" dT="2021-11-13T03:43:05.18" personId="{11DC6066-DA42-40E8-B306-F4C988E85EA0}" id="{D36D80E3-10B9-49C4-A0C0-4DBBE884D917}">
    <text>C57BL6/CNr genetic background</text>
  </threadedComment>
  <threadedComment ref="B57" dT="2021-09-30T07:52:00.58" personId="{11DC6066-DA42-40E8-B306-F4C988E85EA0}" id="{86227224-4774-45FA-9D07-E8E389AD5A3B}">
    <text>C57BL/6xDBA background</text>
  </threadedComment>
  <threadedComment ref="B59" dT="2021-11-21T05:57:10.85" personId="{11DC6066-DA42-40E8-B306-F4C988E85EA0}" id="{EFD30E45-D740-458B-89FD-7080FAD2A8C9}">
    <text>C57BL6 background</text>
  </threadedComment>
  <threadedComment ref="B60" dT="2023-03-18T01:58:21.00" personId="{0499562B-EFAF-4D5B-A8CC-C952B70A193C}" id="{AB03463F-1998-4248-8FAE-096588F54132}">
    <text>neuron-specific expression of human equilibrative nucleoside transporter 1</text>
  </threadedComment>
  <threadedComment ref="B84" dT="2022-01-13T05:22:43.29" personId="{11DC6066-DA42-40E8-B306-F4C988E85EA0}" id="{80D1A119-F2C9-4E7E-BFD5-3ED5BAE1AB2E}">
    <text>C57BL/6 background</text>
  </threadedComment>
  <threadedComment ref="B85" dT="2022-01-14T05:12:39.80" personId="{11DC6066-DA42-40E8-B306-F4C988E85EA0}" id="{AB783EB3-09F1-406C-ADBC-56DD36E432C4}">
    <text>plasma phospholipid transfer protein transgenic mice, C57BL/6 background</text>
  </threadedComment>
  <threadedComment ref="B86" dT="2022-01-14T05:12:39.80" personId="{11DC6066-DA42-40E8-B306-F4C988E85EA0}" id="{964871FD-BAE0-4662-88B8-96310B2031D8}">
    <text>plasma phospholipid transfer protein transgenic mice, C57BL/6 background</text>
  </threadedComment>
  <threadedComment ref="B88" dT="2022-01-07T00:43:31.03" personId="{11DC6066-DA42-40E8-B306-F4C988E85EA0}" id="{48672C56-689B-4B90-B9DC-F1A46956D4CB}">
    <text>C57BL6 background</text>
  </threadedComment>
  <threadedComment ref="B89" dT="2021-11-02T03:52:40.79" personId="{11DC6066-DA42-40E8-B306-F4C988E85EA0}" id="{3D65D073-A4DF-4B05-9E7B-0C0B30FEDC07}">
    <text>"a quadruple knock-out mouse (Q4) that lacks four ECM components: brevican, neurocan, tenascin-C and tenascin-R" seems to be based on 129S1/SvImJ mice</text>
  </threadedComment>
  <threadedComment ref="B94" dT="2022-01-10T03:34:42.43" personId="{11DC6066-DA42-40E8-B306-F4C988E85EA0}" id="{AE23CA46-6DC7-42C8-84ED-D0C37740B6BA}">
    <text>introgressing a loss-of-function mutation in the p22phox gene from the Matsumoto Eosinophilia Shinshu (MES) rat to stroke prone spontaneously hypertensive rats (SHRSP), we constructed the SHRSP-based congenic strain lacking the P22PHOX expression (i.e., lacking NADPH oxidases [NOX] activities) (SHRSP.MES-Cybames/Izm; hereafter referred to as SP.MES)</text>
  </threadedComment>
  <threadedComment ref="B95" dT="2021-10-06T04:07:54.50" personId="{11DC6066-DA42-40E8-B306-F4C988E85EA0}" id="{A7BEFE07-9CBF-42CD-B046-977AEA33AB36}">
    <text>Secreted protein acidic rich in cysteine (SPARC) is a matricellular protein that modulates the activity of growth factors, cytokines, and extracellular matrix to play multiple roles in tissue development and repair, such as cellular adhesion, migration, and proliferation. based on B6129SF2/J mouse</text>
  </threadedComment>
  <threadedComment ref="N113" dT="2021-11-04T00:43:31.04" personId="{11DC6066-DA42-40E8-B306-F4C988E85EA0}" id="{221E8897-2761-4899-9110-CAE542F596F0}">
    <text>carbamylated analogs of chimeric derivatives, erythropoietin with the Fc fragment of human IgG1</text>
  </threadedComment>
  <threadedComment ref="N114" dT="2021-11-04T00:43:44.85" personId="{11DC6066-DA42-40E8-B306-F4C988E85EA0}" id="{275B291B-4443-4723-9FFC-5BF200A17054}">
    <text>erythropoietin with TR (Muc1) human glycopeptide</text>
  </threadedComment>
  <threadedComment ref="N136" dT="2022-01-23T09:01:43.68" personId="{0499562B-EFAF-4D5B-A8CC-C952B70A193C}" id="{F6D5E8B2-688D-46D3-848E-BEE293EB1957}">
    <text>might be GC-2h, is russian, translates as "antiamnestic ACTION HUMAN dipeptide mimetic of nerve growth factor "</text>
  </threadedComment>
  <threadedComment ref="N259" dT="2021-12-21T01:45:52.68" personId="{11DC6066-DA42-40E8-B306-F4C988E85EA0}" id="{8429AEAC-D527-4152-8502-92A68B61FBB5}">
    <text>a form of t-PA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8411E-8952-44F7-A5FF-14C876E40C4F}">
  <sheetPr codeName="Sheet1"/>
  <dimension ref="A1:BK224"/>
  <sheetViews>
    <sheetView tabSelected="1" zoomScaleNormal="100" workbookViewId="0">
      <pane xSplit="5" ySplit="1" topLeftCell="F2" activePane="bottomRight" state="frozen"/>
      <selection pane="topRight" activeCell="F1" sqref="F1"/>
      <selection pane="bottomLeft" activeCell="A2" sqref="A2"/>
      <selection pane="bottomRight" activeCell="C27" sqref="C27"/>
    </sheetView>
  </sheetViews>
  <sheetFormatPr defaultRowHeight="14.4" x14ac:dyDescent="0.3"/>
  <cols>
    <col min="1" max="1" width="16.88671875" customWidth="1"/>
    <col min="2" max="2" width="12.88671875" customWidth="1"/>
    <col min="3" max="3" width="5.88671875" customWidth="1"/>
    <col min="4" max="4" width="18.88671875" customWidth="1"/>
    <col min="5" max="5" width="3.6640625" customWidth="1"/>
    <col min="6" max="6" width="11.5546875" style="18" customWidth="1"/>
    <col min="7" max="7" width="12.6640625" customWidth="1"/>
    <col min="9" max="9" width="12.88671875" customWidth="1"/>
    <col min="10" max="10" width="14.33203125" customWidth="1"/>
    <col min="11" max="11" width="14.6640625" customWidth="1"/>
    <col min="12" max="12" width="15.44140625" customWidth="1"/>
    <col min="13" max="13" width="14.44140625" customWidth="1"/>
    <col min="14" max="14" width="13.33203125" customWidth="1"/>
    <col min="15" max="15" width="14.88671875" customWidth="1"/>
    <col min="16" max="16" width="14" customWidth="1"/>
    <col min="17" max="17" width="18.6640625" customWidth="1"/>
    <col min="18" max="18" width="19.6640625" customWidth="1"/>
    <col min="19" max="19" width="18" customWidth="1"/>
    <col min="20" max="20" width="18.6640625" customWidth="1"/>
    <col min="21" max="21" width="17.6640625" style="18" customWidth="1"/>
    <col min="22" max="26" width="20.44140625" customWidth="1"/>
    <col min="27" max="27" width="22.88671875" customWidth="1"/>
    <col min="28" max="28" width="16.6640625" customWidth="1"/>
    <col min="29" max="29" width="16.88671875" customWidth="1"/>
    <col min="30" max="30" width="12.109375" customWidth="1"/>
    <col min="31" max="31" width="17.44140625" customWidth="1"/>
    <col min="32" max="32" width="11.109375" customWidth="1"/>
    <col min="33" max="33" width="13.6640625" customWidth="1"/>
    <col min="34" max="34" width="12.88671875" customWidth="1"/>
    <col min="35" max="35" width="15.88671875" customWidth="1"/>
    <col min="36" max="36" width="22.88671875" customWidth="1"/>
    <col min="37" max="37" width="21.44140625" customWidth="1"/>
    <col min="38" max="38" width="16.5546875" customWidth="1"/>
    <col min="39" max="39" width="18.6640625" customWidth="1"/>
    <col min="40" max="40" width="15.88671875" customWidth="1"/>
    <col min="41" max="41" width="15" style="18" customWidth="1"/>
    <col min="42" max="42" width="15" customWidth="1"/>
    <col min="43" max="44" width="20.33203125" customWidth="1"/>
    <col min="45" max="45" width="21.109375" style="18" customWidth="1"/>
    <col min="46" max="48" width="19.6640625" customWidth="1"/>
    <col min="49" max="49" width="20.44140625" customWidth="1"/>
    <col min="50" max="50" width="20" customWidth="1"/>
    <col min="51" max="51" width="10.33203125" customWidth="1"/>
    <col min="52" max="52" width="13.109375" customWidth="1"/>
    <col min="53" max="53" width="16.6640625" customWidth="1"/>
    <col min="54" max="54" width="16.109375" customWidth="1"/>
    <col min="55" max="55" width="20.77734375" customWidth="1"/>
    <col min="56" max="56" width="24" customWidth="1"/>
    <col min="57" max="57" width="18.109375" customWidth="1"/>
    <col min="58" max="58" width="25.5546875" customWidth="1"/>
    <col min="59" max="59" width="22.44140625" customWidth="1"/>
    <col min="60" max="60" width="19.6640625" style="18" customWidth="1"/>
    <col min="61" max="62" width="19.6640625" customWidth="1"/>
    <col min="63" max="63" width="14.6640625" customWidth="1"/>
  </cols>
  <sheetData>
    <row r="1" spans="1:63" s="27" customFormat="1" x14ac:dyDescent="0.3">
      <c r="A1" s="21" t="s">
        <v>17</v>
      </c>
      <c r="B1" s="21" t="s">
        <v>13</v>
      </c>
      <c r="C1" s="21" t="s">
        <v>4</v>
      </c>
      <c r="D1" s="21" t="s">
        <v>5</v>
      </c>
      <c r="E1" s="21" t="s">
        <v>30</v>
      </c>
      <c r="F1" s="22" t="s">
        <v>15</v>
      </c>
      <c r="G1" s="22" t="s">
        <v>7</v>
      </c>
      <c r="H1" s="22" t="s">
        <v>14</v>
      </c>
      <c r="I1" s="22" t="s">
        <v>138</v>
      </c>
      <c r="J1" s="22" t="s">
        <v>139</v>
      </c>
      <c r="K1" s="22" t="s">
        <v>105</v>
      </c>
      <c r="L1" s="22" t="s">
        <v>104</v>
      </c>
      <c r="M1" s="22" t="s">
        <v>106</v>
      </c>
      <c r="N1" s="22" t="s">
        <v>108</v>
      </c>
      <c r="O1" s="22" t="s">
        <v>109</v>
      </c>
      <c r="P1" s="22" t="s">
        <v>110</v>
      </c>
      <c r="Q1" s="22" t="s">
        <v>64</v>
      </c>
      <c r="R1" s="22" t="s">
        <v>56</v>
      </c>
      <c r="S1" s="22" t="s">
        <v>65</v>
      </c>
      <c r="T1" s="30" t="s">
        <v>57</v>
      </c>
      <c r="U1" s="23" t="s">
        <v>1229</v>
      </c>
      <c r="V1" s="23" t="s">
        <v>1230</v>
      </c>
      <c r="W1" s="28" t="s">
        <v>1231</v>
      </c>
      <c r="X1" s="20" t="s">
        <v>1232</v>
      </c>
      <c r="Y1" s="42" t="s">
        <v>1233</v>
      </c>
      <c r="Z1" s="23" t="s">
        <v>1234</v>
      </c>
      <c r="AA1" s="23" t="s">
        <v>616</v>
      </c>
      <c r="AB1" s="23" t="s">
        <v>617</v>
      </c>
      <c r="AC1" s="23" t="s">
        <v>618</v>
      </c>
      <c r="AD1" s="23" t="s">
        <v>610</v>
      </c>
      <c r="AE1" s="23" t="s">
        <v>624</v>
      </c>
      <c r="AF1" s="23" t="s">
        <v>611</v>
      </c>
      <c r="AG1" s="23" t="s">
        <v>612</v>
      </c>
      <c r="AH1" s="23" t="s">
        <v>715</v>
      </c>
      <c r="AI1" s="23" t="s">
        <v>1225</v>
      </c>
      <c r="AJ1" s="23" t="s">
        <v>623</v>
      </c>
      <c r="AK1" s="23" t="s">
        <v>848</v>
      </c>
      <c r="AL1" s="23" t="s">
        <v>702</v>
      </c>
      <c r="AM1" s="23" t="s">
        <v>703</v>
      </c>
      <c r="AN1" s="28" t="s">
        <v>850</v>
      </c>
      <c r="AO1" s="24" t="s">
        <v>75</v>
      </c>
      <c r="AP1" s="24" t="s">
        <v>76</v>
      </c>
      <c r="AQ1" s="24" t="s">
        <v>113</v>
      </c>
      <c r="AR1" s="29" t="s">
        <v>99</v>
      </c>
      <c r="AS1" s="25" t="s">
        <v>658</v>
      </c>
      <c r="AT1" s="25" t="s">
        <v>144</v>
      </c>
      <c r="AU1" s="25" t="s">
        <v>631</v>
      </c>
      <c r="AV1" s="25" t="s">
        <v>668</v>
      </c>
      <c r="AW1" s="25" t="s">
        <v>80</v>
      </c>
      <c r="AX1" s="25" t="s">
        <v>119</v>
      </c>
      <c r="AY1" s="25" t="s">
        <v>82</v>
      </c>
      <c r="AZ1" s="25" t="s">
        <v>120</v>
      </c>
      <c r="BA1" s="25" t="s">
        <v>91</v>
      </c>
      <c r="BB1" s="25" t="s">
        <v>125</v>
      </c>
      <c r="BC1" s="25" t="s">
        <v>588</v>
      </c>
      <c r="BD1" s="25" t="s">
        <v>589</v>
      </c>
      <c r="BE1" s="25" t="s">
        <v>586</v>
      </c>
      <c r="BF1" s="25" t="s">
        <v>599</v>
      </c>
      <c r="BG1" s="35" t="s">
        <v>587</v>
      </c>
      <c r="BH1" s="26" t="s">
        <v>263</v>
      </c>
      <c r="BI1" s="26" t="s">
        <v>264</v>
      </c>
      <c r="BJ1" s="26" t="s">
        <v>628</v>
      </c>
      <c r="BK1" s="26" t="s">
        <v>3</v>
      </c>
    </row>
    <row r="2" spans="1:63" x14ac:dyDescent="0.3">
      <c r="A2" t="s">
        <v>645</v>
      </c>
      <c r="B2" t="s">
        <v>644</v>
      </c>
      <c r="C2">
        <v>2015</v>
      </c>
      <c r="D2" t="s">
        <v>646</v>
      </c>
      <c r="E2" t="s">
        <v>647</v>
      </c>
      <c r="F2" s="18" t="s">
        <v>23</v>
      </c>
      <c r="G2" t="s">
        <v>11</v>
      </c>
      <c r="H2" t="s">
        <v>34</v>
      </c>
      <c r="I2" t="s">
        <v>12</v>
      </c>
      <c r="J2" t="s">
        <v>8</v>
      </c>
      <c r="K2" t="s">
        <v>9</v>
      </c>
      <c r="L2" t="s">
        <v>9</v>
      </c>
      <c r="M2" t="s">
        <v>9</v>
      </c>
      <c r="N2">
        <v>300</v>
      </c>
      <c r="O2">
        <f>AVERAGE(N2,P2)</f>
        <v>330</v>
      </c>
      <c r="P2">
        <v>360</v>
      </c>
      <c r="Q2">
        <v>1</v>
      </c>
      <c r="R2">
        <v>7</v>
      </c>
      <c r="S2">
        <v>2</v>
      </c>
      <c r="T2">
        <v>7</v>
      </c>
      <c r="U2" s="18" t="s">
        <v>71</v>
      </c>
      <c r="V2" t="s">
        <v>288</v>
      </c>
      <c r="W2" t="s">
        <v>68</v>
      </c>
      <c r="X2" t="s">
        <v>12</v>
      </c>
      <c r="Y2" t="s">
        <v>8</v>
      </c>
      <c r="Z2" t="s">
        <v>8</v>
      </c>
      <c r="AA2" t="s">
        <v>648</v>
      </c>
      <c r="AB2" t="s">
        <v>636</v>
      </c>
      <c r="AC2" t="s">
        <v>153</v>
      </c>
      <c r="AD2" t="s">
        <v>610</v>
      </c>
      <c r="AE2">
        <v>120</v>
      </c>
      <c r="AF2">
        <v>60</v>
      </c>
      <c r="AG2" t="s">
        <v>650</v>
      </c>
      <c r="AH2">
        <v>3</v>
      </c>
      <c r="AI2" cm="1">
        <f t="array" ref="AI2">_xlfn.IFS(AF2="NR", "NA", AG2="NR", "NA", AG2="NA","NA", AND(AG2="mg/ml", AH2&lt;&gt;"NR"), ((AF2/2492)*AH2*1000000), AND(AG2="mol/L", AH2&lt;&gt;"NR"), AF2*AH2*1000000, AG2="nmol", AF2*1000, AND(AG2="nmol/uL", AH2&lt;&gt;"NR"), AF2*AH2*1000, AG2="pg", AF2/2492, AG2="pmol", AF2, AND(AG2="pmol/uL", AH2&lt;&gt;"NR"), AF2*AH2, AG2="ug", AF2/2492*1000000, AND(AG2="ug/mL", AH2&lt;&gt;"NR"), (AF2/1000*AH2)/2492*1000000, AND(AG2="ug/uL", AH2&lt;&gt;"NR"), (AF2*AH2)/2492*1000000, AND(AG2="umol/L", AH2&lt;&gt;"NR"), AH2*AF2, TRUE, "NA")</f>
        <v>60</v>
      </c>
      <c r="AJ2">
        <v>10</v>
      </c>
      <c r="AK2">
        <v>1</v>
      </c>
      <c r="AL2" t="s">
        <v>9</v>
      </c>
      <c r="AM2" t="s">
        <v>8</v>
      </c>
      <c r="AN2" t="s">
        <v>9</v>
      </c>
      <c r="AO2" s="18" t="s">
        <v>304</v>
      </c>
      <c r="AP2" t="s">
        <v>1228</v>
      </c>
      <c r="AQ2">
        <v>168</v>
      </c>
      <c r="AR2" t="s">
        <v>103</v>
      </c>
      <c r="AS2" s="18">
        <v>672</v>
      </c>
      <c r="AT2" t="s">
        <v>271</v>
      </c>
      <c r="AU2" t="s">
        <v>654</v>
      </c>
      <c r="AV2" t="s">
        <v>674</v>
      </c>
      <c r="AW2">
        <v>59.45</v>
      </c>
      <c r="AX2">
        <v>15.34</v>
      </c>
      <c r="AY2">
        <v>66.91</v>
      </c>
      <c r="AZ2">
        <v>12.82</v>
      </c>
      <c r="BA2" t="s">
        <v>656</v>
      </c>
      <c r="BB2" t="s">
        <v>123</v>
      </c>
      <c r="BC2" cm="1">
        <f t="array" ref="BC2">_xlfn.IFS(BA2="Direct rLV % whole brain", AW2, BA2="Indirect rLV % whole brain", AW2, BA2="Direct rLV % hemisphere", AW2/2, BA2="Indirect rLV % hemisphere", AW2/2, AND(F2="Mouse", BA2="mm3"), (AW2/508.91)*100, AND(F2="Rat", BA2="mm3"), (AW2/1971)*100, AND(F2="Mouse", BA2="ul"), (AW2/508.91)*100, AND(F2="Rat", BA2="ul"), (AW2/1971)*100,  AND(F2="Mouse", BA2="nl"), (AW2/508910)*100, AND(F2="Rat", BA2="nl"), (AW2/1971000)*100, AND(F2="Mouse", BA2="cm3"), (AW2/0.50891)*100, AND(F2="Rat", BA2="cm3"), (AW2/1.971)*100, AND(F2="Mouse", BA2="mL"), (AW2/0.50891)*100, AND(F2="Rat", BA2="mL"), (AW2/1.971)*100, TRUE, "NA")</f>
        <v>3.0162354134956875</v>
      </c>
      <c r="BD2" cm="1">
        <f t="array" ref="BD2">_xlfn.IFS(AZ2="NA", "NA",BA2="Direct rLV % whole brain", AY2, BA2="Indirect rLV % whole brain", AY2, BA2="Direct rLV % hemisphere", AY2/2, BA2="Indirect rLV % hemisphere", AY2/2, AND(F2="Mouse", BA2="mm3"), (AY2/508.91)*100, AND(F2="Rat", BA2="mm3"), (AY2/1971)*100, AND(F2="Mouse", BA2="ul"), (AY2/508.91)*100, AND(F2="Rat", BA2="ul"), (AY2/1971)*100,  AND(F2="Mouse", BA2="nl"), (AY2/508910)*100, AND(F2="Rat", BA2="nl"), (AY2/1971000)*100, AND(F2="Mouse", BA2="cm3"), (AY2/0.50891)*100, AND(F2="Rat", BA2="cm3"), (AY2/1.971)*100, AND(F2="Mouse", BA2="mL"), (AY2/0.50891)*100, AND(F2="Rat", BA2="mL"), (AY2/1.971)*100, TRUE, "NA")</f>
        <v>3.394723490613901</v>
      </c>
      <c r="BE2" cm="1">
        <f t="array" ref="BE2">_xlfn.IFS(AX2="NA", "NA", BB2="NR", "NA", BB2="SD", AX2, BB2="SE", AX2*(SQRT(R2)), BB2="SEM", AX2*(SQRT(R2)), TRUE, "NA")</f>
        <v>40.58582511173082</v>
      </c>
      <c r="BF2" cm="1">
        <f t="array" ref="BF2">_xlfn.IFS(BE2="NA", "NA",BA2="Direct rLV % whole brain", BE2, BA2="Indirect rLV % whole brain", BE2, BA2="Direct rLV % hemisphere", BE2/2, BA2="Indirect rLV % hemisphere", BE2/2, AND(F2="Mouse", BA2="mm3"), (BE2/508.91)*100, AND(F2="Rat", BA2="mm3"), (BE2/1971)*100, AND(F2="Mouse", BA2="ul"), (BE2/508.91)*100, AND(F2="Rat", BA2="ul"), (BE2/1971)*100,  AND(F2="Mouse", BA2="nl"), (BE2/508910)*100, AND(F2="Rat", BA2="nl"), (BE2/1971000)*100, AND(F2="Mouse", BA2="cm3"), (BE2/0.50891)*100, AND(F2="Rat", BA2="cm3"), (BE2/1.971)*100, AND(F2="Mouse", BA2="mL"), (BE2/0.50891)*100, AND(F2="Rat", BA2="mL"), (BE2/1.971)*100, TRUE, "NA")</f>
        <v>2.0591489148518933</v>
      </c>
      <c r="BG2" cm="1">
        <f t="array" ref="BG2">_xlfn.IFS(AZ2="NA", "NA", BB2="NR", "NA", BB2="SD", AZ2, BB2="SE", AZ2*(SQRT(R2)), BB2="SEM", AZ2*(SQRT(R2)), TRUE, "NA")</f>
        <v>33.918531807848055</v>
      </c>
      <c r="BH2" s="18" t="s">
        <v>154</v>
      </c>
      <c r="BI2" t="s">
        <v>153</v>
      </c>
      <c r="BJ2" t="s">
        <v>153</v>
      </c>
      <c r="BK2" t="s">
        <v>657</v>
      </c>
    </row>
    <row r="3" spans="1:63" s="31" customFormat="1" x14ac:dyDescent="0.3">
      <c r="A3" s="31" t="s">
        <v>660</v>
      </c>
      <c r="B3" s="31" t="s">
        <v>659</v>
      </c>
      <c r="C3" s="31">
        <v>2005</v>
      </c>
      <c r="D3" s="31" t="s">
        <v>661</v>
      </c>
      <c r="E3" s="31" t="s">
        <v>647</v>
      </c>
      <c r="F3" s="32" t="s">
        <v>23</v>
      </c>
      <c r="G3" s="31" t="s">
        <v>47</v>
      </c>
      <c r="H3" s="31" t="s">
        <v>34</v>
      </c>
      <c r="I3" s="31" t="s">
        <v>12</v>
      </c>
      <c r="J3" s="31" t="s">
        <v>8</v>
      </c>
      <c r="K3" s="31" t="s">
        <v>9</v>
      </c>
      <c r="L3" s="31" t="s">
        <v>9</v>
      </c>
      <c r="M3" s="31" t="s">
        <v>9</v>
      </c>
      <c r="N3" s="31" t="s">
        <v>9</v>
      </c>
      <c r="O3" s="31" t="s">
        <v>9</v>
      </c>
      <c r="P3" s="31" t="s">
        <v>9</v>
      </c>
      <c r="Q3" s="31">
        <v>1</v>
      </c>
      <c r="R3" s="31">
        <v>8</v>
      </c>
      <c r="S3" s="31">
        <v>1</v>
      </c>
      <c r="T3" s="31">
        <v>10</v>
      </c>
      <c r="U3" s="32" t="s">
        <v>71</v>
      </c>
      <c r="V3" s="31" t="s">
        <v>288</v>
      </c>
      <c r="W3" s="31" t="s">
        <v>8</v>
      </c>
      <c r="X3" s="31" t="s">
        <v>71</v>
      </c>
      <c r="Y3" s="31" t="s">
        <v>288</v>
      </c>
      <c r="Z3" s="31" t="s">
        <v>8</v>
      </c>
      <c r="AA3" s="31" t="s">
        <v>639</v>
      </c>
      <c r="AB3" s="31" t="s">
        <v>636</v>
      </c>
      <c r="AC3" s="31" t="s">
        <v>154</v>
      </c>
      <c r="AD3" s="31" t="s">
        <v>634</v>
      </c>
      <c r="AE3" s="31">
        <v>0</v>
      </c>
      <c r="AF3" s="31">
        <v>240</v>
      </c>
      <c r="AG3" s="31" t="s">
        <v>650</v>
      </c>
      <c r="AH3" s="31">
        <v>3</v>
      </c>
      <c r="AI3" cm="1">
        <f t="array" ref="AI3">_xlfn.IFS(AF3="NR", "NA", AG3="NR", "NA", AG3="NA","NA", AND(AG3="mg/ml", AH3&lt;&gt;"NR"), ((AF3/2492)*AH3*1000000), AND(AG3="mol/L", AH3&lt;&gt;"NR"), AF3*AH3*1000000, AG3="nmol", AF3*1000, AND(AG3="nmol/uL", AH3&lt;&gt;"NR"), AF3*AH3*1000, AG3="pg", AF3/2492, AG3="pmol", AF3, AND(AG3="pmol/uL", AH3&lt;&gt;"NR"), AF3*AH3, AG3="ug", AF3/2492*1000000, AND(AG3="ug/mL", AH3&lt;&gt;"NR"), (AF3/1000*AH3)/2492*1000000, AND(AG3="ug/uL", AH3&lt;&gt;"NR"), (AF3*AH3)/2492*1000000, AND(AG3="umol/L", AH3&lt;&gt;"NR"), AH3*AF3, TRUE, "NA")</f>
        <v>240</v>
      </c>
      <c r="AJ3" s="31">
        <v>9</v>
      </c>
      <c r="AK3" s="31">
        <v>1</v>
      </c>
      <c r="AL3" s="31" t="s">
        <v>9</v>
      </c>
      <c r="AM3" s="31" t="s">
        <v>8</v>
      </c>
      <c r="AN3" s="31" t="s">
        <v>9</v>
      </c>
      <c r="AO3" s="32" t="s">
        <v>186</v>
      </c>
      <c r="AP3" t="s">
        <v>1228</v>
      </c>
      <c r="AQ3" s="31">
        <v>48</v>
      </c>
      <c r="AR3" s="31" t="s">
        <v>103</v>
      </c>
      <c r="AS3" s="32">
        <v>2184</v>
      </c>
      <c r="AT3" s="31" t="s">
        <v>271</v>
      </c>
      <c r="AU3" s="31" t="s">
        <v>663</v>
      </c>
      <c r="AV3" s="31" t="s">
        <v>674</v>
      </c>
      <c r="AW3" s="31">
        <v>75.06</v>
      </c>
      <c r="AX3" s="31">
        <v>3.93</v>
      </c>
      <c r="AY3" s="31">
        <v>73.84</v>
      </c>
      <c r="AZ3" s="31">
        <v>2.39</v>
      </c>
      <c r="BA3" s="31" t="s">
        <v>656</v>
      </c>
      <c r="BB3" s="31" t="s">
        <v>123</v>
      </c>
      <c r="BC3" cm="1">
        <f t="array" ref="BC3">_xlfn.IFS(BA3="Direct rLV % whole brain", AW3, BA3="Indirect rLV % whole brain", AW3, BA3="Direct rLV % hemisphere", AW3/2, BA3="Indirect rLV % hemisphere", AW3/2, AND(F3="Mouse", BA3="mm3"), (AW3/508.91)*100, AND(F3="Rat", BA3="mm3"), (AW3/1971)*100, AND(F3="Mouse", BA3="ul"), (AW3/508.91)*100, AND(F3="Rat", BA3="ul"), (AW3/1971)*100,  AND(F3="Mouse", BA3="nl"), (AW3/508910)*100, AND(F3="Rat", BA3="nl"), (AW3/1971000)*100, AND(F3="Mouse", BA3="cm3"), (AW3/0.50891)*100, AND(F3="Rat", BA3="cm3"), (AW3/1.971)*100, AND(F3="Mouse", BA3="mL"), (AW3/0.50891)*100, AND(F3="Rat", BA3="mL"), (AW3/1.971)*100, TRUE, "NA")</f>
        <v>3.8082191780821923</v>
      </c>
      <c r="BD3" cm="1">
        <f t="array" ref="BD3">_xlfn.IFS(AZ3="NA", "NA",BA3="Direct rLV % whole brain", AY3, BA3="Indirect rLV % whole brain", AY3, BA3="Direct rLV % hemisphere", AY3/2, BA3="Indirect rLV % hemisphere", AY3/2, AND(F3="Mouse", BA3="mm3"), (AY3/508.91)*100, AND(F3="Rat", BA3="mm3"), (AY3/1971)*100, AND(F3="Mouse", BA3="ul"), (AY3/508.91)*100, AND(F3="Rat", BA3="ul"), (AY3/1971)*100,  AND(F3="Mouse", BA3="nl"), (AY3/508910)*100, AND(F3="Rat", BA3="nl"), (AY3/1971000)*100, AND(F3="Mouse", BA3="cm3"), (AY3/0.50891)*100, AND(F3="Rat", BA3="cm3"), (AY3/1.971)*100, AND(F3="Mouse", BA3="mL"), (AY3/0.50891)*100, AND(F3="Rat", BA3="mL"), (AY3/1.971)*100, TRUE, "NA")</f>
        <v>3.7463216641298835</v>
      </c>
      <c r="BE3" cm="1">
        <f t="array" ref="BE3">_xlfn.IFS(AX3="NA", "NA", BB3="NR", "NA", BB3="SD", AX3, BB3="SE", AX3*(SQRT(R3)), BB3="SEM", AX3*(SQRT(R3)), TRUE, "NA")</f>
        <v>11.115718600252528</v>
      </c>
      <c r="BF3" cm="1">
        <f t="array" ref="BF3">_xlfn.IFS(BE3="NA", "NA",BA3="Direct rLV % whole brain", BE3, BA3="Indirect rLV % whole brain", BE3, BA3="Direct rLV % hemisphere", BE3/2, BA3="Indirect rLV % hemisphere", BE3/2, AND(F3="Mouse", BA3="mm3"), (BE3/508.91)*100, AND(F3="Rat", BA3="mm3"), (BE3/1971)*100, AND(F3="Mouse", BA3="ul"), (BE3/508.91)*100, AND(F3="Rat", BA3="ul"), (BE3/1971)*100,  AND(F3="Mouse", BA3="nl"), (BE3/508910)*100, AND(F3="Rat", BA3="nl"), (BE3/1971000)*100, AND(F3="Mouse", BA3="cm3"), (BE3/0.50891)*100, AND(F3="Rat", BA3="cm3"), (BE3/1.971)*100, AND(F3="Mouse", BA3="mL"), (BE3/0.50891)*100, AND(F3="Rat", BA3="mL"), (BE3/1.971)*100, TRUE, "NA")</f>
        <v>0.56396339930251282</v>
      </c>
      <c r="BG3" cm="1">
        <f t="array" ref="BG3">_xlfn.IFS(AZ3="NA", "NA", BB3="NR", "NA", BB3="SD", AZ3, BB3="SE", AZ3*(SQRT(R3)), BB3="SEM", AZ3*(SQRT(R3)), TRUE, "NA")</f>
        <v>6.759940828143395</v>
      </c>
      <c r="BH3" s="32" t="s">
        <v>154</v>
      </c>
      <c r="BI3" s="31" t="s">
        <v>154</v>
      </c>
      <c r="BJ3" s="31" t="s">
        <v>154</v>
      </c>
      <c r="BK3" s="31" t="s">
        <v>662</v>
      </c>
    </row>
    <row r="4" spans="1:63" x14ac:dyDescent="0.3">
      <c r="A4" t="s">
        <v>666</v>
      </c>
      <c r="B4" t="s">
        <v>664</v>
      </c>
      <c r="C4">
        <v>2018</v>
      </c>
      <c r="D4" t="s">
        <v>667</v>
      </c>
      <c r="E4" t="s">
        <v>647</v>
      </c>
      <c r="F4" s="18" t="s">
        <v>23</v>
      </c>
      <c r="G4" t="s">
        <v>11</v>
      </c>
      <c r="H4" t="s">
        <v>34</v>
      </c>
      <c r="I4" t="s">
        <v>12</v>
      </c>
      <c r="J4" t="s">
        <v>8</v>
      </c>
      <c r="K4" t="s">
        <v>9</v>
      </c>
      <c r="L4" t="s">
        <v>9</v>
      </c>
      <c r="M4" t="s">
        <v>9</v>
      </c>
      <c r="N4">
        <v>250</v>
      </c>
      <c r="O4">
        <f>AVERAGE(N4,P4)</f>
        <v>280</v>
      </c>
      <c r="P4">
        <v>310</v>
      </c>
      <c r="Q4">
        <v>1</v>
      </c>
      <c r="R4">
        <v>6</v>
      </c>
      <c r="S4">
        <v>3</v>
      </c>
      <c r="T4">
        <v>6</v>
      </c>
      <c r="U4" s="18" t="s">
        <v>68</v>
      </c>
      <c r="V4" t="s">
        <v>8</v>
      </c>
      <c r="W4" t="s">
        <v>8</v>
      </c>
      <c r="X4" t="s">
        <v>68</v>
      </c>
      <c r="Y4" t="s">
        <v>8</v>
      </c>
      <c r="Z4" t="s">
        <v>8</v>
      </c>
      <c r="AA4" t="s">
        <v>640</v>
      </c>
      <c r="AB4" t="s">
        <v>637</v>
      </c>
      <c r="AC4" t="s">
        <v>154</v>
      </c>
      <c r="AD4" t="s">
        <v>634</v>
      </c>
      <c r="AE4">
        <v>0</v>
      </c>
      <c r="AF4">
        <v>60</v>
      </c>
      <c r="AG4" t="s">
        <v>650</v>
      </c>
      <c r="AH4">
        <v>3</v>
      </c>
      <c r="AI4" cm="1">
        <f t="array" ref="AI4">_xlfn.IFS(AF4="NR", "NA", AG4="NR", "NA", AG4="NA","NA", AND(AG4="mg/ml", AH4&lt;&gt;"NR"), ((AF4/2492)*AH4*1000000), AND(AG4="mol/L", AH4&lt;&gt;"NR"), AF4*AH4*1000000, AG4="nmol", AF4*1000, AND(AG4="nmol/uL", AH4&lt;&gt;"NR"), AF4*AH4*1000, AG4="pg", AF4/2492, AG4="pmol", AF4, AND(AG4="pmol/uL", AH4&lt;&gt;"NR"), AF4*AH4, AG4="ug", AF4/2492*1000000, AND(AG4="ug/mL", AH4&lt;&gt;"NR"), (AF4/1000*AH4)/2492*1000000, AND(AG4="ug/uL", AH4&lt;&gt;"NR"), (AF4*AH4)/2492*1000000, AND(AG4="umol/L", AH4&lt;&gt;"NR"), AH4*AF4, TRUE, "NA")</f>
        <v>60</v>
      </c>
      <c r="AJ4" t="s">
        <v>9</v>
      </c>
      <c r="AK4">
        <v>1</v>
      </c>
      <c r="AL4" t="s">
        <v>665</v>
      </c>
      <c r="AM4" t="s">
        <v>8</v>
      </c>
      <c r="AN4" t="s">
        <v>852</v>
      </c>
      <c r="AO4" s="18" t="s">
        <v>673</v>
      </c>
      <c r="AP4" t="s">
        <v>1228</v>
      </c>
      <c r="AQ4">
        <v>0</v>
      </c>
      <c r="AR4" t="s">
        <v>102</v>
      </c>
      <c r="AS4" s="18">
        <v>24</v>
      </c>
      <c r="AT4" t="s">
        <v>269</v>
      </c>
      <c r="AU4" t="s">
        <v>8</v>
      </c>
      <c r="AV4">
        <v>7.0000000000000007E-2</v>
      </c>
      <c r="AW4">
        <v>27.72</v>
      </c>
      <c r="AX4">
        <v>2.44</v>
      </c>
      <c r="AY4">
        <v>21.22</v>
      </c>
      <c r="AZ4">
        <v>2.0299999999999998</v>
      </c>
      <c r="BA4" t="s">
        <v>656</v>
      </c>
      <c r="BB4" t="s">
        <v>123</v>
      </c>
      <c r="BC4" cm="1">
        <f t="array" ref="BC4">_xlfn.IFS(BA4="Direct rLV % whole brain", AW4, BA4="Indirect rLV % whole brain", AW4, BA4="Direct rLV % hemisphere", AW4/2, BA4="Indirect rLV % hemisphere", AW4/2, AND(F4="Mouse", BA4="mm3"), (AW4/508.91)*100, AND(F4="Rat", BA4="mm3"), (AW4/1971)*100, AND(F4="Mouse", BA4="ul"), (AW4/508.91)*100, AND(F4="Rat", BA4="ul"), (AW4/1971)*100,  AND(F4="Mouse", BA4="nl"), (AW4/508910)*100, AND(F4="Rat", BA4="nl"), (AW4/1971000)*100, AND(F4="Mouse", BA4="cm3"), (AW4/0.50891)*100, AND(F4="Rat", BA4="cm3"), (AW4/1.971)*100, AND(F4="Mouse", BA4="mL"), (AW4/0.50891)*100, AND(F4="Rat", BA4="mL"), (AW4/1.971)*100, TRUE, "NA")</f>
        <v>1.4063926940639269</v>
      </c>
      <c r="BD4" cm="1">
        <f t="array" ref="BD4">_xlfn.IFS(AZ4="NA", "NA",BA4="Direct rLV % whole brain", AY4, BA4="Indirect rLV % whole brain", AY4, BA4="Direct rLV % hemisphere", AY4/2, BA4="Indirect rLV % hemisphere", AY4/2, AND(F4="Mouse", BA4="mm3"), (AY4/508.91)*100, AND(F4="Rat", BA4="mm3"), (AY4/1971)*100, AND(F4="Mouse", BA4="ul"), (AY4/508.91)*100, AND(F4="Rat", BA4="ul"), (AY4/1971)*100,  AND(F4="Mouse", BA4="nl"), (AY4/508910)*100, AND(F4="Rat", BA4="nl"), (AY4/1971000)*100, AND(F4="Mouse", BA4="cm3"), (AY4/0.50891)*100, AND(F4="Rat", BA4="cm3"), (AY4/1.971)*100, AND(F4="Mouse", BA4="mL"), (AY4/0.50891)*100, AND(F4="Rat", BA4="mL"), (AY4/1.971)*100, TRUE, "NA")</f>
        <v>1.0766108574327753</v>
      </c>
      <c r="BE4" cm="1">
        <f t="array" ref="BE4">_xlfn.IFS(AX4="NA", "NA", BB4="NR", "NA", BB4="SD", AX4, BB4="SE", AX4*(SQRT(R4)), BB4="SEM", AX4*(SQRT(R4)), TRUE, "NA")</f>
        <v>5.9767549723909541</v>
      </c>
      <c r="BF4" cm="1">
        <f t="array" ref="BF4">_xlfn.IFS(BE4="NA", "NA",BA4="Direct rLV % whole brain", BE4, BA4="Indirect rLV % whole brain", BE4, BA4="Direct rLV % hemisphere", BE4/2, BA4="Indirect rLV % hemisphere", BE4/2, AND(F4="Mouse", BA4="mm3"), (BE4/508.91)*100, AND(F4="Rat", BA4="mm3"), (BE4/1971)*100, AND(F4="Mouse", BA4="ul"), (BE4/508.91)*100, AND(F4="Rat", BA4="ul"), (BE4/1971)*100,  AND(F4="Mouse", BA4="nl"), (BE4/508910)*100, AND(F4="Rat", BA4="nl"), (BE4/1971000)*100, AND(F4="Mouse", BA4="cm3"), (BE4/0.50891)*100, AND(F4="Rat", BA4="cm3"), (BE4/1.971)*100, AND(F4="Mouse", BA4="mL"), (BE4/0.50891)*100, AND(F4="Rat", BA4="mL"), (BE4/1.971)*100, TRUE, "NA")</f>
        <v>0.30323465105991648</v>
      </c>
      <c r="BG4" cm="1">
        <f t="array" ref="BG4">_xlfn.IFS(AZ4="NA", "NA", BB4="NR", "NA", BB4="SD", AZ4, BB4="SE", AZ4*(SQRT(R4)), BB4="SEM", AZ4*(SQRT(R4)), TRUE, "NA")</f>
        <v>4.9724641778498508</v>
      </c>
      <c r="BH4" s="18" t="s">
        <v>153</v>
      </c>
      <c r="BI4" t="s">
        <v>154</v>
      </c>
      <c r="BJ4" t="s">
        <v>154</v>
      </c>
      <c r="BK4" t="s">
        <v>671</v>
      </c>
    </row>
    <row r="5" spans="1:63" s="31" customFormat="1" x14ac:dyDescent="0.3">
      <c r="A5" s="31" t="s">
        <v>676</v>
      </c>
      <c r="B5" s="31" t="s">
        <v>675</v>
      </c>
      <c r="C5" s="31">
        <v>2007</v>
      </c>
      <c r="D5" s="31" t="s">
        <v>677</v>
      </c>
      <c r="E5" s="31" t="s">
        <v>647</v>
      </c>
      <c r="F5" s="32" t="s">
        <v>23</v>
      </c>
      <c r="G5" s="31" t="s">
        <v>10</v>
      </c>
      <c r="H5" s="31" t="s">
        <v>34</v>
      </c>
      <c r="I5" s="31" t="s">
        <v>12</v>
      </c>
      <c r="J5" s="31" t="s">
        <v>8</v>
      </c>
      <c r="K5" s="31" t="s">
        <v>9</v>
      </c>
      <c r="L5" s="31" t="s">
        <v>9</v>
      </c>
      <c r="M5" s="31" t="s">
        <v>9</v>
      </c>
      <c r="N5" s="31">
        <v>250</v>
      </c>
      <c r="O5" s="31">
        <f>AVERAGE(N5,P5)</f>
        <v>265</v>
      </c>
      <c r="P5" s="31">
        <v>280</v>
      </c>
      <c r="Q5" s="31">
        <v>2</v>
      </c>
      <c r="R5" s="31">
        <v>17</v>
      </c>
      <c r="S5" s="31" t="s">
        <v>8</v>
      </c>
      <c r="T5" s="31" t="s">
        <v>8</v>
      </c>
      <c r="U5" s="32" t="s">
        <v>111</v>
      </c>
      <c r="V5" s="31" t="s">
        <v>8</v>
      </c>
      <c r="W5" s="31" t="s">
        <v>8</v>
      </c>
      <c r="X5" s="31" t="s">
        <v>12</v>
      </c>
      <c r="Y5" s="31" t="s">
        <v>8</v>
      </c>
      <c r="Z5" s="31" t="s">
        <v>8</v>
      </c>
      <c r="AA5" s="31" t="s">
        <v>648</v>
      </c>
      <c r="AB5" s="31" t="s">
        <v>636</v>
      </c>
      <c r="AC5" s="31" t="s">
        <v>153</v>
      </c>
      <c r="AD5" s="31" t="s">
        <v>610</v>
      </c>
      <c r="AE5" s="31">
        <v>336</v>
      </c>
      <c r="AF5" s="31">
        <v>376</v>
      </c>
      <c r="AG5" s="31" t="s">
        <v>650</v>
      </c>
      <c r="AH5" s="31">
        <v>3</v>
      </c>
      <c r="AI5" cm="1">
        <f t="array" ref="AI5">_xlfn.IFS(AF5="NR", "NA", AG5="NR", "NA", AG5="NA","NA", AND(AG5="mg/ml", AH5&lt;&gt;"NR"), ((AF5/2492)*AH5*1000000), AND(AG5="mol/L", AH5&lt;&gt;"NR"), AF5*AH5*1000000, AG5="nmol", AF5*1000, AND(AG5="nmol/uL", AH5&lt;&gt;"NR"), AF5*AH5*1000, AG5="pg", AF5/2492, AG5="pmol", AF5, AND(AG5="pmol/uL", AH5&lt;&gt;"NR"), AF5*AH5, AG5="ug", AF5/2492*1000000, AND(AG5="ug/mL", AH5&lt;&gt;"NR"), (AF5/1000*AH5)/2492*1000000, AND(AG5="ug/uL", AH5&lt;&gt;"NR"), (AF5*AH5)/2492*1000000, AND(AG5="umol/L", AH5&lt;&gt;"NR"), AH5*AF5, TRUE, "NA")</f>
        <v>376</v>
      </c>
      <c r="AJ5" s="31">
        <v>5</v>
      </c>
      <c r="AK5" s="31">
        <v>1</v>
      </c>
      <c r="AL5" s="31" t="s">
        <v>9</v>
      </c>
      <c r="AM5" s="31" t="s">
        <v>8</v>
      </c>
      <c r="AN5" s="31" t="s">
        <v>9</v>
      </c>
      <c r="AO5" s="32" t="s">
        <v>12</v>
      </c>
      <c r="AP5" s="31" t="s">
        <v>8</v>
      </c>
      <c r="AQ5" s="31" t="s">
        <v>8</v>
      </c>
      <c r="AR5" s="31" t="s">
        <v>8</v>
      </c>
      <c r="AS5" s="32">
        <v>168</v>
      </c>
      <c r="AT5" s="31" t="s">
        <v>271</v>
      </c>
      <c r="AU5" s="31" t="s">
        <v>663</v>
      </c>
      <c r="AV5" s="31" t="s">
        <v>679</v>
      </c>
      <c r="AW5" s="31">
        <v>21.1</v>
      </c>
      <c r="AX5" s="31">
        <v>1.9</v>
      </c>
      <c r="AY5" s="31" t="s">
        <v>8</v>
      </c>
      <c r="AZ5" s="31" t="s">
        <v>8</v>
      </c>
      <c r="BA5" s="31" t="s">
        <v>656</v>
      </c>
      <c r="BB5" s="31" t="s">
        <v>9</v>
      </c>
      <c r="BC5" cm="1">
        <f t="array" ref="BC5">_xlfn.IFS(BA5="Direct rLV % whole brain", AW5, BA5="Indirect rLV % whole brain", AW5, BA5="Direct rLV % hemisphere", AW5/2, BA5="Indirect rLV % hemisphere", AW5/2, AND(F5="Mouse", BA5="mm3"), (AW5/508.91)*100, AND(F5="Rat", BA5="mm3"), (AW5/1971)*100, AND(F5="Mouse", BA5="ul"), (AW5/508.91)*100, AND(F5="Rat", BA5="ul"), (AW5/1971)*100,  AND(F5="Mouse", BA5="nl"), (AW5/508910)*100, AND(F5="Rat", BA5="nl"), (AW5/1971000)*100, AND(F5="Mouse", BA5="cm3"), (AW5/0.50891)*100, AND(F5="Rat", BA5="cm3"), (AW5/1.971)*100, AND(F5="Mouse", BA5="mL"), (AW5/0.50891)*100, AND(F5="Rat", BA5="mL"), (AW5/1.971)*100, TRUE, "NA")</f>
        <v>1.0705225773718925</v>
      </c>
      <c r="BD5" t="str" cm="1">
        <f t="array" ref="BD5">_xlfn.IFS(AZ5="NA", "NA",BA5="Direct rLV % whole brain", AY5, BA5="Indirect rLV % whole brain", AY5, BA5="Direct rLV % hemisphere", AY5/2, BA5="Indirect rLV % hemisphere", AY5/2, AND(F5="Mouse", BA5="mm3"), (AY5/508.91)*100, AND(F5="Rat", BA5="mm3"), (AY5/1971)*100, AND(F5="Mouse", BA5="ul"), (AY5/508.91)*100, AND(F5="Rat", BA5="ul"), (AY5/1971)*100,  AND(F5="Mouse", BA5="nl"), (AY5/508910)*100, AND(F5="Rat", BA5="nl"), (AY5/1971000)*100, AND(F5="Mouse", BA5="cm3"), (AY5/0.50891)*100, AND(F5="Rat", BA5="cm3"), (AY5/1.971)*100, AND(F5="Mouse", BA5="mL"), (AY5/0.50891)*100, AND(F5="Rat", BA5="mL"), (AY5/1.971)*100, TRUE, "NA")</f>
        <v>NA</v>
      </c>
      <c r="BE5" t="str" cm="1">
        <f t="array" ref="BE5">_xlfn.IFS(AX5="NA", "NA", BB5="NR", "NA", BB5="SD", AX5, BB5="SE", AX5*(SQRT(R5)), BB5="SEM", AX5*(SQRT(R5)), TRUE, "NA")</f>
        <v>NA</v>
      </c>
      <c r="BF5" t="str" cm="1">
        <f t="array" ref="BF5">_xlfn.IFS(BE5="NA", "NA",BA5="Direct rLV % whole brain", BE5, BA5="Indirect rLV % whole brain", BE5, BA5="Direct rLV % hemisphere", BE5/2, BA5="Indirect rLV % hemisphere", BE5/2, AND(F5="Mouse", BA5="mm3"), (BE5/508.91)*100, AND(F5="Rat", BA5="mm3"), (BE5/1971)*100, AND(F5="Mouse", BA5="ul"), (BE5/508.91)*100, AND(F5="Rat", BA5="ul"), (BE5/1971)*100,  AND(F5="Mouse", BA5="nl"), (BE5/508910)*100, AND(F5="Rat", BA5="nl"), (BE5/1971000)*100, AND(F5="Mouse", BA5="cm3"), (BE5/0.50891)*100, AND(F5="Rat", BA5="cm3"), (BE5/1.971)*100, AND(F5="Mouse", BA5="mL"), (BE5/0.50891)*100, AND(F5="Rat", BA5="mL"), (BE5/1.971)*100, TRUE, "NA")</f>
        <v>NA</v>
      </c>
      <c r="BG5" t="str" cm="1">
        <f t="array" ref="BG5">_xlfn.IFS(AZ5="NA", "NA", BB5="NR", "NA", BB5="SD", AZ5, BB5="SE", AZ5*(SQRT(R5)), BB5="SEM", AZ5*(SQRT(R5)), TRUE, "NA")</f>
        <v>NA</v>
      </c>
      <c r="BH5" s="32" t="s">
        <v>153</v>
      </c>
      <c r="BI5" s="31" t="s">
        <v>154</v>
      </c>
      <c r="BJ5" s="31" t="s">
        <v>154</v>
      </c>
    </row>
    <row r="6" spans="1:63" s="31" customFormat="1" x14ac:dyDescent="0.3">
      <c r="A6" s="31" t="s">
        <v>676</v>
      </c>
      <c r="B6" s="31" t="s">
        <v>675</v>
      </c>
      <c r="C6" s="31">
        <v>2007</v>
      </c>
      <c r="D6" s="31" t="s">
        <v>677</v>
      </c>
      <c r="E6" s="31" t="s">
        <v>678</v>
      </c>
      <c r="F6" s="32" t="s">
        <v>23</v>
      </c>
      <c r="G6" s="31" t="s">
        <v>10</v>
      </c>
      <c r="H6" s="31" t="s">
        <v>34</v>
      </c>
      <c r="I6" s="31" t="s">
        <v>12</v>
      </c>
      <c r="J6" s="31" t="s">
        <v>8</v>
      </c>
      <c r="K6" s="31" t="s">
        <v>9</v>
      </c>
      <c r="L6" s="31" t="s">
        <v>9</v>
      </c>
      <c r="M6" s="31" t="s">
        <v>9</v>
      </c>
      <c r="N6" s="31">
        <v>250</v>
      </c>
      <c r="O6" s="31">
        <f t="shared" ref="O6:O10" si="0">AVERAGE(N6,P6)</f>
        <v>265</v>
      </c>
      <c r="P6" s="31">
        <v>280</v>
      </c>
      <c r="Q6" s="31">
        <v>2</v>
      </c>
      <c r="R6" s="31">
        <v>16</v>
      </c>
      <c r="S6" s="31" t="s">
        <v>8</v>
      </c>
      <c r="T6" s="31" t="s">
        <v>8</v>
      </c>
      <c r="U6" s="32" t="s">
        <v>111</v>
      </c>
      <c r="V6" s="31" t="s">
        <v>8</v>
      </c>
      <c r="W6" s="31" t="s">
        <v>8</v>
      </c>
      <c r="X6" s="31" t="s">
        <v>66</v>
      </c>
      <c r="Y6" s="31" t="s">
        <v>96</v>
      </c>
      <c r="Z6" s="31" t="s">
        <v>8</v>
      </c>
      <c r="AA6" s="31" t="s">
        <v>648</v>
      </c>
      <c r="AB6" s="31" t="s">
        <v>636</v>
      </c>
      <c r="AC6" s="31" t="s">
        <v>153</v>
      </c>
      <c r="AD6" s="31" t="s">
        <v>634</v>
      </c>
      <c r="AE6" s="31">
        <v>336</v>
      </c>
      <c r="AF6" s="31">
        <v>376</v>
      </c>
      <c r="AG6" s="31" t="s">
        <v>650</v>
      </c>
      <c r="AH6" s="31">
        <v>3</v>
      </c>
      <c r="AI6" cm="1">
        <f t="array" ref="AI6">_xlfn.IFS(AF6="NR", "NA", AG6="NR", "NA", AG6="NA","NA", AND(AG6="mg/ml", AH6&lt;&gt;"NR"), ((AF6/2492)*AH6*1000000), AND(AG6="mol/L", AH6&lt;&gt;"NR"), AF6*AH6*1000000, AG6="nmol", AF6*1000, AND(AG6="nmol/uL", AH6&lt;&gt;"NR"), AF6*AH6*1000, AG6="pg", AF6/2492, AG6="pmol", AF6, AND(AG6="pmol/uL", AH6&lt;&gt;"NR"), AF6*AH6, AG6="ug", AF6/2492*1000000, AND(AG6="ug/mL", AH6&lt;&gt;"NR"), (AF6/1000*AH6)/2492*1000000, AND(AG6="ug/uL", AH6&lt;&gt;"NR"), (AF6*AH6)/2492*1000000, AND(AG6="umol/L", AH6&lt;&gt;"NR"), AH6*AF6, TRUE, "NA")</f>
        <v>376</v>
      </c>
      <c r="AJ6" s="31">
        <v>5</v>
      </c>
      <c r="AK6" s="31">
        <v>1</v>
      </c>
      <c r="AL6" s="31" t="s">
        <v>9</v>
      </c>
      <c r="AM6" s="31" t="s">
        <v>8</v>
      </c>
      <c r="AN6" s="31" t="s">
        <v>9</v>
      </c>
      <c r="AO6" s="32" t="s">
        <v>12</v>
      </c>
      <c r="AP6" s="31" t="s">
        <v>8</v>
      </c>
      <c r="AQ6" s="31" t="s">
        <v>8</v>
      </c>
      <c r="AR6" s="31" t="s">
        <v>8</v>
      </c>
      <c r="AS6" s="32">
        <v>168</v>
      </c>
      <c r="AT6" s="31" t="s">
        <v>271</v>
      </c>
      <c r="AU6" s="31" t="s">
        <v>663</v>
      </c>
      <c r="AV6" s="31" t="s">
        <v>679</v>
      </c>
      <c r="AW6" s="31">
        <v>45.8</v>
      </c>
      <c r="AX6" s="31">
        <v>6.6</v>
      </c>
      <c r="AY6" s="31" t="s">
        <v>8</v>
      </c>
      <c r="AZ6" s="31" t="s">
        <v>8</v>
      </c>
      <c r="BA6" s="31" t="s">
        <v>656</v>
      </c>
      <c r="BB6" s="31" t="s">
        <v>9</v>
      </c>
      <c r="BC6" cm="1">
        <f t="array" ref="BC6">_xlfn.IFS(BA6="Direct rLV % whole brain", AW6, BA6="Indirect rLV % whole brain", AW6, BA6="Direct rLV % hemisphere", AW6/2, BA6="Indirect rLV % hemisphere", AW6/2, AND(F6="Mouse", BA6="mm3"), (AW6/508.91)*100, AND(F6="Rat", BA6="mm3"), (AW6/1971)*100, AND(F6="Mouse", BA6="ul"), (AW6/508.91)*100, AND(F6="Rat", BA6="ul"), (AW6/1971)*100,  AND(F6="Mouse", BA6="nl"), (AW6/508910)*100, AND(F6="Rat", BA6="nl"), (AW6/1971000)*100, AND(F6="Mouse", BA6="cm3"), (AW6/0.50891)*100, AND(F6="Rat", BA6="cm3"), (AW6/1.971)*100, AND(F6="Mouse", BA6="mL"), (AW6/0.50891)*100, AND(F6="Rat", BA6="mL"), (AW6/1.971)*100, TRUE, "NA")</f>
        <v>2.3236935565702685</v>
      </c>
      <c r="BD6" t="str" cm="1">
        <f t="array" ref="BD6">_xlfn.IFS(AZ6="NA", "NA",BA6="Direct rLV % whole brain", AY6, BA6="Indirect rLV % whole brain", AY6, BA6="Direct rLV % hemisphere", AY6/2, BA6="Indirect rLV % hemisphere", AY6/2, AND(F6="Mouse", BA6="mm3"), (AY6/508.91)*100, AND(F6="Rat", BA6="mm3"), (AY6/1971)*100, AND(F6="Mouse", BA6="ul"), (AY6/508.91)*100, AND(F6="Rat", BA6="ul"), (AY6/1971)*100,  AND(F6="Mouse", BA6="nl"), (AY6/508910)*100, AND(F6="Rat", BA6="nl"), (AY6/1971000)*100, AND(F6="Mouse", BA6="cm3"), (AY6/0.50891)*100, AND(F6="Rat", BA6="cm3"), (AY6/1.971)*100, AND(F6="Mouse", BA6="mL"), (AY6/0.50891)*100, AND(F6="Rat", BA6="mL"), (AY6/1.971)*100, TRUE, "NA")</f>
        <v>NA</v>
      </c>
      <c r="BE6" t="str" cm="1">
        <f t="array" ref="BE6">_xlfn.IFS(AX6="NA", "NA", BB6="NR", "NA", BB6="SD", AX6, BB6="SE", AX6*(SQRT(R6)), BB6="SEM", AX6*(SQRT(R6)), TRUE, "NA")</f>
        <v>NA</v>
      </c>
      <c r="BF6" t="str" cm="1">
        <f t="array" ref="BF6">_xlfn.IFS(BE6="NA", "NA",BA6="Direct rLV % whole brain", BE6, BA6="Indirect rLV % whole brain", BE6, BA6="Direct rLV % hemisphere", BE6/2, BA6="Indirect rLV % hemisphere", BE6/2, AND(F6="Mouse", BA6="mm3"), (BE6/508.91)*100, AND(F6="Rat", BA6="mm3"), (BE6/1971)*100, AND(F6="Mouse", BA6="ul"), (BE6/508.91)*100, AND(F6="Rat", BA6="ul"), (BE6/1971)*100,  AND(F6="Mouse", BA6="nl"), (BE6/508910)*100, AND(F6="Rat", BA6="nl"), (BE6/1971000)*100, AND(F6="Mouse", BA6="cm3"), (BE6/0.50891)*100, AND(F6="Rat", BA6="cm3"), (BE6/1.971)*100, AND(F6="Mouse", BA6="mL"), (BE6/0.50891)*100, AND(F6="Rat", BA6="mL"), (BE6/1.971)*100, TRUE, "NA")</f>
        <v>NA</v>
      </c>
      <c r="BG6" t="str" cm="1">
        <f t="array" ref="BG6">_xlfn.IFS(AZ6="NA", "NA", BB6="NR", "NA", BB6="SD", AZ6, BB6="SE", AZ6*(SQRT(R6)), BB6="SEM", AZ6*(SQRT(R6)), TRUE, "NA")</f>
        <v>NA</v>
      </c>
      <c r="BH6" s="32" t="s">
        <v>153</v>
      </c>
      <c r="BI6" s="31" t="s">
        <v>154</v>
      </c>
      <c r="BJ6" s="31" t="s">
        <v>154</v>
      </c>
    </row>
    <row r="7" spans="1:63" x14ac:dyDescent="0.3">
      <c r="A7" t="s">
        <v>681</v>
      </c>
      <c r="B7" t="s">
        <v>680</v>
      </c>
      <c r="C7">
        <v>2004</v>
      </c>
      <c r="D7" t="s">
        <v>682</v>
      </c>
      <c r="E7" t="s">
        <v>647</v>
      </c>
      <c r="F7" s="18" t="s">
        <v>23</v>
      </c>
      <c r="G7" t="s">
        <v>11</v>
      </c>
      <c r="H7" t="s">
        <v>34</v>
      </c>
      <c r="I7" t="s">
        <v>12</v>
      </c>
      <c r="J7" t="s">
        <v>8</v>
      </c>
      <c r="K7" t="s">
        <v>9</v>
      </c>
      <c r="L7" t="s">
        <v>9</v>
      </c>
      <c r="M7" t="s">
        <v>9</v>
      </c>
      <c r="N7">
        <v>300</v>
      </c>
      <c r="O7">
        <f t="shared" si="0"/>
        <v>325</v>
      </c>
      <c r="P7">
        <v>350</v>
      </c>
      <c r="Q7">
        <v>2</v>
      </c>
      <c r="R7">
        <v>7</v>
      </c>
      <c r="S7">
        <v>2</v>
      </c>
      <c r="T7">
        <v>7</v>
      </c>
      <c r="U7" s="18" t="s">
        <v>111</v>
      </c>
      <c r="V7" t="s">
        <v>8</v>
      </c>
      <c r="W7" t="s">
        <v>8</v>
      </c>
      <c r="X7" t="s">
        <v>12</v>
      </c>
      <c r="Y7" t="s">
        <v>8</v>
      </c>
      <c r="Z7" t="s">
        <v>8</v>
      </c>
      <c r="AA7" t="s">
        <v>648</v>
      </c>
      <c r="AB7" t="s">
        <v>637</v>
      </c>
      <c r="AC7" t="s">
        <v>154</v>
      </c>
      <c r="AD7" t="s">
        <v>610</v>
      </c>
      <c r="AE7">
        <v>96</v>
      </c>
      <c r="AF7">
        <v>6</v>
      </c>
      <c r="AG7" t="s">
        <v>650</v>
      </c>
      <c r="AH7">
        <v>3</v>
      </c>
      <c r="AI7" cm="1">
        <f t="array" ref="AI7">_xlfn.IFS(AF7="NR", "NA", AG7="NR", "NA", AG7="NA","NA", AND(AG7="mg/ml", AH7&lt;&gt;"NR"), ((AF7/2492)*AH7*1000000), AND(AG7="mol/L", AH7&lt;&gt;"NR"), AF7*AH7*1000000, AG7="nmol", AF7*1000, AND(AG7="nmol/uL", AH7&lt;&gt;"NR"), AF7*AH7*1000, AG7="pg", AF7/2492, AG7="pmol", AF7, AND(AG7="pmol/uL", AH7&lt;&gt;"NR"), AF7*AH7, AG7="ug", AF7/2492*1000000, AND(AG7="ug/mL", AH7&lt;&gt;"NR"), (AF7/1000*AH7)/2492*1000000, AND(AG7="ug/uL", AH7&lt;&gt;"NR"), (AF7*AH7)/2492*1000000, AND(AG7="umol/L", AH7&lt;&gt;"NR"), AH7*AF7, TRUE, "NA")</f>
        <v>6</v>
      </c>
      <c r="AJ7">
        <v>2</v>
      </c>
      <c r="AK7">
        <v>1</v>
      </c>
      <c r="AL7" t="s">
        <v>665</v>
      </c>
      <c r="AM7" t="s">
        <v>8</v>
      </c>
      <c r="AN7" t="s">
        <v>852</v>
      </c>
      <c r="AO7" s="18" t="s">
        <v>12</v>
      </c>
      <c r="AP7" t="s">
        <v>8</v>
      </c>
      <c r="AQ7" t="s">
        <v>8</v>
      </c>
      <c r="AR7" t="s">
        <v>8</v>
      </c>
      <c r="AS7" s="18">
        <v>72</v>
      </c>
      <c r="AT7" t="s">
        <v>271</v>
      </c>
      <c r="AU7" t="s">
        <v>684</v>
      </c>
      <c r="AV7" t="s">
        <v>8</v>
      </c>
      <c r="AW7">
        <v>3.2</v>
      </c>
      <c r="AX7">
        <v>2.2000000000000002</v>
      </c>
      <c r="AY7" t="s">
        <v>8</v>
      </c>
      <c r="AZ7" t="s">
        <v>8</v>
      </c>
      <c r="BA7" t="s">
        <v>656</v>
      </c>
      <c r="BB7" t="s">
        <v>122</v>
      </c>
      <c r="BC7" cm="1">
        <f t="array" ref="BC7">_xlfn.IFS(BA7="Direct rLV % whole brain", AW7, BA7="Indirect rLV % whole brain", AW7, BA7="Direct rLV % hemisphere", AW7/2, BA7="Indirect rLV % hemisphere", AW7/2, AND(F7="Mouse", BA7="mm3"), (AW7/508.91)*100, AND(F7="Rat", BA7="mm3"), (AW7/1971)*100, AND(F7="Mouse", BA7="ul"), (AW7/508.91)*100, AND(F7="Rat", BA7="ul"), (AW7/1971)*100,  AND(F7="Mouse", BA7="nl"), (AW7/508910)*100, AND(F7="Rat", BA7="nl"), (AW7/1971000)*100, AND(F7="Mouse", BA7="cm3"), (AW7/0.50891)*100, AND(F7="Rat", BA7="cm3"), (AW7/1.971)*100, AND(F7="Mouse", BA7="mL"), (AW7/0.50891)*100, AND(F7="Rat", BA7="mL"), (AW7/1.971)*100, TRUE, "NA")</f>
        <v>0.16235413495687467</v>
      </c>
      <c r="BD7" t="str" cm="1">
        <f t="array" ref="BD7">_xlfn.IFS(AZ7="NA", "NA",BA7="Direct rLV % whole brain", AY7, BA7="Indirect rLV % whole brain", AY7, BA7="Direct rLV % hemisphere", AY7/2, BA7="Indirect rLV % hemisphere", AY7/2, AND(F7="Mouse", BA7="mm3"), (AY7/508.91)*100, AND(F7="Rat", BA7="mm3"), (AY7/1971)*100, AND(F7="Mouse", BA7="ul"), (AY7/508.91)*100, AND(F7="Rat", BA7="ul"), (AY7/1971)*100,  AND(F7="Mouse", BA7="nl"), (AY7/508910)*100, AND(F7="Rat", BA7="nl"), (AY7/1971000)*100, AND(F7="Mouse", BA7="cm3"), (AY7/0.50891)*100, AND(F7="Rat", BA7="cm3"), (AY7/1.971)*100, AND(F7="Mouse", BA7="mL"), (AY7/0.50891)*100, AND(F7="Rat", BA7="mL"), (AY7/1.971)*100, TRUE, "NA")</f>
        <v>NA</v>
      </c>
      <c r="BE7" cm="1">
        <f t="array" ref="BE7">_xlfn.IFS(AX7="NA", "NA", BB7="NR", "NA", BB7="SD", AX7, BB7="SE", AX7*(SQRT(R7)), BB7="SEM", AX7*(SQRT(R7)), TRUE, "NA")</f>
        <v>2.2000000000000002</v>
      </c>
      <c r="BF7" cm="1">
        <f t="array" ref="BF7">_xlfn.IFS(BE7="NA", "NA",BA7="Direct rLV % whole brain", BE7, BA7="Indirect rLV % whole brain", BE7, BA7="Direct rLV % hemisphere", BE7/2, BA7="Indirect rLV % hemisphere", BE7/2, AND(F7="Mouse", BA7="mm3"), (BE7/508.91)*100, AND(F7="Rat", BA7="mm3"), (BE7/1971)*100, AND(F7="Mouse", BA7="ul"), (BE7/508.91)*100, AND(F7="Rat", BA7="ul"), (BE7/1971)*100,  AND(F7="Mouse", BA7="nl"), (BE7/508910)*100, AND(F7="Rat", BA7="nl"), (BE7/1971000)*100, AND(F7="Mouse", BA7="cm3"), (BE7/0.50891)*100, AND(F7="Rat", BA7="cm3"), (BE7/1.971)*100, AND(F7="Mouse", BA7="mL"), (BE7/0.50891)*100, AND(F7="Rat", BA7="mL"), (BE7/1.971)*100, TRUE, "NA")</f>
        <v>0.11161846778285135</v>
      </c>
      <c r="BG7" t="str" cm="1">
        <f t="array" ref="BG7">_xlfn.IFS(AZ7="NA", "NA", BB7="NR", "NA", BB7="SD", AZ7, BB7="SE", AZ7*(SQRT(R7)), BB7="SEM", AZ7*(SQRT(R7)), TRUE, "NA")</f>
        <v>NA</v>
      </c>
      <c r="BH7" s="18" t="s">
        <v>153</v>
      </c>
      <c r="BI7" t="s">
        <v>153</v>
      </c>
      <c r="BJ7" t="s">
        <v>154</v>
      </c>
    </row>
    <row r="8" spans="1:63" x14ac:dyDescent="0.3">
      <c r="A8" t="s">
        <v>681</v>
      </c>
      <c r="B8" t="s">
        <v>680</v>
      </c>
      <c r="C8">
        <v>2004</v>
      </c>
      <c r="D8" t="s">
        <v>682</v>
      </c>
      <c r="E8" t="s">
        <v>678</v>
      </c>
      <c r="F8" s="18" t="s">
        <v>23</v>
      </c>
      <c r="G8" t="s">
        <v>11</v>
      </c>
      <c r="H8" t="s">
        <v>34</v>
      </c>
      <c r="I8" t="s">
        <v>12</v>
      </c>
      <c r="J8" t="s">
        <v>8</v>
      </c>
      <c r="K8" t="s">
        <v>9</v>
      </c>
      <c r="L8" t="s">
        <v>9</v>
      </c>
      <c r="M8" t="s">
        <v>9</v>
      </c>
      <c r="N8">
        <v>300</v>
      </c>
      <c r="O8">
        <f t="shared" si="0"/>
        <v>325</v>
      </c>
      <c r="P8">
        <v>350</v>
      </c>
      <c r="Q8">
        <v>2</v>
      </c>
      <c r="R8">
        <v>7</v>
      </c>
      <c r="S8">
        <v>2</v>
      </c>
      <c r="T8">
        <v>7</v>
      </c>
      <c r="U8" s="18" t="s">
        <v>111</v>
      </c>
      <c r="V8" t="s">
        <v>8</v>
      </c>
      <c r="W8" t="s">
        <v>8</v>
      </c>
      <c r="X8" t="s">
        <v>683</v>
      </c>
      <c r="Y8" t="s">
        <v>8</v>
      </c>
      <c r="Z8" t="s">
        <v>8</v>
      </c>
      <c r="AA8" t="s">
        <v>648</v>
      </c>
      <c r="AB8" t="s">
        <v>637</v>
      </c>
      <c r="AC8" t="s">
        <v>154</v>
      </c>
      <c r="AD8" t="s">
        <v>634</v>
      </c>
      <c r="AE8">
        <v>96</v>
      </c>
      <c r="AF8">
        <v>6</v>
      </c>
      <c r="AG8" t="s">
        <v>650</v>
      </c>
      <c r="AH8">
        <v>3</v>
      </c>
      <c r="AI8" cm="1">
        <f t="array" ref="AI8">_xlfn.IFS(AF8="NR", "NA", AG8="NR", "NA", AG8="NA","NA", AND(AG8="mg/ml", AH8&lt;&gt;"NR"), ((AF8/2492)*AH8*1000000), AND(AG8="mol/L", AH8&lt;&gt;"NR"), AF8*AH8*1000000, AG8="nmol", AF8*1000, AND(AG8="nmol/uL", AH8&lt;&gt;"NR"), AF8*AH8*1000, AG8="pg", AF8/2492, AG8="pmol", AF8, AND(AG8="pmol/uL", AH8&lt;&gt;"NR"), AF8*AH8, AG8="ug", AF8/2492*1000000, AND(AG8="ug/mL", AH8&lt;&gt;"NR"), (AF8/1000*AH8)/2492*1000000, AND(AG8="ug/uL", AH8&lt;&gt;"NR"), (AF8*AH8)/2492*1000000, AND(AG8="umol/L", AH8&lt;&gt;"NR"), AH8*AF8, TRUE, "NA")</f>
        <v>6</v>
      </c>
      <c r="AJ8">
        <v>2</v>
      </c>
      <c r="AK8">
        <v>1</v>
      </c>
      <c r="AL8" t="s">
        <v>665</v>
      </c>
      <c r="AM8" t="s">
        <v>8</v>
      </c>
      <c r="AN8" t="s">
        <v>852</v>
      </c>
      <c r="AO8" s="18" t="s">
        <v>12</v>
      </c>
      <c r="AP8" t="s">
        <v>8</v>
      </c>
      <c r="AQ8" t="s">
        <v>8</v>
      </c>
      <c r="AR8" t="s">
        <v>8</v>
      </c>
      <c r="AS8" s="18">
        <v>72</v>
      </c>
      <c r="AT8" t="s">
        <v>271</v>
      </c>
      <c r="AU8" t="s">
        <v>684</v>
      </c>
      <c r="AV8" t="s">
        <v>679</v>
      </c>
      <c r="AW8">
        <v>0.5</v>
      </c>
      <c r="AX8">
        <v>0.4</v>
      </c>
      <c r="AY8" t="s">
        <v>8</v>
      </c>
      <c r="AZ8" t="s">
        <v>8</v>
      </c>
      <c r="BA8" t="s">
        <v>656</v>
      </c>
      <c r="BB8" t="s">
        <v>122</v>
      </c>
      <c r="BC8" cm="1">
        <f t="array" ref="BC8">_xlfn.IFS(BA8="Direct rLV % whole brain", AW8, BA8="Indirect rLV % whole brain", AW8, BA8="Direct rLV % hemisphere", AW8/2, BA8="Indirect rLV % hemisphere", AW8/2, AND(F8="Mouse", BA8="mm3"), (AW8/508.91)*100, AND(F8="Rat", BA8="mm3"), (AW8/1971)*100, AND(F8="Mouse", BA8="ul"), (AW8/508.91)*100, AND(F8="Rat", BA8="ul"), (AW8/1971)*100,  AND(F8="Mouse", BA8="nl"), (AW8/508910)*100, AND(F8="Rat", BA8="nl"), (AW8/1971000)*100, AND(F8="Mouse", BA8="cm3"), (AW8/0.50891)*100, AND(F8="Rat", BA8="cm3"), (AW8/1.971)*100, AND(F8="Mouse", BA8="mL"), (AW8/0.50891)*100, AND(F8="Rat", BA8="mL"), (AW8/1.971)*100, TRUE, "NA")</f>
        <v>2.5367833587011668E-2</v>
      </c>
      <c r="BD8" t="str" cm="1">
        <f t="array" ref="BD8">_xlfn.IFS(AZ8="NA", "NA",BA8="Direct rLV % whole brain", AY8, BA8="Indirect rLV % whole brain", AY8, BA8="Direct rLV % hemisphere", AY8/2, BA8="Indirect rLV % hemisphere", AY8/2, AND(F8="Mouse", BA8="mm3"), (AY8/508.91)*100, AND(F8="Rat", BA8="mm3"), (AY8/1971)*100, AND(F8="Mouse", BA8="ul"), (AY8/508.91)*100, AND(F8="Rat", BA8="ul"), (AY8/1971)*100,  AND(F8="Mouse", BA8="nl"), (AY8/508910)*100, AND(F8="Rat", BA8="nl"), (AY8/1971000)*100, AND(F8="Mouse", BA8="cm3"), (AY8/0.50891)*100, AND(F8="Rat", BA8="cm3"), (AY8/1.971)*100, AND(F8="Mouse", BA8="mL"), (AY8/0.50891)*100, AND(F8="Rat", BA8="mL"), (AY8/1.971)*100, TRUE, "NA")</f>
        <v>NA</v>
      </c>
      <c r="BE8" cm="1">
        <f t="array" ref="BE8">_xlfn.IFS(AX8="NA", "NA", BB8="NR", "NA", BB8="SD", AX8, BB8="SE", AX8*(SQRT(R8)), BB8="SEM", AX8*(SQRT(R8)), TRUE, "NA")</f>
        <v>0.4</v>
      </c>
      <c r="BF8" cm="1">
        <f t="array" ref="BF8">_xlfn.IFS(BE8="NA", "NA",BA8="Direct rLV % whole brain", BE8, BA8="Indirect rLV % whole brain", BE8, BA8="Direct rLV % hemisphere", BE8/2, BA8="Indirect rLV % hemisphere", BE8/2, AND(F8="Mouse", BA8="mm3"), (BE8/508.91)*100, AND(F8="Rat", BA8="mm3"), (BE8/1971)*100, AND(F8="Mouse", BA8="ul"), (BE8/508.91)*100, AND(F8="Rat", BA8="ul"), (BE8/1971)*100,  AND(F8="Mouse", BA8="nl"), (BE8/508910)*100, AND(F8="Rat", BA8="nl"), (BE8/1971000)*100, AND(F8="Mouse", BA8="cm3"), (BE8/0.50891)*100, AND(F8="Rat", BA8="cm3"), (BE8/1.971)*100, AND(F8="Mouse", BA8="mL"), (BE8/0.50891)*100, AND(F8="Rat", BA8="mL"), (BE8/1.971)*100, TRUE, "NA")</f>
        <v>2.0294266869609334E-2</v>
      </c>
      <c r="BG8" t="str" cm="1">
        <f t="array" ref="BG8">_xlfn.IFS(AZ8="NA", "NA", BB8="NR", "NA", BB8="SD", AZ8, BB8="SE", AZ8*(SQRT(R8)), BB8="SEM", AZ8*(SQRT(R8)), TRUE, "NA")</f>
        <v>NA</v>
      </c>
      <c r="BH8" s="18" t="s">
        <v>153</v>
      </c>
      <c r="BI8" t="s">
        <v>153</v>
      </c>
      <c r="BJ8" t="s">
        <v>154</v>
      </c>
    </row>
    <row r="9" spans="1:63" x14ac:dyDescent="0.3">
      <c r="A9" t="s">
        <v>681</v>
      </c>
      <c r="B9" t="s">
        <v>680</v>
      </c>
      <c r="C9">
        <v>2004</v>
      </c>
      <c r="D9" t="s">
        <v>682</v>
      </c>
      <c r="E9" t="s">
        <v>699</v>
      </c>
      <c r="F9" s="18" t="s">
        <v>23</v>
      </c>
      <c r="G9" t="s">
        <v>11</v>
      </c>
      <c r="H9" t="s">
        <v>34</v>
      </c>
      <c r="I9" t="s">
        <v>12</v>
      </c>
      <c r="J9" t="s">
        <v>8</v>
      </c>
      <c r="K9" t="s">
        <v>9</v>
      </c>
      <c r="L9" t="s">
        <v>9</v>
      </c>
      <c r="M9" t="s">
        <v>9</v>
      </c>
      <c r="N9">
        <v>300</v>
      </c>
      <c r="O9">
        <f t="shared" si="0"/>
        <v>325</v>
      </c>
      <c r="P9">
        <v>350</v>
      </c>
      <c r="Q9">
        <v>2</v>
      </c>
      <c r="R9">
        <v>5</v>
      </c>
      <c r="S9">
        <v>2</v>
      </c>
      <c r="T9">
        <v>6</v>
      </c>
      <c r="U9" s="18" t="s">
        <v>111</v>
      </c>
      <c r="V9" t="s">
        <v>8</v>
      </c>
      <c r="W9" t="s">
        <v>8</v>
      </c>
      <c r="X9" t="s">
        <v>12</v>
      </c>
      <c r="Y9" t="s">
        <v>8</v>
      </c>
      <c r="Z9" t="s">
        <v>8</v>
      </c>
      <c r="AA9" t="s">
        <v>648</v>
      </c>
      <c r="AB9" t="s">
        <v>637</v>
      </c>
      <c r="AC9" t="s">
        <v>154</v>
      </c>
      <c r="AD9" t="s">
        <v>610</v>
      </c>
      <c r="AE9">
        <v>96</v>
      </c>
      <c r="AF9">
        <v>60</v>
      </c>
      <c r="AG9" t="s">
        <v>650</v>
      </c>
      <c r="AH9">
        <v>3</v>
      </c>
      <c r="AI9" cm="1">
        <f t="array" ref="AI9">_xlfn.IFS(AF9="NR", "NA", AG9="NR", "NA", AG9="NA","NA", AND(AG9="mg/ml", AH9&lt;&gt;"NR"), ((AF9/2492)*AH9*1000000), AND(AG9="mol/L", AH9&lt;&gt;"NR"), AF9*AH9*1000000, AG9="nmol", AF9*1000, AND(AG9="nmol/uL", AH9&lt;&gt;"NR"), AF9*AH9*1000, AG9="pg", AF9/2492, AG9="pmol", AF9, AND(AG9="pmol/uL", AH9&lt;&gt;"NR"), AF9*AH9, AG9="ug", AF9/2492*1000000, AND(AG9="ug/mL", AH9&lt;&gt;"NR"), (AF9/1000*AH9)/2492*1000000, AND(AG9="ug/uL", AH9&lt;&gt;"NR"), (AF9*AH9)/2492*1000000, AND(AG9="umol/L", AH9&lt;&gt;"NR"), AH9*AF9, TRUE, "NA")</f>
        <v>60</v>
      </c>
      <c r="AJ9">
        <v>2</v>
      </c>
      <c r="AK9">
        <v>1</v>
      </c>
      <c r="AL9" t="s">
        <v>665</v>
      </c>
      <c r="AM9" t="s">
        <v>8</v>
      </c>
      <c r="AN9" t="s">
        <v>852</v>
      </c>
      <c r="AO9" s="18" t="s">
        <v>12</v>
      </c>
      <c r="AP9" t="s">
        <v>8</v>
      </c>
      <c r="AQ9" t="s">
        <v>8</v>
      </c>
      <c r="AR9" t="s">
        <v>8</v>
      </c>
      <c r="AS9" s="18">
        <v>72</v>
      </c>
      <c r="AT9" t="s">
        <v>271</v>
      </c>
      <c r="AU9" t="s">
        <v>684</v>
      </c>
      <c r="AV9" t="s">
        <v>8</v>
      </c>
      <c r="AW9">
        <v>3.4</v>
      </c>
      <c r="AX9">
        <v>2.5</v>
      </c>
      <c r="AY9" t="s">
        <v>8</v>
      </c>
      <c r="AZ9" t="s">
        <v>8</v>
      </c>
      <c r="BA9" t="s">
        <v>656</v>
      </c>
      <c r="BB9" t="s">
        <v>122</v>
      </c>
      <c r="BC9" cm="1">
        <f t="array" ref="BC9">_xlfn.IFS(BA9="Direct rLV % whole brain", AW9, BA9="Indirect rLV % whole brain", AW9, BA9="Direct rLV % hemisphere", AW9/2, BA9="Indirect rLV % hemisphere", AW9/2, AND(F9="Mouse", BA9="mm3"), (AW9/508.91)*100, AND(F9="Rat", BA9="mm3"), (AW9/1971)*100, AND(F9="Mouse", BA9="ul"), (AW9/508.91)*100, AND(F9="Rat", BA9="ul"), (AW9/1971)*100,  AND(F9="Mouse", BA9="nl"), (AW9/508910)*100, AND(F9="Rat", BA9="nl"), (AW9/1971000)*100, AND(F9="Mouse", BA9="cm3"), (AW9/0.50891)*100, AND(F9="Rat", BA9="cm3"), (AW9/1.971)*100, AND(F9="Mouse", BA9="mL"), (AW9/0.50891)*100, AND(F9="Rat", BA9="mL"), (AW9/1.971)*100, TRUE, "NA")</f>
        <v>0.17250126839167934</v>
      </c>
      <c r="BD9" t="str" cm="1">
        <f t="array" ref="BD9">_xlfn.IFS(AZ9="NA", "NA",BA9="Direct rLV % whole brain", AY9, BA9="Indirect rLV % whole brain", AY9, BA9="Direct rLV % hemisphere", AY9/2, BA9="Indirect rLV % hemisphere", AY9/2, AND(F9="Mouse", BA9="mm3"), (AY9/508.91)*100, AND(F9="Rat", BA9="mm3"), (AY9/1971)*100, AND(F9="Mouse", BA9="ul"), (AY9/508.91)*100, AND(F9="Rat", BA9="ul"), (AY9/1971)*100,  AND(F9="Mouse", BA9="nl"), (AY9/508910)*100, AND(F9="Rat", BA9="nl"), (AY9/1971000)*100, AND(F9="Mouse", BA9="cm3"), (AY9/0.50891)*100, AND(F9="Rat", BA9="cm3"), (AY9/1.971)*100, AND(F9="Mouse", BA9="mL"), (AY9/0.50891)*100, AND(F9="Rat", BA9="mL"), (AY9/1.971)*100, TRUE, "NA")</f>
        <v>NA</v>
      </c>
      <c r="BE9" cm="1">
        <f t="array" ref="BE9">_xlfn.IFS(AX9="NA", "NA", BB9="NR", "NA", BB9="SD", AX9, BB9="SE", AX9*(SQRT(R9)), BB9="SEM", AX9*(SQRT(R9)), TRUE, "NA")</f>
        <v>2.5</v>
      </c>
      <c r="BF9" cm="1">
        <f t="array" ref="BF9">_xlfn.IFS(BE9="NA", "NA",BA9="Direct rLV % whole brain", BE9, BA9="Indirect rLV % whole brain", BE9, BA9="Direct rLV % hemisphere", BE9/2, BA9="Indirect rLV % hemisphere", BE9/2, AND(F9="Mouse", BA9="mm3"), (BE9/508.91)*100, AND(F9="Rat", BA9="mm3"), (BE9/1971)*100, AND(F9="Mouse", BA9="ul"), (BE9/508.91)*100, AND(F9="Rat", BA9="ul"), (BE9/1971)*100,  AND(F9="Mouse", BA9="nl"), (BE9/508910)*100, AND(F9="Rat", BA9="nl"), (BE9/1971000)*100, AND(F9="Mouse", BA9="cm3"), (BE9/0.50891)*100, AND(F9="Rat", BA9="cm3"), (BE9/1.971)*100, AND(F9="Mouse", BA9="mL"), (BE9/0.50891)*100, AND(F9="Rat", BA9="mL"), (BE9/1.971)*100, TRUE, "NA")</f>
        <v>0.12683916793505834</v>
      </c>
      <c r="BG9" t="str" cm="1">
        <f t="array" ref="BG9">_xlfn.IFS(AZ9="NA", "NA", BB9="NR", "NA", BB9="SD", AZ9, BB9="SE", AZ9*(SQRT(R9)), BB9="SEM", AZ9*(SQRT(R9)), TRUE, "NA")</f>
        <v>NA</v>
      </c>
      <c r="BH9" s="18" t="s">
        <v>153</v>
      </c>
      <c r="BI9" t="s">
        <v>153</v>
      </c>
      <c r="BJ9" t="s">
        <v>154</v>
      </c>
    </row>
    <row r="10" spans="1:63" x14ac:dyDescent="0.3">
      <c r="A10" t="s">
        <v>681</v>
      </c>
      <c r="B10" t="s">
        <v>680</v>
      </c>
      <c r="C10">
        <v>2004</v>
      </c>
      <c r="D10" t="s">
        <v>682</v>
      </c>
      <c r="E10" t="s">
        <v>760</v>
      </c>
      <c r="F10" s="18" t="s">
        <v>23</v>
      </c>
      <c r="G10" t="s">
        <v>11</v>
      </c>
      <c r="H10" t="s">
        <v>34</v>
      </c>
      <c r="I10" t="s">
        <v>12</v>
      </c>
      <c r="J10" t="s">
        <v>8</v>
      </c>
      <c r="K10" t="s">
        <v>9</v>
      </c>
      <c r="L10" t="s">
        <v>9</v>
      </c>
      <c r="M10" t="s">
        <v>9</v>
      </c>
      <c r="N10">
        <v>300</v>
      </c>
      <c r="O10">
        <f t="shared" si="0"/>
        <v>325</v>
      </c>
      <c r="P10">
        <v>350</v>
      </c>
      <c r="Q10">
        <v>2</v>
      </c>
      <c r="R10">
        <v>5</v>
      </c>
      <c r="S10">
        <v>2</v>
      </c>
      <c r="T10">
        <v>6</v>
      </c>
      <c r="U10" s="18" t="s">
        <v>111</v>
      </c>
      <c r="V10" t="s">
        <v>8</v>
      </c>
      <c r="W10" t="s">
        <v>8</v>
      </c>
      <c r="X10" t="s">
        <v>683</v>
      </c>
      <c r="Y10" t="s">
        <v>8</v>
      </c>
      <c r="Z10" t="s">
        <v>8</v>
      </c>
      <c r="AA10" t="s">
        <v>648</v>
      </c>
      <c r="AB10" t="s">
        <v>637</v>
      </c>
      <c r="AC10" t="s">
        <v>154</v>
      </c>
      <c r="AD10" t="s">
        <v>634</v>
      </c>
      <c r="AE10">
        <v>96</v>
      </c>
      <c r="AF10">
        <v>60</v>
      </c>
      <c r="AG10" t="s">
        <v>650</v>
      </c>
      <c r="AH10">
        <v>3</v>
      </c>
      <c r="AI10" cm="1">
        <f t="array" ref="AI10">_xlfn.IFS(AF10="NR", "NA", AG10="NR", "NA", AG10="NA","NA", AND(AG10="mg/ml", AH10&lt;&gt;"NR"), ((AF10/2492)*AH10*1000000), AND(AG10="mol/L", AH10&lt;&gt;"NR"), AF10*AH10*1000000, AG10="nmol", AF10*1000, AND(AG10="nmol/uL", AH10&lt;&gt;"NR"), AF10*AH10*1000, AG10="pg", AF10/2492, AG10="pmol", AF10, AND(AG10="pmol/uL", AH10&lt;&gt;"NR"), AF10*AH10, AG10="ug", AF10/2492*1000000, AND(AG10="ug/mL", AH10&lt;&gt;"NR"), (AF10/1000*AH10)/2492*1000000, AND(AG10="ug/uL", AH10&lt;&gt;"NR"), (AF10*AH10)/2492*1000000, AND(AG10="umol/L", AH10&lt;&gt;"NR"), AH10*AF10, TRUE, "NA")</f>
        <v>60</v>
      </c>
      <c r="AJ10">
        <v>2</v>
      </c>
      <c r="AK10">
        <v>1</v>
      </c>
      <c r="AL10" t="s">
        <v>665</v>
      </c>
      <c r="AM10" t="s">
        <v>8</v>
      </c>
      <c r="AN10" t="s">
        <v>852</v>
      </c>
      <c r="AO10" s="18" t="s">
        <v>12</v>
      </c>
      <c r="AP10" t="s">
        <v>8</v>
      </c>
      <c r="AQ10" t="s">
        <v>8</v>
      </c>
      <c r="AR10" t="s">
        <v>8</v>
      </c>
      <c r="AS10" s="18">
        <v>72</v>
      </c>
      <c r="AT10" t="s">
        <v>271</v>
      </c>
      <c r="AU10" t="s">
        <v>684</v>
      </c>
      <c r="AV10" t="s">
        <v>679</v>
      </c>
      <c r="AW10">
        <v>0.6</v>
      </c>
      <c r="AX10">
        <v>0.3</v>
      </c>
      <c r="AY10" t="s">
        <v>8</v>
      </c>
      <c r="AZ10" t="s">
        <v>8</v>
      </c>
      <c r="BA10" t="s">
        <v>656</v>
      </c>
      <c r="BB10" t="s">
        <v>122</v>
      </c>
      <c r="BC10" cm="1">
        <f t="array" ref="BC10">_xlfn.IFS(BA10="Direct rLV % whole brain", AW10, BA10="Indirect rLV % whole brain", AW10, BA10="Direct rLV % hemisphere", AW10/2, BA10="Indirect rLV % hemisphere", AW10/2, AND(F10="Mouse", BA10="mm3"), (AW10/508.91)*100, AND(F10="Rat", BA10="mm3"), (AW10/1971)*100, AND(F10="Mouse", BA10="ul"), (AW10/508.91)*100, AND(F10="Rat", BA10="ul"), (AW10/1971)*100,  AND(F10="Mouse", BA10="nl"), (AW10/508910)*100, AND(F10="Rat", BA10="nl"), (AW10/1971000)*100, AND(F10="Mouse", BA10="cm3"), (AW10/0.50891)*100, AND(F10="Rat", BA10="cm3"), (AW10/1.971)*100, AND(F10="Mouse", BA10="mL"), (AW10/0.50891)*100, AND(F10="Rat", BA10="mL"), (AW10/1.971)*100, TRUE, "NA")</f>
        <v>3.0441400304414001E-2</v>
      </c>
      <c r="BD10" t="str" cm="1">
        <f t="array" ref="BD10">_xlfn.IFS(AZ10="NA", "NA",BA10="Direct rLV % whole brain", AY10, BA10="Indirect rLV % whole brain", AY10, BA10="Direct rLV % hemisphere", AY10/2, BA10="Indirect rLV % hemisphere", AY10/2, AND(F10="Mouse", BA10="mm3"), (AY10/508.91)*100, AND(F10="Rat", BA10="mm3"), (AY10/1971)*100, AND(F10="Mouse", BA10="ul"), (AY10/508.91)*100, AND(F10="Rat", BA10="ul"), (AY10/1971)*100,  AND(F10="Mouse", BA10="nl"), (AY10/508910)*100, AND(F10="Rat", BA10="nl"), (AY10/1971000)*100, AND(F10="Mouse", BA10="cm3"), (AY10/0.50891)*100, AND(F10="Rat", BA10="cm3"), (AY10/1.971)*100, AND(F10="Mouse", BA10="mL"), (AY10/0.50891)*100, AND(F10="Rat", BA10="mL"), (AY10/1.971)*100, TRUE, "NA")</f>
        <v>NA</v>
      </c>
      <c r="BE10" cm="1">
        <f t="array" ref="BE10">_xlfn.IFS(AX10="NA", "NA", BB10="NR", "NA", BB10="SD", AX10, BB10="SE", AX10*(SQRT(R10)), BB10="SEM", AX10*(SQRT(R10)), TRUE, "NA")</f>
        <v>0.3</v>
      </c>
      <c r="BF10" cm="1">
        <f t="array" ref="BF10">_xlfn.IFS(BE10="NA", "NA",BA10="Direct rLV % whole brain", BE10, BA10="Indirect rLV % whole brain", BE10, BA10="Direct rLV % hemisphere", BE10/2, BA10="Indirect rLV % hemisphere", BE10/2, AND(F10="Mouse", BA10="mm3"), (BE10/508.91)*100, AND(F10="Rat", BA10="mm3"), (BE10/1971)*100, AND(F10="Mouse", BA10="ul"), (BE10/508.91)*100, AND(F10="Rat", BA10="ul"), (BE10/1971)*100,  AND(F10="Mouse", BA10="nl"), (BE10/508910)*100, AND(F10="Rat", BA10="nl"), (BE10/1971000)*100, AND(F10="Mouse", BA10="cm3"), (BE10/0.50891)*100, AND(F10="Rat", BA10="cm3"), (BE10/1.971)*100, AND(F10="Mouse", BA10="mL"), (BE10/0.50891)*100, AND(F10="Rat", BA10="mL"), (BE10/1.971)*100, TRUE, "NA")</f>
        <v>1.5220700152207001E-2</v>
      </c>
      <c r="BG10" t="str" cm="1">
        <f t="array" ref="BG10">_xlfn.IFS(AZ10="NA", "NA", BB10="NR", "NA", BB10="SD", AZ10, BB10="SE", AZ10*(SQRT(R10)), BB10="SEM", AZ10*(SQRT(R10)), TRUE, "NA")</f>
        <v>NA</v>
      </c>
      <c r="BH10" s="18" t="s">
        <v>153</v>
      </c>
      <c r="BI10" t="s">
        <v>153</v>
      </c>
      <c r="BJ10" t="s">
        <v>154</v>
      </c>
    </row>
    <row r="11" spans="1:63" s="31" customFormat="1" x14ac:dyDescent="0.3">
      <c r="A11" s="31" t="s">
        <v>686</v>
      </c>
      <c r="B11" s="31" t="s">
        <v>685</v>
      </c>
      <c r="C11" s="31">
        <v>2018</v>
      </c>
      <c r="D11" s="31" t="s">
        <v>687</v>
      </c>
      <c r="E11" s="31" t="s">
        <v>647</v>
      </c>
      <c r="F11" s="32" t="s">
        <v>23</v>
      </c>
      <c r="G11" s="31" t="s">
        <v>10</v>
      </c>
      <c r="H11" s="31" t="s">
        <v>33</v>
      </c>
      <c r="I11" s="31" t="s">
        <v>12</v>
      </c>
      <c r="J11" s="31" t="s">
        <v>8</v>
      </c>
      <c r="K11" s="31">
        <v>30</v>
      </c>
      <c r="L11" s="31">
        <f>AVERAGE(K11,M11)</f>
        <v>34.5</v>
      </c>
      <c r="M11" s="31">
        <v>39</v>
      </c>
      <c r="N11" s="31">
        <v>400</v>
      </c>
      <c r="O11" s="31">
        <v>420</v>
      </c>
      <c r="P11" s="31">
        <v>440</v>
      </c>
      <c r="Q11" s="31">
        <v>1</v>
      </c>
      <c r="R11" s="31">
        <v>6</v>
      </c>
      <c r="S11" s="31">
        <v>1</v>
      </c>
      <c r="T11" s="31">
        <v>6</v>
      </c>
      <c r="U11" s="32" t="s">
        <v>68</v>
      </c>
      <c r="V11" s="31" t="s">
        <v>683</v>
      </c>
      <c r="W11" s="31" t="s">
        <v>8</v>
      </c>
      <c r="X11" s="31" t="s">
        <v>68</v>
      </c>
      <c r="Y11" s="31" t="s">
        <v>683</v>
      </c>
      <c r="Z11" s="31" t="s">
        <v>8</v>
      </c>
      <c r="AA11" s="31" t="s">
        <v>640</v>
      </c>
      <c r="AB11" s="31" t="s">
        <v>636</v>
      </c>
      <c r="AC11" s="31" t="s">
        <v>154</v>
      </c>
      <c r="AD11" s="31" t="s">
        <v>634</v>
      </c>
      <c r="AE11" s="31">
        <v>0</v>
      </c>
      <c r="AF11" s="31">
        <v>800</v>
      </c>
      <c r="AG11" s="31" t="s">
        <v>650</v>
      </c>
      <c r="AH11" s="31">
        <v>4</v>
      </c>
      <c r="AI11" cm="1">
        <f t="array" ref="AI11">_xlfn.IFS(AF11="NR", "NA", AG11="NR", "NA", AG11="NA","NA", AND(AG11="mg/ml", AH11&lt;&gt;"NR"), ((AF11/2492)*AH11*1000000), AND(AG11="mol/L", AH11&lt;&gt;"NR"), AF11*AH11*1000000, AG11="nmol", AF11*1000, AND(AG11="nmol/uL", AH11&lt;&gt;"NR"), AF11*AH11*1000, AG11="pg", AF11/2492, AG11="pmol", AF11, AND(AG11="pmol/uL", AH11&lt;&gt;"NR"), AF11*AH11, AG11="ug", AF11/2492*1000000, AND(AG11="ug/mL", AH11&lt;&gt;"NR"), (AF11/1000*AH11)/2492*1000000, AND(AG11="ug/uL", AH11&lt;&gt;"NR"), (AF11*AH11)/2492*1000000, AND(AG11="umol/L", AH11&lt;&gt;"NR"), AH11*AF11, TRUE, "NA")</f>
        <v>800</v>
      </c>
      <c r="AJ11" s="31" t="s">
        <v>9</v>
      </c>
      <c r="AK11" s="31">
        <v>1</v>
      </c>
      <c r="AL11" s="31" t="s">
        <v>9</v>
      </c>
      <c r="AM11" s="31" t="s">
        <v>8</v>
      </c>
      <c r="AN11" s="31" t="s">
        <v>852</v>
      </c>
      <c r="AO11" s="32" t="s">
        <v>256</v>
      </c>
      <c r="AP11" t="s">
        <v>1228</v>
      </c>
      <c r="AQ11" s="31">
        <v>-336</v>
      </c>
      <c r="AR11" s="31" t="s">
        <v>101</v>
      </c>
      <c r="AS11" s="32">
        <v>504</v>
      </c>
      <c r="AT11" s="31" t="s">
        <v>269</v>
      </c>
      <c r="AU11" s="31" t="s">
        <v>8</v>
      </c>
      <c r="AV11" s="31" t="s">
        <v>674</v>
      </c>
      <c r="AW11" s="31">
        <v>1518.99</v>
      </c>
      <c r="AX11" s="31">
        <v>415.19</v>
      </c>
      <c r="AY11" s="31">
        <v>1663.29</v>
      </c>
      <c r="AZ11" s="31">
        <v>498.74</v>
      </c>
      <c r="BA11" s="31" t="s">
        <v>688</v>
      </c>
      <c r="BB11" s="31" t="s">
        <v>123</v>
      </c>
      <c r="BC11" t="str" cm="1">
        <f t="array" ref="BC11">_xlfn.IFS(BA11="Direct rLV % whole brain", AW11, BA11="Indirect rLV % whole brain", AW11, BA11="Direct rLV % hemisphere", AW11/2, BA11="Indirect rLV % hemisphere", AW11/2, AND(F11="Mouse", BA11="mm3"), (AW11/508.91)*100, AND(F11="Rat", BA11="mm3"), (AW11/1971)*100, AND(F11="Mouse", BA11="ul"), (AW11/508.91)*100, AND(F11="Rat", BA11="ul"), (AW11/1971)*100,  AND(F11="Mouse", BA11="nl"), (AW11/508910)*100, AND(F11="Rat", BA11="nl"), (AW11/1971000)*100, AND(F11="Mouse", BA11="cm3"), (AW11/0.50891)*100, AND(F11="Rat", BA11="cm3"), (AW11/1.971)*100, AND(F11="Mouse", BA11="mL"), (AW11/0.50891)*100, AND(F11="Rat", BA11="mL"), (AW11/1.971)*100, TRUE, "NA")</f>
        <v>NA</v>
      </c>
      <c r="BD11" t="str" cm="1">
        <f t="array" ref="BD11">_xlfn.IFS(AZ11="NA", "NA",BA11="Direct rLV % whole brain", AY11, BA11="Indirect rLV % whole brain", AY11, BA11="Direct rLV % hemisphere", AY11/2, BA11="Indirect rLV % hemisphere", AY11/2, AND(F11="Mouse", BA11="mm3"), (AY11/508.91)*100, AND(F11="Rat", BA11="mm3"), (AY11/1971)*100, AND(F11="Mouse", BA11="ul"), (AY11/508.91)*100, AND(F11="Rat", BA11="ul"), (AY11/1971)*100,  AND(F11="Mouse", BA11="nl"), (AY11/508910)*100, AND(F11="Rat", BA11="nl"), (AY11/1971000)*100, AND(F11="Mouse", BA11="cm3"), (AY11/0.50891)*100, AND(F11="Rat", BA11="cm3"), (AY11/1.971)*100, AND(F11="Mouse", BA11="mL"), (AY11/0.50891)*100, AND(F11="Rat", BA11="mL"), (AY11/1.971)*100, TRUE, "NA")</f>
        <v>NA</v>
      </c>
      <c r="BE11" cm="1">
        <f t="array" ref="BE11">_xlfn.IFS(AX11="NA", "NA", BB11="NR", "NA", BB11="SD", AX11, BB11="SE", AX11*(SQRT(R11)), BB11="SEM", AX11*(SQRT(R11)), TRUE, "NA")</f>
        <v>1017.0036463061476</v>
      </c>
      <c r="BF11" t="str" cm="1">
        <f t="array" ref="BF11">_xlfn.IFS(BE11="NA", "NA",BA11="Direct rLV % whole brain", BE11, BA11="Indirect rLV % whole brain", BE11, BA11="Direct rLV % hemisphere", BE11/2, BA11="Indirect rLV % hemisphere", BE11/2, AND(F11="Mouse", BA11="mm3"), (BE11/508.91)*100, AND(F11="Rat", BA11="mm3"), (BE11/1971)*100, AND(F11="Mouse", BA11="ul"), (BE11/508.91)*100, AND(F11="Rat", BA11="ul"), (BE11/1971)*100,  AND(F11="Mouse", BA11="nl"), (BE11/508910)*100, AND(F11="Rat", BA11="nl"), (BE11/1971000)*100, AND(F11="Mouse", BA11="cm3"), (BE11/0.50891)*100, AND(F11="Rat", BA11="cm3"), (BE11/1.971)*100, AND(F11="Mouse", BA11="mL"), (BE11/0.50891)*100, AND(F11="Rat", BA11="mL"), (BE11/1.971)*100, TRUE, "NA")</f>
        <v>NA</v>
      </c>
      <c r="BG11" cm="1">
        <f t="array" ref="BG11">_xlfn.IFS(AZ11="NA", "NA", BB11="NR", "NA", BB11="SD", AZ11, BB11="SE", AZ11*(SQRT(R11)), BB11="SEM", AZ11*(SQRT(R11)), TRUE, "NA")</f>
        <v>1221.6585143156822</v>
      </c>
      <c r="BH11" s="32" t="s">
        <v>154</v>
      </c>
      <c r="BI11" s="31" t="s">
        <v>154</v>
      </c>
      <c r="BJ11" s="31" t="s">
        <v>154</v>
      </c>
    </row>
    <row r="12" spans="1:63" x14ac:dyDescent="0.3">
      <c r="A12" t="s">
        <v>690</v>
      </c>
      <c r="B12" t="s">
        <v>689</v>
      </c>
      <c r="C12">
        <v>2015</v>
      </c>
      <c r="D12" t="s">
        <v>691</v>
      </c>
      <c r="E12" t="s">
        <v>647</v>
      </c>
      <c r="F12" s="18" t="s">
        <v>23</v>
      </c>
      <c r="G12" t="s">
        <v>10</v>
      </c>
      <c r="H12" t="s">
        <v>34</v>
      </c>
      <c r="I12" t="s">
        <v>12</v>
      </c>
      <c r="J12" t="s">
        <v>8</v>
      </c>
      <c r="K12" t="s">
        <v>8</v>
      </c>
      <c r="L12">
        <v>9</v>
      </c>
      <c r="M12" t="s">
        <v>8</v>
      </c>
      <c r="N12">
        <v>275</v>
      </c>
      <c r="O12">
        <f>AVERAGE(N12,P12)</f>
        <v>287.5</v>
      </c>
      <c r="P12">
        <v>300</v>
      </c>
      <c r="Q12">
        <v>1</v>
      </c>
      <c r="R12">
        <v>20</v>
      </c>
      <c r="S12">
        <v>4</v>
      </c>
      <c r="T12">
        <v>11</v>
      </c>
      <c r="U12" s="18" t="s">
        <v>68</v>
      </c>
      <c r="V12" t="s">
        <v>8</v>
      </c>
      <c r="W12" t="s">
        <v>8</v>
      </c>
      <c r="X12" t="s">
        <v>12</v>
      </c>
      <c r="Y12" t="s">
        <v>8</v>
      </c>
      <c r="Z12" t="s">
        <v>8</v>
      </c>
      <c r="AA12" t="s">
        <v>640</v>
      </c>
      <c r="AB12" t="s">
        <v>636</v>
      </c>
      <c r="AC12" t="s">
        <v>153</v>
      </c>
      <c r="AD12" t="s">
        <v>610</v>
      </c>
      <c r="AE12">
        <v>120</v>
      </c>
      <c r="AF12">
        <v>80</v>
      </c>
      <c r="AG12" t="s">
        <v>692</v>
      </c>
      <c r="AH12">
        <v>3</v>
      </c>
      <c r="AI12" cm="1">
        <f t="array" ref="AI12">_xlfn.IFS(AF12="NR", "NA", AG12="NR", "NA", AG12="NA","NA", AND(AG12="mg/ml", AH12&lt;&gt;"NR"), ((AF12/2492)*AH12*1000000), AND(AG12="mol/L", AH12&lt;&gt;"NR"), AF12*AH12*1000000, AG12="nmol", AF12*1000, AND(AG12="nmol/uL", AH12&lt;&gt;"NR"), AF12*AH12*1000, AG12="pg", AF12/2492, AG12="pmol", AF12, AND(AG12="pmol/uL", AH12&lt;&gt;"NR"), AF12*AH12, AG12="ug", AF12/2492*1000000, AND(AG12="ug/mL", AH12&lt;&gt;"NR"), (AF12/1000*AH12)/2492*1000000, AND(AG12="ug/uL", AH12&lt;&gt;"NR"), (AF12*AH12)/2492*1000000, AND(AG12="umol/L", AH12&lt;&gt;"NR"), AH12*AF12, TRUE, "NA")</f>
        <v>240</v>
      </c>
      <c r="AJ12">
        <v>3</v>
      </c>
      <c r="AK12">
        <v>1</v>
      </c>
      <c r="AL12" t="s">
        <v>665</v>
      </c>
      <c r="AM12" t="s">
        <v>8</v>
      </c>
      <c r="AN12" t="s">
        <v>9</v>
      </c>
      <c r="AO12" s="18" t="s">
        <v>693</v>
      </c>
      <c r="AP12" t="s">
        <v>1228</v>
      </c>
      <c r="AQ12">
        <v>0</v>
      </c>
      <c r="AR12" t="s">
        <v>102</v>
      </c>
      <c r="AS12" s="18">
        <v>72</v>
      </c>
      <c r="AT12" t="s">
        <v>270</v>
      </c>
      <c r="AU12" t="s">
        <v>8</v>
      </c>
      <c r="AV12" t="s">
        <v>679</v>
      </c>
      <c r="AW12">
        <v>40.869999999999997</v>
      </c>
      <c r="AX12">
        <v>3.06</v>
      </c>
      <c r="AY12">
        <v>27.98</v>
      </c>
      <c r="AZ12">
        <v>4.26</v>
      </c>
      <c r="BA12" t="s">
        <v>203</v>
      </c>
      <c r="BB12" t="s">
        <v>123</v>
      </c>
      <c r="BC12" cm="1">
        <f t="array" ref="BC12">_xlfn.IFS(BA12="Direct rLV % whole brain", AW12, BA12="Indirect rLV % whole brain", AW12, BA12="Direct rLV % hemisphere", AW12/2, BA12="Indirect rLV % hemisphere", AW12/2, AND(F12="Mouse", BA12="mm3"), (AW12/508.91)*100, AND(F12="Rat", BA12="mm3"), (AW12/1971)*100, AND(F12="Mouse", BA12="ul"), (AW12/508.91)*100, AND(F12="Rat", BA12="ul"), (AW12/1971)*100,  AND(F12="Mouse", BA12="nl"), (AW12/508910)*100, AND(F12="Rat", BA12="nl"), (AW12/1971000)*100, AND(F12="Mouse", BA12="cm3"), (AW12/0.50891)*100, AND(F12="Rat", BA12="cm3"), (AW12/1.971)*100, AND(F12="Mouse", BA12="mL"), (AW12/0.50891)*100, AND(F12="Rat", BA12="mL"), (AW12/1.971)*100, TRUE, "NA")</f>
        <v>20.434999999999999</v>
      </c>
      <c r="BD12" cm="1">
        <f t="array" ref="BD12">_xlfn.IFS(AZ12="NA", "NA",BA12="Direct rLV % whole brain", AY12, BA12="Indirect rLV % whole brain", AY12, BA12="Direct rLV % hemisphere", AY12/2, BA12="Indirect rLV % hemisphere", AY12/2, AND(F12="Mouse", BA12="mm3"), (AY12/508.91)*100, AND(F12="Rat", BA12="mm3"), (AY12/1971)*100, AND(F12="Mouse", BA12="ul"), (AY12/508.91)*100, AND(F12="Rat", BA12="ul"), (AY12/1971)*100,  AND(F12="Mouse", BA12="nl"), (AY12/508910)*100, AND(F12="Rat", BA12="nl"), (AY12/1971000)*100, AND(F12="Mouse", BA12="cm3"), (AY12/0.50891)*100, AND(F12="Rat", BA12="cm3"), (AY12/1.971)*100, AND(F12="Mouse", BA12="mL"), (AY12/0.50891)*100, AND(F12="Rat", BA12="mL"), (AY12/1.971)*100, TRUE, "NA")</f>
        <v>13.99</v>
      </c>
      <c r="BE12" cm="1">
        <f t="array" ref="BE12">_xlfn.IFS(AX12="NA", "NA", BB12="NR", "NA", BB12="SD", AX12, BB12="SE", AX12*(SQRT(R12)), BB12="SEM", AX12*(SQRT(R12)), TRUE, "NA")</f>
        <v>13.684736022298713</v>
      </c>
      <c r="BF12" cm="1">
        <f t="array" ref="BF12">_xlfn.IFS(BE12="NA", "NA",BA12="Direct rLV % whole brain", BE12, BA12="Indirect rLV % whole brain", BE12, BA12="Direct rLV % hemisphere", BE12/2, BA12="Indirect rLV % hemisphere", BE12/2, AND(F12="Mouse", BA12="mm3"), (BE12/508.91)*100, AND(F12="Rat", BA12="mm3"), (BE12/1971)*100, AND(F12="Mouse", BA12="ul"), (BE12/508.91)*100, AND(F12="Rat", BA12="ul"), (BE12/1971)*100,  AND(F12="Mouse", BA12="nl"), (BE12/508910)*100, AND(F12="Rat", BA12="nl"), (BE12/1971000)*100, AND(F12="Mouse", BA12="cm3"), (BE12/0.50891)*100, AND(F12="Rat", BA12="cm3"), (BE12/1.971)*100, AND(F12="Mouse", BA12="mL"), (BE12/0.50891)*100, AND(F12="Rat", BA12="mL"), (BE12/1.971)*100, TRUE, "NA")</f>
        <v>6.8423680111493566</v>
      </c>
      <c r="BG12" cm="1">
        <f t="array" ref="BG12">_xlfn.IFS(AZ12="NA", "NA", BB12="NR", "NA", BB12="SD", AZ12, BB12="SE", AZ12*(SQRT(R12)), BB12="SEM", AZ12*(SQRT(R12)), TRUE, "NA")</f>
        <v>19.051299168298208</v>
      </c>
      <c r="BH12" s="18" t="s">
        <v>153</v>
      </c>
      <c r="BI12" t="s">
        <v>153</v>
      </c>
      <c r="BJ12" t="s">
        <v>153</v>
      </c>
      <c r="BK12" t="s">
        <v>694</v>
      </c>
    </row>
    <row r="13" spans="1:63" s="31" customFormat="1" x14ac:dyDescent="0.3">
      <c r="A13" s="31" t="s">
        <v>697</v>
      </c>
      <c r="B13" s="31" t="s">
        <v>696</v>
      </c>
      <c r="C13" s="31">
        <v>2001</v>
      </c>
      <c r="D13" s="31" t="s">
        <v>698</v>
      </c>
      <c r="E13" s="31" t="s">
        <v>647</v>
      </c>
      <c r="F13" s="32" t="s">
        <v>23</v>
      </c>
      <c r="G13" s="31" t="s">
        <v>11</v>
      </c>
      <c r="H13" s="31" t="s">
        <v>34</v>
      </c>
      <c r="I13" s="31" t="s">
        <v>12</v>
      </c>
      <c r="J13" s="31" t="s">
        <v>8</v>
      </c>
      <c r="K13" s="31" t="s">
        <v>9</v>
      </c>
      <c r="L13" s="31" t="s">
        <v>9</v>
      </c>
      <c r="M13" s="31" t="s">
        <v>9</v>
      </c>
      <c r="N13" s="31">
        <v>250</v>
      </c>
      <c r="O13" s="31">
        <f t="shared" ref="O13:O21" si="1">AVERAGE(N13,P13)</f>
        <v>265</v>
      </c>
      <c r="P13" s="31">
        <v>280</v>
      </c>
      <c r="Q13" s="31">
        <v>1</v>
      </c>
      <c r="R13" s="31">
        <v>7</v>
      </c>
      <c r="S13" s="31">
        <v>6</v>
      </c>
      <c r="T13" s="31">
        <v>3</v>
      </c>
      <c r="U13" s="32" t="s">
        <v>71</v>
      </c>
      <c r="V13" s="31" t="s">
        <v>98</v>
      </c>
      <c r="W13" s="31" t="s">
        <v>8</v>
      </c>
      <c r="X13" s="31" t="s">
        <v>12</v>
      </c>
      <c r="Y13" s="31" t="s">
        <v>8</v>
      </c>
      <c r="Z13" s="31" t="s">
        <v>8</v>
      </c>
      <c r="AA13" s="31" t="s">
        <v>648</v>
      </c>
      <c r="AB13" s="31" t="s">
        <v>637</v>
      </c>
      <c r="AC13" s="31" t="s">
        <v>153</v>
      </c>
      <c r="AD13" s="31" t="s">
        <v>610</v>
      </c>
      <c r="AE13" s="31">
        <v>24</v>
      </c>
      <c r="AF13" s="31">
        <v>120</v>
      </c>
      <c r="AG13" s="31" t="s">
        <v>650</v>
      </c>
      <c r="AH13" s="31">
        <v>6</v>
      </c>
      <c r="AI13" cm="1">
        <f t="array" ref="AI13">_xlfn.IFS(AF13="NR", "NA", AG13="NR", "NA", AG13="NA","NA", AND(AG13="mg/ml", AH13&lt;&gt;"NR"), ((AF13/2492)*AH13*1000000), AND(AG13="mol/L", AH13&lt;&gt;"NR"), AF13*AH13*1000000, AG13="nmol", AF13*1000, AND(AG13="nmol/uL", AH13&lt;&gt;"NR"), AF13*AH13*1000, AG13="pg", AF13/2492, AG13="pmol", AF13, AND(AG13="pmol/uL", AH13&lt;&gt;"NR"), AF13*AH13, AG13="ug", AF13/2492*1000000, AND(AG13="ug/mL", AH13&lt;&gt;"NR"), (AF13/1000*AH13)/2492*1000000, AND(AG13="ug/uL", AH13&lt;&gt;"NR"), (AF13*AH13)/2492*1000000, AND(AG13="umol/L", AH13&lt;&gt;"NR"), AH13*AF13, TRUE, "NA")</f>
        <v>120</v>
      </c>
      <c r="AJ13" s="31">
        <v>6</v>
      </c>
      <c r="AK13" s="31">
        <v>1</v>
      </c>
      <c r="AL13" s="31" t="s">
        <v>701</v>
      </c>
      <c r="AM13" s="31" t="s">
        <v>731</v>
      </c>
      <c r="AN13" s="31" t="s">
        <v>9</v>
      </c>
      <c r="AO13" s="32" t="s">
        <v>706</v>
      </c>
      <c r="AP13" t="s">
        <v>1228</v>
      </c>
      <c r="AQ13" s="31">
        <v>0.5</v>
      </c>
      <c r="AR13" s="31" t="s">
        <v>103</v>
      </c>
      <c r="AS13" s="32">
        <v>24</v>
      </c>
      <c r="AT13" s="31" t="s">
        <v>271</v>
      </c>
      <c r="AU13" s="31" t="s">
        <v>652</v>
      </c>
      <c r="AV13" s="31" t="s">
        <v>674</v>
      </c>
      <c r="AW13" s="31">
        <v>65</v>
      </c>
      <c r="AX13" s="31">
        <v>6</v>
      </c>
      <c r="AY13" s="31">
        <v>56</v>
      </c>
      <c r="AZ13" s="31">
        <v>3</v>
      </c>
      <c r="BA13" s="31" t="s">
        <v>656</v>
      </c>
      <c r="BB13" s="31" t="s">
        <v>123</v>
      </c>
      <c r="BC13" cm="1">
        <f t="array" ref="BC13">_xlfn.IFS(BA13="Direct rLV % whole brain", AW13, BA13="Indirect rLV % whole brain", AW13, BA13="Direct rLV % hemisphere", AW13/2, BA13="Indirect rLV % hemisphere", AW13/2, AND(F13="Mouse", BA13="mm3"), (AW13/508.91)*100, AND(F13="Rat", BA13="mm3"), (AW13/1971)*100, AND(F13="Mouse", BA13="ul"), (AW13/508.91)*100, AND(F13="Rat", BA13="ul"), (AW13/1971)*100,  AND(F13="Mouse", BA13="nl"), (AW13/508910)*100, AND(F13="Rat", BA13="nl"), (AW13/1971000)*100, AND(F13="Mouse", BA13="cm3"), (AW13/0.50891)*100, AND(F13="Rat", BA13="cm3"), (AW13/1.971)*100, AND(F13="Mouse", BA13="mL"), (AW13/0.50891)*100, AND(F13="Rat", BA13="mL"), (AW13/1.971)*100, TRUE, "NA")</f>
        <v>3.2978183663115166</v>
      </c>
      <c r="BD13" cm="1">
        <f t="array" ref="BD13">_xlfn.IFS(AZ13="NA", "NA",BA13="Direct rLV % whole brain", AY13, BA13="Indirect rLV % whole brain", AY13, BA13="Direct rLV % hemisphere", AY13/2, BA13="Indirect rLV % hemisphere", AY13/2, AND(F13="Mouse", BA13="mm3"), (AY13/508.91)*100, AND(F13="Rat", BA13="mm3"), (AY13/1971)*100, AND(F13="Mouse", BA13="ul"), (AY13/508.91)*100, AND(F13="Rat", BA13="ul"), (AY13/1971)*100,  AND(F13="Mouse", BA13="nl"), (AY13/508910)*100, AND(F13="Rat", BA13="nl"), (AY13/1971000)*100, AND(F13="Mouse", BA13="cm3"), (AY13/0.50891)*100, AND(F13="Rat", BA13="cm3"), (AY13/1.971)*100, AND(F13="Mouse", BA13="mL"), (AY13/0.50891)*100, AND(F13="Rat", BA13="mL"), (AY13/1.971)*100, TRUE, "NA")</f>
        <v>2.8411973617453068</v>
      </c>
      <c r="BE13" cm="1">
        <f t="array" ref="BE13">_xlfn.IFS(AX13="NA", "NA", BB13="NR", "NA", BB13="SD", AX13, BB13="SE", AX13*(SQRT(R13)), BB13="SEM", AX13*(SQRT(R13)), TRUE, "NA")</f>
        <v>15.874507866387544</v>
      </c>
      <c r="BF13" cm="1">
        <f t="array" ref="BF13">_xlfn.IFS(BE13="NA", "NA",BA13="Direct rLV % whole brain", BE13, BA13="Indirect rLV % whole brain", BE13, BA13="Direct rLV % hemisphere", BE13/2, BA13="Indirect rLV % hemisphere", BE13/2, AND(F13="Mouse", BA13="mm3"), (BE13/508.91)*100, AND(F13="Rat", BA13="mm3"), (BE13/1971)*100, AND(F13="Mouse", BA13="ul"), (BE13/508.91)*100, AND(F13="Rat", BA13="ul"), (BE13/1971)*100,  AND(F13="Mouse", BA13="nl"), (BE13/508910)*100, AND(F13="Rat", BA13="nl"), (BE13/1971000)*100, AND(F13="Mouse", BA13="cm3"), (BE13/0.50891)*100, AND(F13="Rat", BA13="cm3"), (BE13/1.971)*100, AND(F13="Mouse", BA13="mL"), (BE13/0.50891)*100, AND(F13="Rat", BA13="mL"), (BE13/1.971)*100, TRUE, "NA")</f>
        <v>0.80540374766045375</v>
      </c>
      <c r="BG13" cm="1">
        <f t="array" ref="BG13">_xlfn.IFS(AZ13="NA", "NA", BB13="NR", "NA", BB13="SD", AZ13, BB13="SE", AZ13*(SQRT(R13)), BB13="SEM", AZ13*(SQRT(R13)), TRUE, "NA")</f>
        <v>7.9372539331937721</v>
      </c>
      <c r="BH13" s="32" t="s">
        <v>153</v>
      </c>
      <c r="BI13" s="31" t="s">
        <v>153</v>
      </c>
      <c r="BJ13" s="31" t="s">
        <v>154</v>
      </c>
    </row>
    <row r="14" spans="1:63" s="31" customFormat="1" x14ac:dyDescent="0.3">
      <c r="A14" s="31" t="s">
        <v>697</v>
      </c>
      <c r="B14" s="31" t="s">
        <v>696</v>
      </c>
      <c r="C14" s="31">
        <v>2001</v>
      </c>
      <c r="D14" s="31" t="s">
        <v>698</v>
      </c>
      <c r="E14" s="31" t="s">
        <v>678</v>
      </c>
      <c r="F14" s="32" t="s">
        <v>23</v>
      </c>
      <c r="G14" s="31" t="s">
        <v>11</v>
      </c>
      <c r="H14" s="31" t="s">
        <v>34</v>
      </c>
      <c r="I14" s="31" t="s">
        <v>12</v>
      </c>
      <c r="J14" s="31" t="s">
        <v>8</v>
      </c>
      <c r="K14" s="31" t="s">
        <v>9</v>
      </c>
      <c r="L14" s="31" t="s">
        <v>9</v>
      </c>
      <c r="M14" s="31" t="s">
        <v>9</v>
      </c>
      <c r="N14" s="31">
        <v>250</v>
      </c>
      <c r="O14" s="31">
        <f t="shared" si="1"/>
        <v>265</v>
      </c>
      <c r="P14" s="31">
        <v>280</v>
      </c>
      <c r="Q14" s="31">
        <v>1</v>
      </c>
      <c r="R14" s="31">
        <v>7</v>
      </c>
      <c r="S14" s="31">
        <v>6</v>
      </c>
      <c r="T14" s="31">
        <v>3</v>
      </c>
      <c r="U14" s="32" t="s">
        <v>71</v>
      </c>
      <c r="V14" s="31" t="s">
        <v>98</v>
      </c>
      <c r="W14" s="31" t="s">
        <v>8</v>
      </c>
      <c r="X14" s="31" t="s">
        <v>12</v>
      </c>
      <c r="Y14" s="31" t="s">
        <v>8</v>
      </c>
      <c r="Z14" s="31" t="s">
        <v>8</v>
      </c>
      <c r="AA14" s="31" t="s">
        <v>648</v>
      </c>
      <c r="AB14" s="31" t="s">
        <v>637</v>
      </c>
      <c r="AC14" s="31" t="s">
        <v>153</v>
      </c>
      <c r="AD14" s="31" t="s">
        <v>610</v>
      </c>
      <c r="AE14" s="31">
        <v>24</v>
      </c>
      <c r="AF14" s="31">
        <v>120</v>
      </c>
      <c r="AG14" s="31" t="s">
        <v>650</v>
      </c>
      <c r="AH14" s="31">
        <v>6</v>
      </c>
      <c r="AI14" cm="1">
        <f t="array" ref="AI14">_xlfn.IFS(AF14="NR", "NA", AG14="NR", "NA", AG14="NA","NA", AND(AG14="mg/ml", AH14&lt;&gt;"NR"), ((AF14/2492)*AH14*1000000), AND(AG14="mol/L", AH14&lt;&gt;"NR"), AF14*AH14*1000000, AG14="nmol", AF14*1000, AND(AG14="nmol/uL", AH14&lt;&gt;"NR"), AF14*AH14*1000, AG14="pg", AF14/2492, AG14="pmol", AF14, AND(AG14="pmol/uL", AH14&lt;&gt;"NR"), AF14*AH14, AG14="ug", AF14/2492*1000000, AND(AG14="ug/mL", AH14&lt;&gt;"NR"), (AF14/1000*AH14)/2492*1000000, AND(AG14="ug/uL", AH14&lt;&gt;"NR"), (AF14*AH14)/2492*1000000, AND(AG14="umol/L", AH14&lt;&gt;"NR"), AH14*AF14, TRUE, "NA")</f>
        <v>120</v>
      </c>
      <c r="AJ14" s="31">
        <v>6</v>
      </c>
      <c r="AK14" s="31">
        <v>1</v>
      </c>
      <c r="AL14" s="31" t="s">
        <v>701</v>
      </c>
      <c r="AM14" s="31" t="s">
        <v>731</v>
      </c>
      <c r="AN14" s="31" t="s">
        <v>9</v>
      </c>
      <c r="AO14" s="32" t="s">
        <v>451</v>
      </c>
      <c r="AP14" t="s">
        <v>1228</v>
      </c>
      <c r="AQ14" s="31">
        <v>0.5</v>
      </c>
      <c r="AR14" s="31" t="s">
        <v>103</v>
      </c>
      <c r="AS14" s="32">
        <v>24</v>
      </c>
      <c r="AT14" s="31" t="s">
        <v>271</v>
      </c>
      <c r="AU14" s="31" t="s">
        <v>652</v>
      </c>
      <c r="AV14" s="31" t="s">
        <v>674</v>
      </c>
      <c r="AW14" s="31">
        <v>65</v>
      </c>
      <c r="AX14" s="31">
        <v>6</v>
      </c>
      <c r="AY14" s="31">
        <v>72.8</v>
      </c>
      <c r="AZ14" s="31">
        <v>4.54</v>
      </c>
      <c r="BA14" s="31" t="s">
        <v>656</v>
      </c>
      <c r="BB14" s="31" t="s">
        <v>123</v>
      </c>
      <c r="BC14" cm="1">
        <f t="array" ref="BC14">_xlfn.IFS(BA14="Direct rLV % whole brain", AW14, BA14="Indirect rLV % whole brain", AW14, BA14="Direct rLV % hemisphere", AW14/2, BA14="Indirect rLV % hemisphere", AW14/2, AND(F14="Mouse", BA14="mm3"), (AW14/508.91)*100, AND(F14="Rat", BA14="mm3"), (AW14/1971)*100, AND(F14="Mouse", BA14="ul"), (AW14/508.91)*100, AND(F14="Rat", BA14="ul"), (AW14/1971)*100,  AND(F14="Mouse", BA14="nl"), (AW14/508910)*100, AND(F14="Rat", BA14="nl"), (AW14/1971000)*100, AND(F14="Mouse", BA14="cm3"), (AW14/0.50891)*100, AND(F14="Rat", BA14="cm3"), (AW14/1.971)*100, AND(F14="Mouse", BA14="mL"), (AW14/0.50891)*100, AND(F14="Rat", BA14="mL"), (AW14/1.971)*100, TRUE, "NA")</f>
        <v>3.2978183663115166</v>
      </c>
      <c r="BD14" cm="1">
        <f t="array" ref="BD14">_xlfn.IFS(AZ14="NA", "NA",BA14="Direct rLV % whole brain", AY14, BA14="Indirect rLV % whole brain", AY14, BA14="Direct rLV % hemisphere", AY14/2, BA14="Indirect rLV % hemisphere", AY14/2, AND(F14="Mouse", BA14="mm3"), (AY14/508.91)*100, AND(F14="Rat", BA14="mm3"), (AY14/1971)*100, AND(F14="Mouse", BA14="ul"), (AY14/508.91)*100, AND(F14="Rat", BA14="ul"), (AY14/1971)*100,  AND(F14="Mouse", BA14="nl"), (AY14/508910)*100, AND(F14="Rat", BA14="nl"), (AY14/1971000)*100, AND(F14="Mouse", BA14="cm3"), (AY14/0.50891)*100, AND(F14="Rat", BA14="cm3"), (AY14/1.971)*100, AND(F14="Mouse", BA14="mL"), (AY14/0.50891)*100, AND(F14="Rat", BA14="mL"), (AY14/1.971)*100, TRUE, "NA")</f>
        <v>3.6935565702688988</v>
      </c>
      <c r="BE14" cm="1">
        <f t="array" ref="BE14">_xlfn.IFS(AX14="NA", "NA", BB14="NR", "NA", BB14="SD", AX14, BB14="SE", AX14*(SQRT(R14)), BB14="SEM", AX14*(SQRT(R14)), TRUE, "NA")</f>
        <v>15.874507866387544</v>
      </c>
      <c r="BF14" cm="1">
        <f t="array" ref="BF14">_xlfn.IFS(BE14="NA", "NA",BA14="Direct rLV % whole brain", BE14, BA14="Indirect rLV % whole brain", BE14, BA14="Direct rLV % hemisphere", BE14/2, BA14="Indirect rLV % hemisphere", BE14/2, AND(F14="Mouse", BA14="mm3"), (BE14/508.91)*100, AND(F14="Rat", BA14="mm3"), (BE14/1971)*100, AND(F14="Mouse", BA14="ul"), (BE14/508.91)*100, AND(F14="Rat", BA14="ul"), (BE14/1971)*100,  AND(F14="Mouse", BA14="nl"), (BE14/508910)*100, AND(F14="Rat", BA14="nl"), (BE14/1971000)*100, AND(F14="Mouse", BA14="cm3"), (BE14/0.50891)*100, AND(F14="Rat", BA14="cm3"), (BE14/1.971)*100, AND(F14="Mouse", BA14="mL"), (BE14/0.50891)*100, AND(F14="Rat", BA14="mL"), (BE14/1.971)*100, TRUE, "NA")</f>
        <v>0.80540374766045375</v>
      </c>
      <c r="BG14" cm="1">
        <f t="array" ref="BG14">_xlfn.IFS(AZ14="NA", "NA", BB14="NR", "NA", BB14="SD", AZ14, BB14="SE", AZ14*(SQRT(R14)), BB14="SEM", AZ14*(SQRT(R14)), TRUE, "NA")</f>
        <v>12.011710952233242</v>
      </c>
      <c r="BH14" s="32" t="s">
        <v>153</v>
      </c>
      <c r="BI14" s="31" t="s">
        <v>153</v>
      </c>
      <c r="BJ14" s="31" t="s">
        <v>154</v>
      </c>
    </row>
    <row r="15" spans="1:63" s="31" customFormat="1" x14ac:dyDescent="0.3">
      <c r="A15" s="31" t="s">
        <v>697</v>
      </c>
      <c r="B15" s="31" t="s">
        <v>696</v>
      </c>
      <c r="C15" s="31">
        <v>2001</v>
      </c>
      <c r="D15" s="31" t="s">
        <v>698</v>
      </c>
      <c r="E15" s="31" t="s">
        <v>699</v>
      </c>
      <c r="F15" s="32" t="s">
        <v>23</v>
      </c>
      <c r="G15" s="31" t="s">
        <v>11</v>
      </c>
      <c r="H15" s="31" t="s">
        <v>34</v>
      </c>
      <c r="I15" s="31" t="s">
        <v>12</v>
      </c>
      <c r="J15" s="31" t="s">
        <v>8</v>
      </c>
      <c r="K15" s="31" t="s">
        <v>9</v>
      </c>
      <c r="L15" s="31" t="s">
        <v>9</v>
      </c>
      <c r="M15" s="31" t="s">
        <v>9</v>
      </c>
      <c r="N15" s="31">
        <v>250</v>
      </c>
      <c r="O15" s="31">
        <f t="shared" si="1"/>
        <v>265</v>
      </c>
      <c r="P15" s="31">
        <v>280</v>
      </c>
      <c r="Q15" s="31">
        <v>1</v>
      </c>
      <c r="R15" s="31">
        <v>7</v>
      </c>
      <c r="S15" s="31">
        <v>6</v>
      </c>
      <c r="T15" s="31">
        <v>3</v>
      </c>
      <c r="U15" s="32" t="s">
        <v>71</v>
      </c>
      <c r="V15" s="31" t="s">
        <v>98</v>
      </c>
      <c r="W15" s="31" t="s">
        <v>8</v>
      </c>
      <c r="X15" s="31" t="s">
        <v>12</v>
      </c>
      <c r="Y15" s="31" t="s">
        <v>8</v>
      </c>
      <c r="Z15" s="31" t="s">
        <v>8</v>
      </c>
      <c r="AA15" s="31" t="s">
        <v>648</v>
      </c>
      <c r="AB15" s="31" t="s">
        <v>637</v>
      </c>
      <c r="AC15" s="31" t="s">
        <v>153</v>
      </c>
      <c r="AD15" s="31" t="s">
        <v>610</v>
      </c>
      <c r="AE15" s="31">
        <v>24</v>
      </c>
      <c r="AF15" s="31">
        <v>120</v>
      </c>
      <c r="AG15" s="31" t="s">
        <v>650</v>
      </c>
      <c r="AH15" s="31">
        <v>6</v>
      </c>
      <c r="AI15" cm="1">
        <f t="array" ref="AI15">_xlfn.IFS(AF15="NR", "NA", AG15="NR", "NA", AG15="NA","NA", AND(AG15="mg/ml", AH15&lt;&gt;"NR"), ((AF15/2492)*AH15*1000000), AND(AG15="mol/L", AH15&lt;&gt;"NR"), AF15*AH15*1000000, AG15="nmol", AF15*1000, AND(AG15="nmol/uL", AH15&lt;&gt;"NR"), AF15*AH15*1000, AG15="pg", AF15/2492, AG15="pmol", AF15, AND(AG15="pmol/uL", AH15&lt;&gt;"NR"), AF15*AH15, AG15="ug", AF15/2492*1000000, AND(AG15="ug/mL", AH15&lt;&gt;"NR"), (AF15/1000*AH15)/2492*1000000, AND(AG15="ug/uL", AH15&lt;&gt;"NR"), (AF15*AH15)/2492*1000000, AND(AG15="umol/L", AH15&lt;&gt;"NR"), AH15*AF15, TRUE, "NA")</f>
        <v>120</v>
      </c>
      <c r="AJ15" s="31">
        <v>6</v>
      </c>
      <c r="AK15" s="31">
        <v>1</v>
      </c>
      <c r="AL15" s="31" t="s">
        <v>701</v>
      </c>
      <c r="AM15" s="31" t="s">
        <v>731</v>
      </c>
      <c r="AN15" s="31" t="s">
        <v>9</v>
      </c>
      <c r="AO15" s="32" t="s">
        <v>707</v>
      </c>
      <c r="AP15" t="s">
        <v>1228</v>
      </c>
      <c r="AQ15" s="31">
        <v>0.5</v>
      </c>
      <c r="AR15" s="31" t="s">
        <v>103</v>
      </c>
      <c r="AS15" s="32">
        <v>24</v>
      </c>
      <c r="AT15" s="31" t="s">
        <v>271</v>
      </c>
      <c r="AU15" s="31" t="s">
        <v>652</v>
      </c>
      <c r="AV15" s="31" t="s">
        <v>674</v>
      </c>
      <c r="AW15" s="31">
        <v>65</v>
      </c>
      <c r="AX15" s="31">
        <v>6</v>
      </c>
      <c r="AY15" s="31">
        <v>69.41</v>
      </c>
      <c r="AZ15" s="31">
        <v>4.24</v>
      </c>
      <c r="BA15" s="31" t="s">
        <v>656</v>
      </c>
      <c r="BB15" s="31" t="s">
        <v>123</v>
      </c>
      <c r="BC15" cm="1">
        <f t="array" ref="BC15">_xlfn.IFS(BA15="Direct rLV % whole brain", AW15, BA15="Indirect rLV % whole brain", AW15, BA15="Direct rLV % hemisphere", AW15/2, BA15="Indirect rLV % hemisphere", AW15/2, AND(F15="Mouse", BA15="mm3"), (AW15/508.91)*100, AND(F15="Rat", BA15="mm3"), (AW15/1971)*100, AND(F15="Mouse", BA15="ul"), (AW15/508.91)*100, AND(F15="Rat", BA15="ul"), (AW15/1971)*100,  AND(F15="Mouse", BA15="nl"), (AW15/508910)*100, AND(F15="Rat", BA15="nl"), (AW15/1971000)*100, AND(F15="Mouse", BA15="cm3"), (AW15/0.50891)*100, AND(F15="Rat", BA15="cm3"), (AW15/1.971)*100, AND(F15="Mouse", BA15="mL"), (AW15/0.50891)*100, AND(F15="Rat", BA15="mL"), (AW15/1.971)*100, TRUE, "NA")</f>
        <v>3.2978183663115166</v>
      </c>
      <c r="BD15" cm="1">
        <f t="array" ref="BD15">_xlfn.IFS(AZ15="NA", "NA",BA15="Direct rLV % whole brain", AY15, BA15="Indirect rLV % whole brain", AY15, BA15="Direct rLV % hemisphere", AY15/2, BA15="Indirect rLV % hemisphere", AY15/2, AND(F15="Mouse", BA15="mm3"), (AY15/508.91)*100, AND(F15="Rat", BA15="mm3"), (AY15/1971)*100, AND(F15="Mouse", BA15="ul"), (AY15/508.91)*100, AND(F15="Rat", BA15="ul"), (AY15/1971)*100,  AND(F15="Mouse", BA15="nl"), (AY15/508910)*100, AND(F15="Rat", BA15="nl"), (AY15/1971000)*100, AND(F15="Mouse", BA15="cm3"), (AY15/0.50891)*100, AND(F15="Rat", BA15="cm3"), (AY15/1.971)*100, AND(F15="Mouse", BA15="mL"), (AY15/0.50891)*100, AND(F15="Rat", BA15="mL"), (AY15/1.971)*100, TRUE, "NA")</f>
        <v>3.5215626585489592</v>
      </c>
      <c r="BE15" cm="1">
        <f t="array" ref="BE15">_xlfn.IFS(AX15="NA", "NA", BB15="NR", "NA", BB15="SD", AX15, BB15="SE", AX15*(SQRT(R15)), BB15="SEM", AX15*(SQRT(R15)), TRUE, "NA")</f>
        <v>15.874507866387544</v>
      </c>
      <c r="BF15" cm="1">
        <f t="array" ref="BF15">_xlfn.IFS(BE15="NA", "NA",BA15="Direct rLV % whole brain", BE15, BA15="Indirect rLV % whole brain", BE15, BA15="Direct rLV % hemisphere", BE15/2, BA15="Indirect rLV % hemisphere", BE15/2, AND(F15="Mouse", BA15="mm3"), (BE15/508.91)*100, AND(F15="Rat", BA15="mm3"), (BE15/1971)*100, AND(F15="Mouse", BA15="ul"), (BE15/508.91)*100, AND(F15="Rat", BA15="ul"), (BE15/1971)*100,  AND(F15="Mouse", BA15="nl"), (BE15/508910)*100, AND(F15="Rat", BA15="nl"), (BE15/1971000)*100, AND(F15="Mouse", BA15="cm3"), (BE15/0.50891)*100, AND(F15="Rat", BA15="cm3"), (BE15/1.971)*100, AND(F15="Mouse", BA15="mL"), (BE15/0.50891)*100, AND(F15="Rat", BA15="mL"), (BE15/1.971)*100, TRUE, "NA")</f>
        <v>0.80540374766045375</v>
      </c>
      <c r="BG15" cm="1">
        <f t="array" ref="BG15">_xlfn.IFS(AZ15="NA", "NA", BB15="NR", "NA", BB15="SD", AZ15, BB15="SE", AZ15*(SQRT(R15)), BB15="SEM", AZ15*(SQRT(R15)), TRUE, "NA")</f>
        <v>11.217985558913865</v>
      </c>
      <c r="BH15" s="32" t="s">
        <v>153</v>
      </c>
      <c r="BI15" s="31" t="s">
        <v>153</v>
      </c>
      <c r="BJ15" s="31" t="s">
        <v>154</v>
      </c>
    </row>
    <row r="16" spans="1:63" x14ac:dyDescent="0.3">
      <c r="A16" t="s">
        <v>709</v>
      </c>
      <c r="B16" t="s">
        <v>708</v>
      </c>
      <c r="C16">
        <v>1999</v>
      </c>
      <c r="D16" t="s">
        <v>710</v>
      </c>
      <c r="E16" t="s">
        <v>647</v>
      </c>
      <c r="F16" s="18" t="s">
        <v>23</v>
      </c>
      <c r="G16" t="s">
        <v>10</v>
      </c>
      <c r="H16" t="s">
        <v>34</v>
      </c>
      <c r="I16" t="s">
        <v>12</v>
      </c>
      <c r="J16" t="s">
        <v>8</v>
      </c>
      <c r="K16" t="s">
        <v>9</v>
      </c>
      <c r="L16" t="s">
        <v>9</v>
      </c>
      <c r="M16" t="s">
        <v>9</v>
      </c>
      <c r="N16">
        <v>280</v>
      </c>
      <c r="O16">
        <f t="shared" si="1"/>
        <v>300</v>
      </c>
      <c r="P16">
        <v>320</v>
      </c>
      <c r="Q16">
        <v>1</v>
      </c>
      <c r="R16">
        <v>11</v>
      </c>
      <c r="S16">
        <v>1</v>
      </c>
      <c r="T16">
        <v>11</v>
      </c>
      <c r="U16" s="18" t="s">
        <v>66</v>
      </c>
      <c r="V16" t="s">
        <v>8</v>
      </c>
      <c r="W16" t="s">
        <v>8</v>
      </c>
      <c r="X16" t="s">
        <v>66</v>
      </c>
      <c r="Y16" t="s">
        <v>8</v>
      </c>
      <c r="Z16" t="s">
        <v>8</v>
      </c>
      <c r="AA16" t="s">
        <v>9</v>
      </c>
      <c r="AB16" t="s">
        <v>636</v>
      </c>
      <c r="AC16" t="s">
        <v>153</v>
      </c>
      <c r="AD16" t="s">
        <v>634</v>
      </c>
      <c r="AE16">
        <v>0</v>
      </c>
      <c r="AF16">
        <v>200</v>
      </c>
      <c r="AG16" t="s">
        <v>650</v>
      </c>
      <c r="AH16">
        <v>3</v>
      </c>
      <c r="AI16" cm="1">
        <f t="array" ref="AI16">_xlfn.IFS(AF16="NR", "NA", AG16="NR", "NA", AG16="NA","NA", AND(AG16="mg/ml", AH16&lt;&gt;"NR"), ((AF16/2492)*AH16*1000000), AND(AG16="mol/L", AH16&lt;&gt;"NR"), AF16*AH16*1000000, AG16="nmol", AF16*1000, AND(AG16="nmol/uL", AH16&lt;&gt;"NR"), AF16*AH16*1000, AG16="pg", AF16/2492, AG16="pmol", AF16, AND(AG16="pmol/uL", AH16&lt;&gt;"NR"), AF16*AH16, AG16="ug", AF16/2492*1000000, AND(AG16="ug/mL", AH16&lt;&gt;"NR"), (AF16/1000*AH16)/2492*1000000, AND(AG16="ug/uL", AH16&lt;&gt;"NR"), (AF16*AH16)/2492*1000000, AND(AG16="umol/L", AH16&lt;&gt;"NR"), AH16*AF16, TRUE, "NA")</f>
        <v>200</v>
      </c>
      <c r="AJ16" t="s">
        <v>9</v>
      </c>
      <c r="AK16">
        <v>1</v>
      </c>
      <c r="AL16" t="s">
        <v>9</v>
      </c>
      <c r="AM16" t="s">
        <v>8</v>
      </c>
      <c r="AN16" t="s">
        <v>9</v>
      </c>
      <c r="AO16" s="18" t="s">
        <v>711</v>
      </c>
      <c r="AP16" t="s">
        <v>1228</v>
      </c>
      <c r="AQ16">
        <v>0</v>
      </c>
      <c r="AR16" t="s">
        <v>102</v>
      </c>
      <c r="AS16" s="18">
        <v>72</v>
      </c>
      <c r="AT16" t="s">
        <v>271</v>
      </c>
      <c r="AU16" t="s">
        <v>652</v>
      </c>
      <c r="AV16" t="s">
        <v>674</v>
      </c>
      <c r="AW16">
        <v>116.64</v>
      </c>
      <c r="AX16">
        <v>16.48</v>
      </c>
      <c r="AY16">
        <v>102.08</v>
      </c>
      <c r="AZ16">
        <v>12.8</v>
      </c>
      <c r="BA16" t="s">
        <v>656</v>
      </c>
      <c r="BB16" t="s">
        <v>123</v>
      </c>
      <c r="BC16" cm="1">
        <f t="array" ref="BC16">_xlfn.IFS(BA16="Direct rLV % whole brain", AW16, BA16="Indirect rLV % whole brain", AW16, BA16="Direct rLV % hemisphere", AW16/2, BA16="Indirect rLV % hemisphere", AW16/2, AND(F16="Mouse", BA16="mm3"), (AW16/508.91)*100, AND(F16="Rat", BA16="mm3"), (AW16/1971)*100, AND(F16="Mouse", BA16="ul"), (AW16/508.91)*100, AND(F16="Rat", BA16="ul"), (AW16/1971)*100,  AND(F16="Mouse", BA16="nl"), (AW16/508910)*100, AND(F16="Rat", BA16="nl"), (AW16/1971000)*100, AND(F16="Mouse", BA16="cm3"), (AW16/0.50891)*100, AND(F16="Rat", BA16="cm3"), (AW16/1.971)*100, AND(F16="Mouse", BA16="mL"), (AW16/0.50891)*100, AND(F16="Rat", BA16="mL"), (AW16/1.971)*100, TRUE, "NA")</f>
        <v>5.9178082191780819</v>
      </c>
      <c r="BD16" cm="1">
        <f t="array" ref="BD16">_xlfn.IFS(AZ16="NA", "NA",BA16="Direct rLV % whole brain", AY16, BA16="Indirect rLV % whole brain", AY16, BA16="Direct rLV % hemisphere", AY16/2, BA16="Indirect rLV % hemisphere", AY16/2, AND(F16="Mouse", BA16="mm3"), (AY16/508.91)*100, AND(F16="Rat", BA16="mm3"), (AY16/1971)*100, AND(F16="Mouse", BA16="ul"), (AY16/508.91)*100, AND(F16="Rat", BA16="ul"), (AY16/1971)*100,  AND(F16="Mouse", BA16="nl"), (AY16/508910)*100, AND(F16="Rat", BA16="nl"), (AY16/1971000)*100, AND(F16="Mouse", BA16="cm3"), (AY16/0.50891)*100, AND(F16="Rat", BA16="cm3"), (AY16/1.971)*100, AND(F16="Mouse", BA16="mL"), (AY16/0.50891)*100, AND(F16="Rat", BA16="mL"), (AY16/1.971)*100, TRUE, "NA")</f>
        <v>5.1790969051243021</v>
      </c>
      <c r="BE16" cm="1">
        <f t="array" ref="BE16">_xlfn.IFS(AX16="NA", "NA", BB16="NR", "NA", BB16="SD", AX16, BB16="SE", AX16*(SQRT(R16)), BB16="SEM", AX16*(SQRT(R16)), TRUE, "NA")</f>
        <v>54.657976545056989</v>
      </c>
      <c r="BF16" cm="1">
        <f t="array" ref="BF16">_xlfn.IFS(BE16="NA", "NA",BA16="Direct rLV % whole brain", BE16, BA16="Indirect rLV % whole brain", BE16, BA16="Direct rLV % hemisphere", BE16/2, BA16="Indirect rLV % hemisphere", BE16/2, AND(F16="Mouse", BA16="mm3"), (BE16/508.91)*100, AND(F16="Rat", BA16="mm3"), (BE16/1971)*100, AND(F16="Mouse", BA16="ul"), (BE16/508.91)*100, AND(F16="Rat", BA16="ul"), (BE16/1971)*100,  AND(F16="Mouse", BA16="nl"), (BE16/508910)*100, AND(F16="Rat", BA16="nl"), (BE16/1971000)*100, AND(F16="Mouse", BA16="cm3"), (BE16/0.50891)*100, AND(F16="Rat", BA16="cm3"), (BE16/1.971)*100, AND(F16="Mouse", BA16="mL"), (BE16/0.50891)*100, AND(F16="Rat", BA16="mL"), (BE16/1.971)*100, TRUE, "NA")</f>
        <v>2.7731089063955854</v>
      </c>
      <c r="BG16" cm="1">
        <f t="array" ref="BG16">_xlfn.IFS(AZ16="NA", "NA", BB16="NR", "NA", BB16="SD", AZ16, BB16="SE", AZ16*(SQRT(R16)), BB16="SEM", AZ16*(SQRT(R16)), TRUE, "NA")</f>
        <v>42.452797316549123</v>
      </c>
      <c r="BH16" s="18" t="s">
        <v>154</v>
      </c>
      <c r="BI16" t="s">
        <v>154</v>
      </c>
      <c r="BJ16" t="s">
        <v>153</v>
      </c>
    </row>
    <row r="17" spans="1:63" s="31" customFormat="1" x14ac:dyDescent="0.3">
      <c r="A17" s="39" t="s">
        <v>713</v>
      </c>
      <c r="B17" s="31" t="s">
        <v>712</v>
      </c>
      <c r="C17" s="31">
        <v>2004</v>
      </c>
      <c r="D17" s="31" t="s">
        <v>714</v>
      </c>
      <c r="E17" s="31" t="s">
        <v>647</v>
      </c>
      <c r="F17" s="32" t="s">
        <v>23</v>
      </c>
      <c r="G17" s="31" t="s">
        <v>47</v>
      </c>
      <c r="H17" s="31" t="s">
        <v>34</v>
      </c>
      <c r="I17" s="31" t="s">
        <v>12</v>
      </c>
      <c r="J17" s="31" t="s">
        <v>8</v>
      </c>
      <c r="K17" s="31" t="s">
        <v>9</v>
      </c>
      <c r="L17" s="31" t="s">
        <v>9</v>
      </c>
      <c r="M17" s="31" t="s">
        <v>9</v>
      </c>
      <c r="N17" s="31">
        <v>300</v>
      </c>
      <c r="O17" s="31">
        <f t="shared" si="1"/>
        <v>325</v>
      </c>
      <c r="P17" s="31">
        <v>350</v>
      </c>
      <c r="Q17" s="31">
        <v>1</v>
      </c>
      <c r="R17" s="31">
        <v>8</v>
      </c>
      <c r="S17" s="31">
        <v>2</v>
      </c>
      <c r="T17" s="31">
        <v>8</v>
      </c>
      <c r="U17" s="32" t="s">
        <v>111</v>
      </c>
      <c r="V17" s="31" t="s">
        <v>8</v>
      </c>
      <c r="W17" s="31" t="s">
        <v>8</v>
      </c>
      <c r="X17" s="31" t="s">
        <v>12</v>
      </c>
      <c r="Y17" s="31" t="s">
        <v>8</v>
      </c>
      <c r="Z17" s="31" t="s">
        <v>8</v>
      </c>
      <c r="AA17" s="31" t="s">
        <v>648</v>
      </c>
      <c r="AB17" s="31" t="s">
        <v>636</v>
      </c>
      <c r="AC17" s="31" t="s">
        <v>153</v>
      </c>
      <c r="AD17" s="31" t="s">
        <v>610</v>
      </c>
      <c r="AE17" s="31">
        <v>72</v>
      </c>
      <c r="AF17" s="31">
        <v>120</v>
      </c>
      <c r="AG17" s="31" t="s">
        <v>650</v>
      </c>
      <c r="AH17" s="31">
        <v>6</v>
      </c>
      <c r="AI17" cm="1">
        <f t="array" ref="AI17">_xlfn.IFS(AF17="NR", "NA", AG17="NR", "NA", AG17="NA","NA", AND(AG17="mg/ml", AH17&lt;&gt;"NR"), ((AF17/2492)*AH17*1000000), AND(AG17="mol/L", AH17&lt;&gt;"NR"), AF17*AH17*1000000, AG17="nmol", AF17*1000, AND(AG17="nmol/uL", AH17&lt;&gt;"NR"), AF17*AH17*1000, AG17="pg", AF17/2492, AG17="pmol", AF17, AND(AG17="pmol/uL", AH17&lt;&gt;"NR"), AF17*AH17, AG17="ug", AF17/2492*1000000, AND(AG17="ug/mL", AH17&lt;&gt;"NR"), (AF17/1000*AH17)/2492*1000000, AND(AG17="ug/uL", AH17&lt;&gt;"NR"), (AF17*AH17)/2492*1000000, AND(AG17="umol/L", AH17&lt;&gt;"NR"), AH17*AF17, TRUE, "NA")</f>
        <v>120</v>
      </c>
      <c r="AJ17" s="31">
        <v>6</v>
      </c>
      <c r="AK17" s="31">
        <v>1</v>
      </c>
      <c r="AL17" s="31" t="s">
        <v>9</v>
      </c>
      <c r="AM17" s="31" t="s">
        <v>8</v>
      </c>
      <c r="AN17" s="31" t="s">
        <v>9</v>
      </c>
      <c r="AO17" s="32" t="s">
        <v>717</v>
      </c>
      <c r="AP17" t="s">
        <v>1228</v>
      </c>
      <c r="AQ17" s="31">
        <v>0.5</v>
      </c>
      <c r="AR17" s="31" t="s">
        <v>103</v>
      </c>
      <c r="AS17" s="32">
        <v>72</v>
      </c>
      <c r="AT17" s="31" t="s">
        <v>271</v>
      </c>
      <c r="AU17" s="31" t="s">
        <v>1243</v>
      </c>
      <c r="AV17" s="31" t="s">
        <v>728</v>
      </c>
      <c r="AW17" s="31">
        <f>145.45+34.64</f>
        <v>180.08999999999997</v>
      </c>
      <c r="AX17" s="31">
        <f>SQRT((18.89*SQRT(R17))^2 + (3.92*SQRT(R17))^2)</f>
        <v>54.567279573018851</v>
      </c>
      <c r="AY17" s="31">
        <f>29.37+15.03</f>
        <v>44.4</v>
      </c>
      <c r="AZ17" s="31">
        <f>SQRT((9.09*SQRT(T17))^2 + ( 5.23*SQRT(T17))^2)</f>
        <v>29.662231878265668</v>
      </c>
      <c r="BA17" s="31" t="s">
        <v>656</v>
      </c>
      <c r="BB17" s="31" t="s">
        <v>122</v>
      </c>
      <c r="BC17" cm="1">
        <f t="array" ref="BC17">_xlfn.IFS(BA17="Direct rLV % whole brain", AW17, BA17="Indirect rLV % whole brain", AW17, BA17="Direct rLV % hemisphere", AW17/2, BA17="Indirect rLV % hemisphere", AW17/2, AND(F17="Mouse", BA17="mm3"), (AW17/508.91)*100, AND(F17="Rat", BA17="mm3"), (AW17/1971)*100, AND(F17="Mouse", BA17="ul"), (AW17/508.91)*100, AND(F17="Rat", BA17="ul"), (AW17/1971)*100,  AND(F17="Mouse", BA17="nl"), (AW17/508910)*100, AND(F17="Rat", BA17="nl"), (AW17/1971000)*100, AND(F17="Mouse", BA17="cm3"), (AW17/0.50891)*100, AND(F17="Rat", BA17="cm3"), (AW17/1.971)*100, AND(F17="Mouse", BA17="mL"), (AW17/0.50891)*100, AND(F17="Rat", BA17="mL"), (AW17/1.971)*100, TRUE, "NA")</f>
        <v>9.1369863013698627</v>
      </c>
      <c r="BD17" cm="1">
        <f t="array" ref="BD17">_xlfn.IFS(AZ17="NA", "NA",BA17="Direct rLV % whole brain", AY17, BA17="Indirect rLV % whole brain", AY17, BA17="Direct rLV % hemisphere", AY17/2, BA17="Indirect rLV % hemisphere", AY17/2, AND(F17="Mouse", BA17="mm3"), (AY17/508.91)*100, AND(F17="Rat", BA17="mm3"), (AY17/1971)*100, AND(F17="Mouse", BA17="ul"), (AY17/508.91)*100, AND(F17="Rat", BA17="ul"), (AY17/1971)*100,  AND(F17="Mouse", BA17="nl"), (AY17/508910)*100, AND(F17="Rat", BA17="nl"), (AY17/1971000)*100, AND(F17="Mouse", BA17="cm3"), (AY17/0.50891)*100, AND(F17="Rat", BA17="cm3"), (AY17/1.971)*100, AND(F17="Mouse", BA17="mL"), (AY17/0.50891)*100, AND(F17="Rat", BA17="mL"), (AY17/1.971)*100, TRUE, "NA")</f>
        <v>2.2526636225266361</v>
      </c>
      <c r="BE17" cm="1">
        <f t="array" ref="BE17">_xlfn.IFS(AX17="NA", "NA", BB17="NR", "NA", BB17="SD", AX17, BB17="SE", AX17*(SQRT(R17)), BB17="SEM", AX17*(SQRT(R17)), TRUE, "NA")</f>
        <v>54.567279573018851</v>
      </c>
      <c r="BF17" cm="1">
        <f t="array" ref="BF17">_xlfn.IFS(BE17="NA", "NA",BA17="Direct rLV % whole brain", BE17, BA17="Indirect rLV % whole brain", BE17, BA17="Direct rLV % hemisphere", BE17/2, BA17="Indirect rLV % hemisphere", BE17/2, AND(F17="Mouse", BA17="mm3"), (BE17/508.91)*100, AND(F17="Rat", BA17="mm3"), (BE17/1971)*100, AND(F17="Mouse", BA17="ul"), (BE17/508.91)*100, AND(F17="Rat", BA17="ul"), (BE17/1971)*100,  AND(F17="Mouse", BA17="nl"), (BE17/508910)*100, AND(F17="Rat", BA17="nl"), (BE17/1971000)*100, AND(F17="Mouse", BA17="cm3"), (BE17/0.50891)*100, AND(F17="Rat", BA17="cm3"), (BE17/1.971)*100, AND(F17="Mouse", BA17="mL"), (BE17/0.50891)*100, AND(F17="Rat", BA17="mL"), (BE17/1.971)*100, TRUE, "NA")</f>
        <v>2.7685073350085667</v>
      </c>
      <c r="BG17" cm="1">
        <f t="array" ref="BG17">_xlfn.IFS(AZ17="NA", "NA", BB17="NR", "NA", BB17="SD", AZ17, BB17="SE", AZ17*(SQRT(R17)), BB17="SEM", AZ17*(SQRT(R17)), TRUE, "NA")</f>
        <v>29.662231878265668</v>
      </c>
      <c r="BH17" s="32" t="s">
        <v>154</v>
      </c>
      <c r="BI17" s="31" t="s">
        <v>153</v>
      </c>
      <c r="BJ17" s="31" t="s">
        <v>153</v>
      </c>
      <c r="BK17" s="31" t="s">
        <v>718</v>
      </c>
    </row>
    <row r="18" spans="1:63" s="31" customFormat="1" x14ac:dyDescent="0.3">
      <c r="A18" s="39" t="s">
        <v>713</v>
      </c>
      <c r="B18" s="31" t="s">
        <v>712</v>
      </c>
      <c r="C18" s="31">
        <v>2004</v>
      </c>
      <c r="D18" s="31" t="s">
        <v>714</v>
      </c>
      <c r="E18" s="31" t="s">
        <v>678</v>
      </c>
      <c r="F18" s="32" t="s">
        <v>23</v>
      </c>
      <c r="G18" s="31" t="s">
        <v>47</v>
      </c>
      <c r="H18" s="31" t="s">
        <v>34</v>
      </c>
      <c r="I18" s="31" t="s">
        <v>12</v>
      </c>
      <c r="J18" s="31" t="s">
        <v>8</v>
      </c>
      <c r="K18" s="31" t="s">
        <v>9</v>
      </c>
      <c r="L18" s="31" t="s">
        <v>9</v>
      </c>
      <c r="M18" s="31" t="s">
        <v>9</v>
      </c>
      <c r="N18" s="31">
        <v>300</v>
      </c>
      <c r="O18" s="31">
        <f t="shared" si="1"/>
        <v>325</v>
      </c>
      <c r="P18" s="31">
        <v>350</v>
      </c>
      <c r="Q18" s="31">
        <v>1</v>
      </c>
      <c r="R18" s="31">
        <v>8</v>
      </c>
      <c r="S18" s="31">
        <v>2</v>
      </c>
      <c r="T18" s="31">
        <v>8</v>
      </c>
      <c r="U18" s="32" t="s">
        <v>111</v>
      </c>
      <c r="V18" s="31" t="s">
        <v>8</v>
      </c>
      <c r="W18" s="31" t="s">
        <v>8</v>
      </c>
      <c r="X18" s="31" t="s">
        <v>12</v>
      </c>
      <c r="Y18" s="31" t="s">
        <v>8</v>
      </c>
      <c r="Z18" s="31" t="s">
        <v>8</v>
      </c>
      <c r="AA18" s="31" t="s">
        <v>648</v>
      </c>
      <c r="AB18" s="31" t="s">
        <v>636</v>
      </c>
      <c r="AC18" s="31" t="s">
        <v>153</v>
      </c>
      <c r="AD18" s="31" t="s">
        <v>610</v>
      </c>
      <c r="AE18" s="31">
        <v>72</v>
      </c>
      <c r="AF18" s="31">
        <v>120</v>
      </c>
      <c r="AG18" s="31" t="s">
        <v>650</v>
      </c>
      <c r="AH18" s="31">
        <v>6</v>
      </c>
      <c r="AI18" cm="1">
        <f t="array" ref="AI18">_xlfn.IFS(AF18="NR", "NA", AG18="NR", "NA", AG18="NA","NA", AND(AG18="mg/ml", AH18&lt;&gt;"NR"), ((AF18/2492)*AH18*1000000), AND(AG18="mol/L", AH18&lt;&gt;"NR"), AF18*AH18*1000000, AG18="nmol", AF18*1000, AND(AG18="nmol/uL", AH18&lt;&gt;"NR"), AF18*AH18*1000, AG18="pg", AF18/2492, AG18="pmol", AF18, AND(AG18="pmol/uL", AH18&lt;&gt;"NR"), AF18*AH18, AG18="ug", AF18/2492*1000000, AND(AG18="ug/mL", AH18&lt;&gt;"NR"), (AF18/1000*AH18)/2492*1000000, AND(AG18="ug/uL", AH18&lt;&gt;"NR"), (AF18*AH18)/2492*1000000, AND(AG18="umol/L", AH18&lt;&gt;"NR"), AH18*AF18, TRUE, "NA")</f>
        <v>120</v>
      </c>
      <c r="AJ18" s="31">
        <v>6</v>
      </c>
      <c r="AK18" s="31">
        <v>1</v>
      </c>
      <c r="AL18" s="31" t="s">
        <v>9</v>
      </c>
      <c r="AM18" s="31" t="s">
        <v>8</v>
      </c>
      <c r="AN18" s="31" t="s">
        <v>9</v>
      </c>
      <c r="AO18" s="32" t="s">
        <v>725</v>
      </c>
      <c r="AP18" t="s">
        <v>1228</v>
      </c>
      <c r="AQ18" s="31">
        <v>0.5</v>
      </c>
      <c r="AR18" s="31" t="s">
        <v>103</v>
      </c>
      <c r="AS18" s="32">
        <v>72</v>
      </c>
      <c r="AT18" s="31" t="s">
        <v>271</v>
      </c>
      <c r="AU18" s="31" t="s">
        <v>1243</v>
      </c>
      <c r="AV18" s="31" t="s">
        <v>728</v>
      </c>
      <c r="AW18" s="31">
        <f>145.45+34.64</f>
        <v>180.08999999999997</v>
      </c>
      <c r="AX18" s="31">
        <f>SQRT((18.89*SQRT(R18))^2 + (3.92*SQRT(R18))^2)</f>
        <v>54.567279573018851</v>
      </c>
      <c r="AY18" s="31">
        <f>43.36+20.92</f>
        <v>64.28</v>
      </c>
      <c r="AZ18" s="31">
        <f>SQRT((12.23*SQRT(T18))^2 + (5.22*SQRT(T18))^2)</f>
        <v>37.610775051838537</v>
      </c>
      <c r="BA18" s="31" t="s">
        <v>656</v>
      </c>
      <c r="BB18" s="31" t="s">
        <v>122</v>
      </c>
      <c r="BC18" cm="1">
        <f t="array" ref="BC18">_xlfn.IFS(BA18="Direct rLV % whole brain", AW18, BA18="Indirect rLV % whole brain", AW18, BA18="Direct rLV % hemisphere", AW18/2, BA18="Indirect rLV % hemisphere", AW18/2, AND(F18="Mouse", BA18="mm3"), (AW18/508.91)*100, AND(F18="Rat", BA18="mm3"), (AW18/1971)*100, AND(F18="Mouse", BA18="ul"), (AW18/508.91)*100, AND(F18="Rat", BA18="ul"), (AW18/1971)*100,  AND(F18="Mouse", BA18="nl"), (AW18/508910)*100, AND(F18="Rat", BA18="nl"), (AW18/1971000)*100, AND(F18="Mouse", BA18="cm3"), (AW18/0.50891)*100, AND(F18="Rat", BA18="cm3"), (AW18/1.971)*100, AND(F18="Mouse", BA18="mL"), (AW18/0.50891)*100, AND(F18="Rat", BA18="mL"), (AW18/1.971)*100, TRUE, "NA")</f>
        <v>9.1369863013698627</v>
      </c>
      <c r="BD18" cm="1">
        <f t="array" ref="BD18">_xlfn.IFS(AZ18="NA", "NA",BA18="Direct rLV % whole brain", AY18, BA18="Indirect rLV % whole brain", AY18, BA18="Direct rLV % hemisphere", AY18/2, BA18="Indirect rLV % hemisphere", AY18/2, AND(F18="Mouse", BA18="mm3"), (AY18/508.91)*100, AND(F18="Rat", BA18="mm3"), (AY18/1971)*100, AND(F18="Mouse", BA18="ul"), (AY18/508.91)*100, AND(F18="Rat", BA18="ul"), (AY18/1971)*100,  AND(F18="Mouse", BA18="nl"), (AY18/508910)*100, AND(F18="Rat", BA18="nl"), (AY18/1971000)*100, AND(F18="Mouse", BA18="cm3"), (AY18/0.50891)*100, AND(F18="Rat", BA18="cm3"), (AY18/1.971)*100, AND(F18="Mouse", BA18="mL"), (AY18/0.50891)*100, AND(F18="Rat", BA18="mL"), (AY18/1.971)*100, TRUE, "NA")</f>
        <v>3.2612886859462202</v>
      </c>
      <c r="BE18" cm="1">
        <f t="array" ref="BE18">_xlfn.IFS(AX18="NA", "NA", BB18="NR", "NA", BB18="SD", AX18, BB18="SE", AX18*(SQRT(R18)), BB18="SEM", AX18*(SQRT(R18)), TRUE, "NA")</f>
        <v>54.567279573018851</v>
      </c>
      <c r="BF18" cm="1">
        <f t="array" ref="BF18">_xlfn.IFS(BE18="NA", "NA",BA18="Direct rLV % whole brain", BE18, BA18="Indirect rLV % whole brain", BE18, BA18="Direct rLV % hemisphere", BE18/2, BA18="Indirect rLV % hemisphere", BE18/2, AND(F18="Mouse", BA18="mm3"), (BE18/508.91)*100, AND(F18="Rat", BA18="mm3"), (BE18/1971)*100, AND(F18="Mouse", BA18="ul"), (BE18/508.91)*100, AND(F18="Rat", BA18="ul"), (BE18/1971)*100,  AND(F18="Mouse", BA18="nl"), (BE18/508910)*100, AND(F18="Rat", BA18="nl"), (BE18/1971000)*100, AND(F18="Mouse", BA18="cm3"), (BE18/0.50891)*100, AND(F18="Rat", BA18="cm3"), (BE18/1.971)*100, AND(F18="Mouse", BA18="mL"), (BE18/0.50891)*100, AND(F18="Rat", BA18="mL"), (BE18/1.971)*100, TRUE, "NA")</f>
        <v>2.7685073350085667</v>
      </c>
      <c r="BG18" cm="1">
        <f t="array" ref="BG18">_xlfn.IFS(AZ18="NA", "NA", BB18="NR", "NA", BB18="SD", AZ18, BB18="SE", AZ18*(SQRT(R18)), BB18="SEM", AZ18*(SQRT(R18)), TRUE, "NA")</f>
        <v>37.610775051838537</v>
      </c>
      <c r="BH18" s="32" t="s">
        <v>154</v>
      </c>
      <c r="BI18" s="31" t="s">
        <v>153</v>
      </c>
      <c r="BJ18" s="31" t="s">
        <v>153</v>
      </c>
      <c r="BK18" s="31" t="s">
        <v>718</v>
      </c>
    </row>
    <row r="19" spans="1:63" ht="15.75" customHeight="1" x14ac:dyDescent="0.3">
      <c r="A19" s="38" t="s">
        <v>720</v>
      </c>
      <c r="B19" t="s">
        <v>712</v>
      </c>
      <c r="C19">
        <v>1999</v>
      </c>
      <c r="D19" t="s">
        <v>721</v>
      </c>
      <c r="E19" t="s">
        <v>647</v>
      </c>
      <c r="F19" s="18" t="s">
        <v>23</v>
      </c>
      <c r="G19" t="s">
        <v>11</v>
      </c>
      <c r="H19" t="s">
        <v>34</v>
      </c>
      <c r="I19" t="s">
        <v>12</v>
      </c>
      <c r="J19" t="s">
        <v>8</v>
      </c>
      <c r="K19" t="s">
        <v>9</v>
      </c>
      <c r="L19" t="s">
        <v>9</v>
      </c>
      <c r="M19" t="s">
        <v>9</v>
      </c>
      <c r="N19">
        <v>280</v>
      </c>
      <c r="O19">
        <f t="shared" si="1"/>
        <v>300</v>
      </c>
      <c r="P19">
        <v>320</v>
      </c>
      <c r="Q19">
        <v>3</v>
      </c>
      <c r="R19">
        <v>4</v>
      </c>
      <c r="S19">
        <v>3</v>
      </c>
      <c r="T19">
        <v>4</v>
      </c>
      <c r="U19" s="18" t="s">
        <v>111</v>
      </c>
      <c r="V19" t="s">
        <v>724</v>
      </c>
      <c r="W19" t="s">
        <v>8</v>
      </c>
      <c r="X19" t="s">
        <v>12</v>
      </c>
      <c r="Y19" t="s">
        <v>8</v>
      </c>
      <c r="Z19" t="s">
        <v>8</v>
      </c>
      <c r="AA19" t="s">
        <v>648</v>
      </c>
      <c r="AB19" t="s">
        <v>636</v>
      </c>
      <c r="AC19" t="s">
        <v>153</v>
      </c>
      <c r="AD19" t="s">
        <v>610</v>
      </c>
      <c r="AE19">
        <v>72</v>
      </c>
      <c r="AF19">
        <v>120</v>
      </c>
      <c r="AG19" t="s">
        <v>650</v>
      </c>
      <c r="AH19">
        <v>6</v>
      </c>
      <c r="AI19" cm="1">
        <f t="array" ref="AI19">_xlfn.IFS(AF19="NR", "NA", AG19="NR", "NA", AG19="NA","NA", AND(AG19="mg/ml", AH19&lt;&gt;"NR"), ((AF19/2492)*AH19*1000000), AND(AG19="mol/L", AH19&lt;&gt;"NR"), AF19*AH19*1000000, AG19="nmol", AF19*1000, AND(AG19="nmol/uL", AH19&lt;&gt;"NR"), AF19*AH19*1000, AG19="pg", AF19/2492, AG19="pmol", AF19, AND(AG19="pmol/uL", AH19&lt;&gt;"NR"), AF19*AH19, AG19="ug", AF19/2492*1000000, AND(AG19="ug/mL", AH19&lt;&gt;"NR"), (AF19/1000*AH19)/2492*1000000, AND(AG19="ug/uL", AH19&lt;&gt;"NR"), (AF19*AH19)/2492*1000000, AND(AG19="umol/L", AH19&lt;&gt;"NR"), AH19*AF19, TRUE, "NA")</f>
        <v>120</v>
      </c>
      <c r="AJ19">
        <v>6</v>
      </c>
      <c r="AK19">
        <v>1</v>
      </c>
      <c r="AL19" t="s">
        <v>9</v>
      </c>
      <c r="AM19" t="s">
        <v>8</v>
      </c>
      <c r="AN19" t="s">
        <v>9</v>
      </c>
      <c r="AO19" s="18" t="s">
        <v>725</v>
      </c>
      <c r="AP19" t="s">
        <v>1228</v>
      </c>
      <c r="AQ19">
        <v>2</v>
      </c>
      <c r="AR19" t="s">
        <v>103</v>
      </c>
      <c r="AS19" s="18">
        <v>72</v>
      </c>
      <c r="AT19" t="s">
        <v>271</v>
      </c>
      <c r="AU19" t="s">
        <v>1243</v>
      </c>
      <c r="AV19" t="s">
        <v>679</v>
      </c>
      <c r="AW19">
        <f>107.4+33.5</f>
        <v>140.9</v>
      </c>
      <c r="AX19">
        <f>SQRT((47.7*SQRT(R19))^2 + (10.4*SQRT(R19))^2)</f>
        <v>97.641179837197797</v>
      </c>
      <c r="AY19">
        <f>18.9+10.7</f>
        <v>29.599999999999998</v>
      </c>
      <c r="AZ19">
        <f>SQRT((10.5*SQRT(T19))^2 + ( 9.5*SQRT(T19))^2)</f>
        <v>28.319604517012593</v>
      </c>
      <c r="BA19" t="s">
        <v>656</v>
      </c>
      <c r="BB19" t="s">
        <v>122</v>
      </c>
      <c r="BC19" cm="1">
        <f t="array" ref="BC19">_xlfn.IFS(BA19="Direct rLV % whole brain", AW19, BA19="Indirect rLV % whole brain", AW19, BA19="Direct rLV % hemisphere", AW19/2, BA19="Indirect rLV % hemisphere", AW19/2, AND(F19="Mouse", BA19="mm3"), (AW19/508.91)*100, AND(F19="Rat", BA19="mm3"), (AW19/1971)*100, AND(F19="Mouse", BA19="ul"), (AW19/508.91)*100, AND(F19="Rat", BA19="ul"), (AW19/1971)*100,  AND(F19="Mouse", BA19="nl"), (AW19/508910)*100, AND(F19="Rat", BA19="nl"), (AW19/1971000)*100, AND(F19="Mouse", BA19="cm3"), (AW19/0.50891)*100, AND(F19="Rat", BA19="cm3"), (AW19/1.971)*100, AND(F19="Mouse", BA19="mL"), (AW19/0.50891)*100, AND(F19="Rat", BA19="mL"), (AW19/1.971)*100, TRUE, "NA")</f>
        <v>7.1486555048198879</v>
      </c>
      <c r="BD19" cm="1">
        <f t="array" ref="BD19">_xlfn.IFS(AZ19="NA", "NA",BA19="Direct rLV % whole brain", AY19, BA19="Indirect rLV % whole brain", AY19, BA19="Direct rLV % hemisphere", AY19/2, BA19="Indirect rLV % hemisphere", AY19/2, AND(F19="Mouse", BA19="mm3"), (AY19/508.91)*100, AND(F19="Rat", BA19="mm3"), (AY19/1971)*100, AND(F19="Mouse", BA19="ul"), (AY19/508.91)*100, AND(F19="Rat", BA19="ul"), (AY19/1971)*100,  AND(F19="Mouse", BA19="nl"), (AY19/508910)*100, AND(F19="Rat", BA19="nl"), (AY19/1971000)*100, AND(F19="Mouse", BA19="cm3"), (AY19/0.50891)*100, AND(F19="Rat", BA19="cm3"), (AY19/1.971)*100, AND(F19="Mouse", BA19="mL"), (AY19/0.50891)*100, AND(F19="Rat", BA19="mL"), (AY19/1.971)*100, TRUE, "NA")</f>
        <v>1.5017757483510907</v>
      </c>
      <c r="BE19" cm="1">
        <f t="array" ref="BE19">_xlfn.IFS(AX19="NA", "NA", BB19="NR", "NA", BB19="SD", AX19, BB19="SE", AX19*(SQRT(R19)), BB19="SEM", AX19*(SQRT(R19)), TRUE, "NA")</f>
        <v>97.641179837197797</v>
      </c>
      <c r="BF19" cm="1">
        <f t="array" ref="BF19">_xlfn.IFS(BE19="NA", "NA",BA19="Direct rLV % whole brain", BE19, BA19="Indirect rLV % whole brain", BE19, BA19="Direct rLV % hemisphere", BE19/2, BA19="Indirect rLV % hemisphere", BE19/2, AND(F19="Mouse", BA19="mm3"), (BE19/508.91)*100, AND(F19="Rat", BA19="mm3"), (BE19/1971)*100, AND(F19="Mouse", BA19="ul"), (BE19/508.91)*100, AND(F19="Rat", BA19="ul"), (BE19/1971)*100,  AND(F19="Mouse", BA19="nl"), (BE19/508910)*100, AND(F19="Rat", BA19="nl"), (BE19/1971000)*100, AND(F19="Mouse", BA19="cm3"), (BE19/0.50891)*100, AND(F19="Rat", BA19="cm3"), (BE19/1.971)*100, AND(F19="Mouse", BA19="mL"), (BE19/0.50891)*100, AND(F19="Rat", BA19="mL"), (BE19/1.971)*100, TRUE, "NA")</f>
        <v>4.9538904026990256</v>
      </c>
      <c r="BG19" cm="1">
        <f t="array" ref="BG19">_xlfn.IFS(AZ19="NA", "NA", BB19="NR", "NA", BB19="SD", AZ19, BB19="SE", AZ19*(SQRT(R19)), BB19="SEM", AZ19*(SQRT(R19)), TRUE, "NA")</f>
        <v>28.319604517012593</v>
      </c>
      <c r="BH19" s="18" t="s">
        <v>154</v>
      </c>
      <c r="BI19" t="s">
        <v>153</v>
      </c>
      <c r="BJ19" t="s">
        <v>153</v>
      </c>
      <c r="BK19" t="s">
        <v>718</v>
      </c>
    </row>
    <row r="20" spans="1:63" s="31" customFormat="1" x14ac:dyDescent="0.3">
      <c r="A20" s="39" t="s">
        <v>726</v>
      </c>
      <c r="B20" s="31" t="s">
        <v>712</v>
      </c>
      <c r="C20" s="31">
        <v>2003</v>
      </c>
      <c r="D20" s="31" t="s">
        <v>727</v>
      </c>
      <c r="E20" s="31" t="s">
        <v>647</v>
      </c>
      <c r="F20" s="31" t="s">
        <v>23</v>
      </c>
      <c r="G20" s="31" t="s">
        <v>47</v>
      </c>
      <c r="H20" s="31" t="s">
        <v>34</v>
      </c>
      <c r="I20" s="31" t="s">
        <v>12</v>
      </c>
      <c r="J20" s="31" t="s">
        <v>8</v>
      </c>
      <c r="K20" s="31" t="s">
        <v>9</v>
      </c>
      <c r="L20" s="31" t="s">
        <v>9</v>
      </c>
      <c r="M20" s="31" t="s">
        <v>9</v>
      </c>
      <c r="N20" s="31">
        <v>280</v>
      </c>
      <c r="O20" s="31">
        <f t="shared" si="1"/>
        <v>300</v>
      </c>
      <c r="P20" s="31">
        <v>320</v>
      </c>
      <c r="Q20" s="31">
        <v>1</v>
      </c>
      <c r="R20" s="31">
        <v>7</v>
      </c>
      <c r="S20" s="31">
        <v>1</v>
      </c>
      <c r="T20" s="31">
        <v>7</v>
      </c>
      <c r="U20" s="31" t="s">
        <v>111</v>
      </c>
      <c r="V20" s="31" t="s">
        <v>8</v>
      </c>
      <c r="W20" s="31" t="s">
        <v>8</v>
      </c>
      <c r="X20" s="31" t="s">
        <v>12</v>
      </c>
      <c r="Y20" s="31" t="s">
        <v>8</v>
      </c>
      <c r="Z20" s="31" t="s">
        <v>8</v>
      </c>
      <c r="AA20" s="31" t="s">
        <v>648</v>
      </c>
      <c r="AB20" s="31" t="s">
        <v>636</v>
      </c>
      <c r="AC20" s="31" t="s">
        <v>153</v>
      </c>
      <c r="AD20" s="31" t="s">
        <v>610</v>
      </c>
      <c r="AE20" s="31">
        <v>72</v>
      </c>
      <c r="AF20" s="31">
        <v>120</v>
      </c>
      <c r="AG20" s="31" t="s">
        <v>650</v>
      </c>
      <c r="AH20" s="31">
        <v>6</v>
      </c>
      <c r="AI20" cm="1">
        <f t="array" ref="AI20">_xlfn.IFS(AF20="NR", "NA", AG20="NR", "NA", AG20="NA","NA", AND(AG20="mg/ml", AH20&lt;&gt;"NR"), ((AF20/2492)*AH20*1000000), AND(AG20="mol/L", AH20&lt;&gt;"NR"), AF20*AH20*1000000, AG20="nmol", AF20*1000, AND(AG20="nmol/uL", AH20&lt;&gt;"NR"), AF20*AH20*1000, AG20="pg", AF20/2492, AG20="pmol", AF20, AND(AG20="pmol/uL", AH20&lt;&gt;"NR"), AF20*AH20, AG20="ug", AF20/2492*1000000, AND(AG20="ug/mL", AH20&lt;&gt;"NR"), (AF20/1000*AH20)/2492*1000000, AND(AG20="ug/uL", AH20&lt;&gt;"NR"), (AF20*AH20)/2492*1000000, AND(AG20="umol/L", AH20&lt;&gt;"NR"), AH20*AF20, TRUE, "NA")</f>
        <v>120</v>
      </c>
      <c r="AJ20" s="31">
        <v>6</v>
      </c>
      <c r="AK20" s="31">
        <v>1</v>
      </c>
      <c r="AL20" s="31" t="s">
        <v>9</v>
      </c>
      <c r="AM20" s="31" t="s">
        <v>8</v>
      </c>
      <c r="AN20" s="31" t="s">
        <v>9</v>
      </c>
      <c r="AO20" s="31" t="s">
        <v>725</v>
      </c>
      <c r="AP20" t="s">
        <v>1228</v>
      </c>
      <c r="AQ20" s="31">
        <v>0.5</v>
      </c>
      <c r="AR20" s="31" t="s">
        <v>103</v>
      </c>
      <c r="AS20" s="31">
        <v>72</v>
      </c>
      <c r="AT20" s="31" t="s">
        <v>271</v>
      </c>
      <c r="AU20" s="31" t="s">
        <v>1243</v>
      </c>
      <c r="AV20" s="31" t="s">
        <v>728</v>
      </c>
      <c r="AW20" s="31">
        <f>111.54+30.95</f>
        <v>142.49</v>
      </c>
      <c r="AX20" s="31">
        <f>SQRT((19.48*SQRT(R20))^2 + (5.11*SQRT(R20))^2)</f>
        <v>53.282994472908527</v>
      </c>
      <c r="AY20" s="31">
        <f>26.98+ 7.16</f>
        <v>34.14</v>
      </c>
      <c r="AZ20" s="31">
        <f>SQRT((9.18*SQRT(T20))^2 + (2.56*SQRT(T20))^2)</f>
        <v>25.214717924260032</v>
      </c>
      <c r="BA20" s="31" t="s">
        <v>656</v>
      </c>
      <c r="BB20" s="31" t="s">
        <v>122</v>
      </c>
      <c r="BC20" s="31" cm="1">
        <f t="array" ref="BC20">_xlfn.IFS(BA20="Direct rLV % whole brain", AW20, BA20="Indirect rLV % whole brain", AW20, BA20="Direct rLV % hemisphere", AW20/2, BA20="Indirect rLV % hemisphere", AW20/2, AND(F20="Mouse", BA20="mm3"), (AW20/508.91)*100, AND(F20="Rat", BA20="mm3"), (AW20/1971)*100, AND(F20="Mouse", BA20="ul"), (AW20/508.91)*100, AND(F20="Rat", BA20="ul"), (AW20/1971)*100,  AND(F20="Mouse", BA20="nl"), (AW20/508910)*100, AND(F20="Rat", BA20="nl"), (AW20/1971000)*100, AND(F20="Mouse", BA20="cm3"), (AW20/0.50891)*100, AND(F20="Rat", BA20="cm3"), (AW20/1.971)*100, AND(F20="Mouse", BA20="mL"), (AW20/0.50891)*100, AND(F20="Rat", BA20="mL"), (AW20/1.971)*100, TRUE, "NA")</f>
        <v>7.2293252156265861</v>
      </c>
      <c r="BD20" s="31" cm="1">
        <f t="array" ref="BD20">_xlfn.IFS(AZ20="NA", "NA",BA20="Direct rLV % whole brain", AY20, BA20="Indirect rLV % whole brain", AY20, BA20="Direct rLV % hemisphere", AY20/2, BA20="Indirect rLV % hemisphere", AY20/2, AND(F20="Mouse", BA20="mm3"), (AY20/508.91)*100, AND(F20="Rat", BA20="mm3"), (AY20/1971)*100, AND(F20="Mouse", BA20="ul"), (AY20/508.91)*100, AND(F20="Rat", BA20="ul"), (AY20/1971)*100,  AND(F20="Mouse", BA20="nl"), (AY20/508910)*100, AND(F20="Rat", BA20="nl"), (AY20/1971000)*100, AND(F20="Mouse", BA20="cm3"), (AY20/0.50891)*100, AND(F20="Rat", BA20="cm3"), (AY20/1.971)*100, AND(F20="Mouse", BA20="mL"), (AY20/0.50891)*100, AND(F20="Rat", BA20="mL"), (AY20/1.971)*100, TRUE, "NA")</f>
        <v>1.7321156773211568</v>
      </c>
      <c r="BE20" s="31" cm="1">
        <f t="array" ref="BE20">_xlfn.IFS(AX20="NA", "NA", BB20="NR", "NA", BB20="SD", AX20, BB20="SE", AX20*(SQRT(R20)), BB20="SEM", AX20*(SQRT(R20)), TRUE, "NA")</f>
        <v>53.282994472908527</v>
      </c>
      <c r="BF20" s="31" cm="1">
        <f t="array" ref="BF20">_xlfn.IFS(BE20="NA", "NA",BA20="Direct rLV % whole brain", BE20, BA20="Indirect rLV % whole brain", BE20, BA20="Direct rLV % hemisphere", BE20/2, BA20="Indirect rLV % hemisphere", BE20/2, AND(F20="Mouse", BA20="mm3"), (BE20/508.91)*100, AND(F20="Rat", BA20="mm3"), (BE20/1971)*100, AND(F20="Mouse", BA20="ul"), (BE20/508.91)*100, AND(F20="Rat", BA20="ul"), (BE20/1971)*100,  AND(F20="Mouse", BA20="nl"), (BE20/508910)*100, AND(F20="Rat", BA20="nl"), (BE20/1971000)*100, AND(F20="Mouse", BA20="cm3"), (BE20/0.50891)*100, AND(F20="Rat", BA20="cm3"), (BE20/1.971)*100, AND(F20="Mouse", BA20="mL"), (BE20/0.50891)*100, AND(F20="Rat", BA20="mL"), (BE20/1.971)*100, TRUE, "NA")</f>
        <v>2.703348273612812</v>
      </c>
      <c r="BG20" s="31" cm="1">
        <f t="array" ref="BG20">_xlfn.IFS(AZ20="NA", "NA", BB20="NR", "NA", BB20="SD", AZ20, BB20="SE", AZ20*(SQRT(R20)), BB20="SEM", AZ20*(SQRT(R20)), TRUE, "NA")</f>
        <v>25.214717924260032</v>
      </c>
      <c r="BH20" s="31" t="s">
        <v>154</v>
      </c>
      <c r="BI20" s="31" t="s">
        <v>154</v>
      </c>
      <c r="BJ20" s="31" t="s">
        <v>153</v>
      </c>
      <c r="BK20" s="31" t="s">
        <v>718</v>
      </c>
    </row>
    <row r="21" spans="1:63" x14ac:dyDescent="0.3">
      <c r="A21" t="s">
        <v>735</v>
      </c>
      <c r="B21" t="s">
        <v>729</v>
      </c>
      <c r="C21">
        <v>2011</v>
      </c>
      <c r="D21" t="s">
        <v>730</v>
      </c>
      <c r="E21" t="s">
        <v>647</v>
      </c>
      <c r="F21" s="18" t="s">
        <v>23</v>
      </c>
      <c r="G21" t="s">
        <v>11</v>
      </c>
      <c r="H21" t="s">
        <v>34</v>
      </c>
      <c r="I21" t="s">
        <v>12</v>
      </c>
      <c r="J21" t="s">
        <v>8</v>
      </c>
      <c r="K21" t="s">
        <v>9</v>
      </c>
      <c r="L21" t="s">
        <v>9</v>
      </c>
      <c r="M21" t="s">
        <v>9</v>
      </c>
      <c r="N21">
        <v>270</v>
      </c>
      <c r="O21">
        <f t="shared" si="1"/>
        <v>285</v>
      </c>
      <c r="P21">
        <v>300</v>
      </c>
      <c r="Q21">
        <v>1</v>
      </c>
      <c r="R21">
        <v>10</v>
      </c>
      <c r="S21">
        <v>1</v>
      </c>
      <c r="T21">
        <v>8</v>
      </c>
      <c r="U21" s="18" t="s">
        <v>71</v>
      </c>
      <c r="V21" t="s">
        <v>98</v>
      </c>
      <c r="W21" t="s">
        <v>8</v>
      </c>
      <c r="X21" t="s">
        <v>69</v>
      </c>
      <c r="Y21" t="s">
        <v>8</v>
      </c>
      <c r="Z21" t="s">
        <v>8</v>
      </c>
      <c r="AA21" t="s">
        <v>648</v>
      </c>
      <c r="AB21" t="s">
        <v>636</v>
      </c>
      <c r="AC21" t="s">
        <v>153</v>
      </c>
      <c r="AD21" t="s">
        <v>634</v>
      </c>
      <c r="AE21">
        <v>72</v>
      </c>
      <c r="AF21">
        <v>500</v>
      </c>
      <c r="AG21" t="s">
        <v>650</v>
      </c>
      <c r="AH21">
        <v>6</v>
      </c>
      <c r="AI21" cm="1">
        <f t="array" ref="AI21">_xlfn.IFS(AF21="NR", "NA", AG21="NR", "NA", AG21="NA","NA", AND(AG21="mg/ml", AH21&lt;&gt;"NR"), ((AF21/2492)*AH21*1000000), AND(AG21="mol/L", AH21&lt;&gt;"NR"), AF21*AH21*1000000, AG21="nmol", AF21*1000, AND(AG21="nmol/uL", AH21&lt;&gt;"NR"), AF21*AH21*1000, AG21="pg", AF21/2492, AG21="pmol", AF21, AND(AG21="pmol/uL", AH21&lt;&gt;"NR"), AF21*AH21, AG21="ug", AF21/2492*1000000, AND(AG21="ug/mL", AH21&lt;&gt;"NR"), (AF21/1000*AH21)/2492*1000000, AND(AG21="ug/uL", AH21&lt;&gt;"NR"), (AF21*AH21)/2492*1000000, AND(AG21="umol/L", AH21&lt;&gt;"NR"), AH21*AF21, TRUE, "NA")</f>
        <v>500</v>
      </c>
      <c r="AJ21">
        <v>6</v>
      </c>
      <c r="AK21">
        <v>1</v>
      </c>
      <c r="AL21" t="s">
        <v>731</v>
      </c>
      <c r="AM21" t="s">
        <v>8</v>
      </c>
      <c r="AN21" t="s">
        <v>9</v>
      </c>
      <c r="AO21" s="18" t="s">
        <v>93</v>
      </c>
      <c r="AP21" t="s">
        <v>1228</v>
      </c>
      <c r="AQ21">
        <v>0.33</v>
      </c>
      <c r="AR21" t="s">
        <v>103</v>
      </c>
      <c r="AS21" s="18">
        <v>24</v>
      </c>
      <c r="AT21" t="s">
        <v>271</v>
      </c>
      <c r="AU21" t="s">
        <v>732</v>
      </c>
      <c r="AV21" t="s">
        <v>733</v>
      </c>
      <c r="AW21">
        <v>26.32</v>
      </c>
      <c r="AX21">
        <v>4.55</v>
      </c>
      <c r="AY21">
        <v>13.06</v>
      </c>
      <c r="AZ21">
        <v>3.28</v>
      </c>
      <c r="BA21" t="s">
        <v>656</v>
      </c>
      <c r="BB21" t="s">
        <v>122</v>
      </c>
      <c r="BC21" cm="1">
        <f t="array" ref="BC21">_xlfn.IFS(BA21="Direct rLV % whole brain", AW21, BA21="Indirect rLV % whole brain", AW21, BA21="Direct rLV % hemisphere", AW21/2, BA21="Indirect rLV % hemisphere", AW21/2, AND(F21="Mouse", BA21="mm3"), (AW21/508.91)*100, AND(F21="Rat", BA21="mm3"), (AW21/1971)*100, AND(F21="Mouse", BA21="ul"), (AW21/508.91)*100, AND(F21="Rat", BA21="ul"), (AW21/1971)*100,  AND(F21="Mouse", BA21="nl"), (AW21/508910)*100, AND(F21="Rat", BA21="nl"), (AW21/1971000)*100, AND(F21="Mouse", BA21="cm3"), (AW21/0.50891)*100, AND(F21="Rat", BA21="cm3"), (AW21/1.971)*100, AND(F21="Mouse", BA21="mL"), (AW21/0.50891)*100, AND(F21="Rat", BA21="mL"), (AW21/1.971)*100, TRUE, "NA")</f>
        <v>1.3353627600202942</v>
      </c>
      <c r="BD21" cm="1">
        <f t="array" ref="BD21">_xlfn.IFS(AZ21="NA", "NA",BA21="Direct rLV % whole brain", AY21, BA21="Indirect rLV % whole brain", AY21, BA21="Direct rLV % hemisphere", AY21/2, BA21="Indirect rLV % hemisphere", AY21/2, AND(F21="Mouse", BA21="mm3"), (AY21/508.91)*100, AND(F21="Rat", BA21="mm3"), (AY21/1971)*100, AND(F21="Mouse", BA21="ul"), (AY21/508.91)*100, AND(F21="Rat", BA21="ul"), (AY21/1971)*100,  AND(F21="Mouse", BA21="nl"), (AY21/508910)*100, AND(F21="Rat", BA21="nl"), (AY21/1971000)*100, AND(F21="Mouse", BA21="cm3"), (AY21/0.50891)*100, AND(F21="Rat", BA21="cm3"), (AY21/1.971)*100, AND(F21="Mouse", BA21="mL"), (AY21/0.50891)*100, AND(F21="Rat", BA21="mL"), (AY21/1.971)*100, TRUE, "NA")</f>
        <v>0.66260781329274487</v>
      </c>
      <c r="BE21" cm="1">
        <f t="array" ref="BE21">_xlfn.IFS(AX21="NA", "NA", BB21="NR", "NA", BB21="SD", AX21, BB21="SE", AX21*(SQRT(R21)), BB21="SEM", AX21*(SQRT(R21)), TRUE, "NA")</f>
        <v>4.55</v>
      </c>
      <c r="BF21" cm="1">
        <f t="array" ref="BF21">_xlfn.IFS(BE21="NA", "NA",BA21="Direct rLV % whole brain", BE21, BA21="Indirect rLV % whole brain", BE21, BA21="Direct rLV % hemisphere", BE21/2, BA21="Indirect rLV % hemisphere", BE21/2, AND(F21="Mouse", BA21="mm3"), (BE21/508.91)*100, AND(F21="Rat", BA21="mm3"), (BE21/1971)*100, AND(F21="Mouse", BA21="ul"), (BE21/508.91)*100, AND(F21="Rat", BA21="ul"), (BE21/1971)*100,  AND(F21="Mouse", BA21="nl"), (BE21/508910)*100, AND(F21="Rat", BA21="nl"), (BE21/1971000)*100, AND(F21="Mouse", BA21="cm3"), (BE21/0.50891)*100, AND(F21="Rat", BA21="cm3"), (BE21/1.971)*100, AND(F21="Mouse", BA21="mL"), (BE21/0.50891)*100, AND(F21="Rat", BA21="mL"), (BE21/1.971)*100, TRUE, "NA")</f>
        <v>0.23084728564180618</v>
      </c>
      <c r="BG21" cm="1">
        <f t="array" ref="BG21">_xlfn.IFS(AZ21="NA", "NA", BB21="NR", "NA", BB21="SD", AZ21, BB21="SE", AZ21*(SQRT(R21)), BB21="SEM", AZ21*(SQRT(R21)), TRUE, "NA")</f>
        <v>3.28</v>
      </c>
      <c r="BH21" s="18" t="s">
        <v>153</v>
      </c>
      <c r="BI21" t="s">
        <v>154</v>
      </c>
      <c r="BJ21" t="s">
        <v>154</v>
      </c>
    </row>
    <row r="22" spans="1:63" s="31" customFormat="1" x14ac:dyDescent="0.3">
      <c r="A22" s="31" t="s">
        <v>736</v>
      </c>
      <c r="B22" s="31" t="s">
        <v>729</v>
      </c>
      <c r="C22" s="31">
        <v>2011</v>
      </c>
      <c r="D22" s="31" t="s">
        <v>734</v>
      </c>
      <c r="E22" s="31" t="s">
        <v>647</v>
      </c>
      <c r="F22" s="32" t="s">
        <v>23</v>
      </c>
      <c r="G22" s="31" t="s">
        <v>11</v>
      </c>
      <c r="H22" s="31" t="s">
        <v>34</v>
      </c>
      <c r="I22" s="31" t="s">
        <v>12</v>
      </c>
      <c r="J22" s="31" t="s">
        <v>8</v>
      </c>
      <c r="K22" s="31" t="s">
        <v>9</v>
      </c>
      <c r="L22" s="31" t="s">
        <v>9</v>
      </c>
      <c r="M22" s="31" t="s">
        <v>9</v>
      </c>
      <c r="N22" s="31">
        <v>270</v>
      </c>
      <c r="O22" s="31">
        <f>AVERAGE(N22,P22)</f>
        <v>285</v>
      </c>
      <c r="P22" s="31">
        <v>300</v>
      </c>
      <c r="Q22" s="31">
        <v>1</v>
      </c>
      <c r="R22" s="31">
        <v>5</v>
      </c>
      <c r="S22" s="31">
        <v>1</v>
      </c>
      <c r="T22" s="31">
        <v>7</v>
      </c>
      <c r="U22" s="32" t="s">
        <v>71</v>
      </c>
      <c r="V22" s="31" t="s">
        <v>98</v>
      </c>
      <c r="W22" s="31" t="s">
        <v>8</v>
      </c>
      <c r="X22" s="31" t="s">
        <v>69</v>
      </c>
      <c r="Y22" s="31" t="s">
        <v>8</v>
      </c>
      <c r="Z22" s="31" t="s">
        <v>8</v>
      </c>
      <c r="AA22" s="31" t="s">
        <v>648</v>
      </c>
      <c r="AB22" s="31" t="s">
        <v>636</v>
      </c>
      <c r="AC22" s="31" t="s">
        <v>153</v>
      </c>
      <c r="AD22" s="31" t="s">
        <v>634</v>
      </c>
      <c r="AE22" s="31">
        <v>24</v>
      </c>
      <c r="AF22" s="31">
        <v>500</v>
      </c>
      <c r="AG22" s="31" t="s">
        <v>650</v>
      </c>
      <c r="AH22" s="31">
        <v>6</v>
      </c>
      <c r="AI22" cm="1">
        <f t="array" ref="AI22">_xlfn.IFS(AF22="NR", "NA", AG22="NR", "NA", AG22="NA","NA", AND(AG22="mg/ml", AH22&lt;&gt;"NR"), ((AF22/2492)*AH22*1000000), AND(AG22="mol/L", AH22&lt;&gt;"NR"), AF22*AH22*1000000, AG22="nmol", AF22*1000, AND(AG22="nmol/uL", AH22&lt;&gt;"NR"), AF22*AH22*1000, AG22="pg", AF22/2492, AG22="pmol", AF22, AND(AG22="pmol/uL", AH22&lt;&gt;"NR"), AF22*AH22, AG22="ug", AF22/2492*1000000, AND(AG22="ug/mL", AH22&lt;&gt;"NR"), (AF22/1000*AH22)/2492*1000000, AND(AG22="ug/uL", AH22&lt;&gt;"NR"), (AF22*AH22)/2492*1000000, AND(AG22="umol/L", AH22&lt;&gt;"NR"), AH22*AF22, TRUE, "NA")</f>
        <v>500</v>
      </c>
      <c r="AJ22" s="31">
        <v>6</v>
      </c>
      <c r="AK22" s="31">
        <v>1</v>
      </c>
      <c r="AL22" s="31" t="s">
        <v>731</v>
      </c>
      <c r="AM22" s="31" t="s">
        <v>8</v>
      </c>
      <c r="AN22" s="31" t="s">
        <v>9</v>
      </c>
      <c r="AO22" s="32" t="s">
        <v>93</v>
      </c>
      <c r="AP22" t="s">
        <v>1228</v>
      </c>
      <c r="AQ22" s="31">
        <v>0.33</v>
      </c>
      <c r="AR22" s="31" t="s">
        <v>103</v>
      </c>
      <c r="AS22" s="32">
        <v>72</v>
      </c>
      <c r="AT22" s="31" t="s">
        <v>271</v>
      </c>
      <c r="AU22" s="31" t="s">
        <v>732</v>
      </c>
      <c r="AV22" s="31" t="s">
        <v>679</v>
      </c>
      <c r="AW22" s="31">
        <v>54.3</v>
      </c>
      <c r="AX22" s="31">
        <v>1.1000000000000001</v>
      </c>
      <c r="AY22" s="31">
        <v>25.44</v>
      </c>
      <c r="AZ22" s="31">
        <v>2.16</v>
      </c>
      <c r="BA22" s="31" t="s">
        <v>656</v>
      </c>
      <c r="BB22" s="31" t="s">
        <v>123</v>
      </c>
      <c r="BC22" cm="1">
        <f t="array" ref="BC22">_xlfn.IFS(BA22="Direct rLV % whole brain", AW22, BA22="Indirect rLV % whole brain", AW22, BA22="Direct rLV % hemisphere", AW22/2, BA22="Indirect rLV % hemisphere", AW22/2, AND(F22="Mouse", BA22="mm3"), (AW22/508.91)*100, AND(F22="Rat", BA22="mm3"), (AW22/1971)*100, AND(F22="Mouse", BA22="ul"), (AW22/508.91)*100, AND(F22="Rat", BA22="ul"), (AW22/1971)*100,  AND(F22="Mouse", BA22="nl"), (AW22/508910)*100, AND(F22="Rat", BA22="nl"), (AW22/1971000)*100, AND(F22="Mouse", BA22="cm3"), (AW22/0.50891)*100, AND(F22="Rat", BA22="cm3"), (AW22/1.971)*100, AND(F22="Mouse", BA22="mL"), (AW22/0.50891)*100, AND(F22="Rat", BA22="mL"), (AW22/1.971)*100, TRUE, "NA")</f>
        <v>2.7549467275494668</v>
      </c>
      <c r="BD22" cm="1">
        <f t="array" ref="BD22">_xlfn.IFS(AZ22="NA", "NA",BA22="Direct rLV % whole brain", AY22, BA22="Indirect rLV % whole brain", AY22, BA22="Direct rLV % hemisphere", AY22/2, BA22="Indirect rLV % hemisphere", AY22/2, AND(F22="Mouse", BA22="mm3"), (AY22/508.91)*100, AND(F22="Rat", BA22="mm3"), (AY22/1971)*100, AND(F22="Mouse", BA22="ul"), (AY22/508.91)*100, AND(F22="Rat", BA22="ul"), (AY22/1971)*100,  AND(F22="Mouse", BA22="nl"), (AY22/508910)*100, AND(F22="Rat", BA22="nl"), (AY22/1971000)*100, AND(F22="Mouse", BA22="cm3"), (AY22/0.50891)*100, AND(F22="Rat", BA22="cm3"), (AY22/1.971)*100, AND(F22="Mouse", BA22="mL"), (AY22/0.50891)*100, AND(F22="Rat", BA22="mL"), (AY22/1.971)*100, TRUE, "NA")</f>
        <v>1.2907153729071539</v>
      </c>
      <c r="BE22" cm="1">
        <f t="array" ref="BE22">_xlfn.IFS(AX22="NA", "NA", BB22="NR", "NA", BB22="SD", AX22, BB22="SE", AX22*(SQRT(R22)), BB22="SEM", AX22*(SQRT(R22)), TRUE, "NA")</f>
        <v>2.459674775249769</v>
      </c>
      <c r="BF22" cm="1">
        <f t="array" ref="BF22">_xlfn.IFS(BE22="NA", "NA",BA22="Direct rLV % whole brain", BE22, BA22="Indirect rLV % whole brain", BE22, BA22="Direct rLV % hemisphere", BE22/2, BA22="Indirect rLV % hemisphere", BE22/2, AND(F22="Mouse", BA22="mm3"), (BE22/508.91)*100, AND(F22="Rat", BA22="mm3"), (BE22/1971)*100, AND(F22="Mouse", BA22="ul"), (BE22/508.91)*100, AND(F22="Rat", BA22="ul"), (BE22/1971)*100,  AND(F22="Mouse", BA22="nl"), (BE22/508910)*100, AND(F22="Rat", BA22="nl"), (BE22/1971000)*100, AND(F22="Mouse", BA22="cm3"), (BE22/0.50891)*100, AND(F22="Rat", BA22="cm3"), (BE22/1.971)*100, AND(F22="Mouse", BA22="mL"), (BE22/0.50891)*100, AND(F22="Rat", BA22="mL"), (BE22/1.971)*100, TRUE, "NA")</f>
        <v>0.12479324075341293</v>
      </c>
      <c r="BG22" cm="1">
        <f t="array" ref="BG22">_xlfn.IFS(AZ22="NA", "NA", BB22="NR", "NA", BB22="SD", AZ22, BB22="SE", AZ22*(SQRT(R22)), BB22="SEM", AZ22*(SQRT(R22)), TRUE, "NA")</f>
        <v>4.8299068313995459</v>
      </c>
      <c r="BH22" s="32" t="s">
        <v>153</v>
      </c>
      <c r="BI22" s="31" t="s">
        <v>154</v>
      </c>
      <c r="BJ22" s="31" t="s">
        <v>153</v>
      </c>
    </row>
    <row r="23" spans="1:63" x14ac:dyDescent="0.3">
      <c r="A23" t="s">
        <v>738</v>
      </c>
      <c r="B23" t="s">
        <v>737</v>
      </c>
      <c r="C23">
        <v>2018</v>
      </c>
      <c r="D23" t="s">
        <v>739</v>
      </c>
      <c r="E23" t="s">
        <v>647</v>
      </c>
      <c r="F23" s="18" t="s">
        <v>23</v>
      </c>
      <c r="G23" t="s">
        <v>48</v>
      </c>
      <c r="H23" t="s">
        <v>34</v>
      </c>
      <c r="I23" t="s">
        <v>127</v>
      </c>
      <c r="J23" t="s">
        <v>156</v>
      </c>
      <c r="K23" t="s">
        <v>9</v>
      </c>
      <c r="L23" t="s">
        <v>9</v>
      </c>
      <c r="M23" t="s">
        <v>9</v>
      </c>
      <c r="N23">
        <v>270</v>
      </c>
      <c r="O23">
        <f>AVERAGE(N23,P23)</f>
        <v>285</v>
      </c>
      <c r="P23">
        <v>300</v>
      </c>
      <c r="Q23">
        <v>1</v>
      </c>
      <c r="R23">
        <v>15</v>
      </c>
      <c r="S23">
        <v>1</v>
      </c>
      <c r="T23">
        <v>15</v>
      </c>
      <c r="U23" s="18" t="s">
        <v>71</v>
      </c>
      <c r="V23" t="s">
        <v>288</v>
      </c>
      <c r="W23" t="s">
        <v>8</v>
      </c>
      <c r="X23" t="s">
        <v>71</v>
      </c>
      <c r="Y23" t="s">
        <v>288</v>
      </c>
      <c r="Z23" t="s">
        <v>8</v>
      </c>
      <c r="AA23" t="s">
        <v>640</v>
      </c>
      <c r="AB23" t="s">
        <v>636</v>
      </c>
      <c r="AC23" t="s">
        <v>154</v>
      </c>
      <c r="AD23" t="s">
        <v>634</v>
      </c>
      <c r="AE23">
        <v>0</v>
      </c>
      <c r="AF23">
        <v>1</v>
      </c>
      <c r="AG23" t="s">
        <v>162</v>
      </c>
      <c r="AH23">
        <v>2</v>
      </c>
      <c r="AI23" cm="1">
        <f t="array" ref="AI23">_xlfn.IFS(AF23="NR", "NA", AG23="NR", "NA", AG23="NA","NA", AND(AG23="mg/ml", AH23&lt;&gt;"NR"), ((AF23/2492)*AH23*1000000), AND(AG23="mol/L", AH23&lt;&gt;"NR"), AF23*AH23*1000000, AG23="nmol", AF23*1000, AND(AG23="nmol/uL", AH23&lt;&gt;"NR"), AF23*AH23*1000, AG23="pg", AF23/2492, AG23="pmol", AF23, AND(AG23="pmol/uL", AH23&lt;&gt;"NR"), AF23*AH23, AG23="ug", AF23/2492*1000000, AND(AG23="ug/mL", AH23&lt;&gt;"NR"), (AF23/1000*AH23)/2492*1000000, AND(AG23="ug/uL", AH23&lt;&gt;"NR"), (AF23*AH23)/2492*1000000, AND(AG23="umol/L", AH23&lt;&gt;"NR"), AH23*AF23, TRUE, "NA")</f>
        <v>802.56821829855539</v>
      </c>
      <c r="AJ23">
        <v>10</v>
      </c>
      <c r="AK23">
        <v>1</v>
      </c>
      <c r="AL23" t="s">
        <v>9</v>
      </c>
      <c r="AM23" t="s">
        <v>8</v>
      </c>
      <c r="AN23" t="s">
        <v>9</v>
      </c>
      <c r="AO23" s="18" t="s">
        <v>741</v>
      </c>
      <c r="AP23" t="s">
        <v>1228</v>
      </c>
      <c r="AQ23">
        <v>1</v>
      </c>
      <c r="AR23" t="s">
        <v>103</v>
      </c>
      <c r="AS23" s="18">
        <v>168</v>
      </c>
      <c r="AT23" t="s">
        <v>271</v>
      </c>
      <c r="AU23" t="s">
        <v>652</v>
      </c>
      <c r="AV23" t="s">
        <v>728</v>
      </c>
      <c r="AW23">
        <v>99.47</v>
      </c>
      <c r="AX23">
        <v>10.35</v>
      </c>
      <c r="AY23">
        <v>23.44</v>
      </c>
      <c r="AZ23">
        <v>5.7</v>
      </c>
      <c r="BA23" t="s">
        <v>656</v>
      </c>
      <c r="BB23" t="s">
        <v>123</v>
      </c>
      <c r="BC23" cm="1">
        <f t="array" ref="BC23">_xlfn.IFS(BA23="Direct rLV % whole brain", AW23, BA23="Indirect rLV % whole brain", AW23, BA23="Direct rLV % hemisphere", AW23/2, BA23="Indirect rLV % hemisphere", AW23/2, AND(F23="Mouse", BA23="mm3"), (AW23/508.91)*100, AND(F23="Rat", BA23="mm3"), (AW23/1971)*100, AND(F23="Mouse", BA23="ul"), (AW23/508.91)*100, AND(F23="Rat", BA23="ul"), (AW23/1971)*100,  AND(F23="Mouse", BA23="nl"), (AW23/508910)*100, AND(F23="Rat", BA23="nl"), (AW23/1971000)*100, AND(F23="Mouse", BA23="cm3"), (AW23/0.50891)*100, AND(F23="Rat", BA23="cm3"), (AW23/1.971)*100, AND(F23="Mouse", BA23="mL"), (AW23/0.50891)*100, AND(F23="Rat", BA23="mL"), (AW23/1.971)*100, TRUE, "NA")</f>
        <v>5.0466768138001017</v>
      </c>
      <c r="BD23" cm="1">
        <f t="array" ref="BD23">_xlfn.IFS(AZ23="NA", "NA",BA23="Direct rLV % whole brain", AY23, BA23="Indirect rLV % whole brain", AY23, BA23="Direct rLV % hemisphere", AY23/2, BA23="Indirect rLV % hemisphere", AY23/2, AND(F23="Mouse", BA23="mm3"), (AY23/508.91)*100, AND(F23="Rat", BA23="mm3"), (AY23/1971)*100, AND(F23="Mouse", BA23="ul"), (AY23/508.91)*100, AND(F23="Rat", BA23="ul"), (AY23/1971)*100,  AND(F23="Mouse", BA23="nl"), (AY23/508910)*100, AND(F23="Rat", BA23="nl"), (AY23/1971000)*100, AND(F23="Mouse", BA23="cm3"), (AY23/0.50891)*100, AND(F23="Rat", BA23="cm3"), (AY23/1.971)*100, AND(F23="Mouse", BA23="mL"), (AY23/0.50891)*100, AND(F23="Rat", BA23="mL"), (AY23/1.971)*100, TRUE, "NA")</f>
        <v>1.1892440385591072</v>
      </c>
      <c r="BE23" cm="1">
        <f t="array" ref="BE23">_xlfn.IFS(AX23="NA", "NA", BB23="NR", "NA", BB23="SD", AX23, BB23="SE", AX23*(SQRT(R23)), BB23="SEM", AX23*(SQRT(R23)), TRUE, "NA")</f>
        <v>40.085377633246765</v>
      </c>
      <c r="BF23" cm="1">
        <f t="array" ref="BF23">_xlfn.IFS(BE23="NA", "NA",BA23="Direct rLV % whole brain", BE23, BA23="Indirect rLV % whole brain", BE23, BA23="Direct rLV % hemisphere", BE23/2, BA23="Indirect rLV % hemisphere", BE23/2, AND(F23="Mouse", BA23="mm3"), (BE23/508.91)*100, AND(F23="Rat", BA23="mm3"), (BE23/1971)*100, AND(F23="Mouse", BA23="ul"), (BE23/508.91)*100, AND(F23="Rat", BA23="ul"), (BE23/1971)*100,  AND(F23="Mouse", BA23="nl"), (BE23/508910)*100, AND(F23="Rat", BA23="nl"), (BE23/1971000)*100, AND(F23="Mouse", BA23="cm3"), (BE23/0.50891)*100, AND(F23="Rat", BA23="cm3"), (BE23/1.971)*100, AND(F23="Mouse", BA23="mL"), (BE23/0.50891)*100, AND(F23="Rat", BA23="mL"), (BE23/1.971)*100, TRUE, "NA")</f>
        <v>2.0337583781454471</v>
      </c>
      <c r="BG23" cm="1">
        <f t="array" ref="BG23">_xlfn.IFS(AZ23="NA", "NA", BB23="NR", "NA", BB23="SD", AZ23, BB23="SE", AZ23*(SQRT(R23)), BB23="SEM", AZ23*(SQRT(R23)), TRUE, "NA")</f>
        <v>22.076005073382277</v>
      </c>
      <c r="BH23" s="18" t="s">
        <v>153</v>
      </c>
      <c r="BI23" t="s">
        <v>154</v>
      </c>
      <c r="BJ23" t="s">
        <v>153</v>
      </c>
      <c r="BK23" t="s">
        <v>740</v>
      </c>
    </row>
    <row r="24" spans="1:63" x14ac:dyDescent="0.3">
      <c r="A24" t="s">
        <v>738</v>
      </c>
      <c r="B24" t="s">
        <v>737</v>
      </c>
      <c r="C24">
        <v>2018</v>
      </c>
      <c r="D24" t="s">
        <v>739</v>
      </c>
      <c r="E24" t="s">
        <v>678</v>
      </c>
      <c r="F24" s="18" t="s">
        <v>23</v>
      </c>
      <c r="G24" t="s">
        <v>46</v>
      </c>
      <c r="H24" t="s">
        <v>34</v>
      </c>
      <c r="I24" t="s">
        <v>12</v>
      </c>
      <c r="J24" t="s">
        <v>8</v>
      </c>
      <c r="K24" t="s">
        <v>9</v>
      </c>
      <c r="L24" t="s">
        <v>9</v>
      </c>
      <c r="M24" t="s">
        <v>9</v>
      </c>
      <c r="N24">
        <v>270</v>
      </c>
      <c r="O24">
        <f t="shared" ref="O24:O26" si="2">AVERAGE(N24,P24)</f>
        <v>285</v>
      </c>
      <c r="P24">
        <v>300</v>
      </c>
      <c r="Q24">
        <v>1</v>
      </c>
      <c r="R24">
        <v>7</v>
      </c>
      <c r="S24">
        <v>1</v>
      </c>
      <c r="T24">
        <v>7</v>
      </c>
      <c r="U24" s="18" t="s">
        <v>71</v>
      </c>
      <c r="V24" t="s">
        <v>288</v>
      </c>
      <c r="W24" t="s">
        <v>8</v>
      </c>
      <c r="X24" t="s">
        <v>71</v>
      </c>
      <c r="Y24" t="s">
        <v>288</v>
      </c>
      <c r="Z24" t="s">
        <v>8</v>
      </c>
      <c r="AA24" t="s">
        <v>640</v>
      </c>
      <c r="AB24" t="s">
        <v>636</v>
      </c>
      <c r="AC24" t="s">
        <v>154</v>
      </c>
      <c r="AD24" t="s">
        <v>634</v>
      </c>
      <c r="AE24">
        <v>0</v>
      </c>
      <c r="AF24">
        <v>1</v>
      </c>
      <c r="AG24" t="s">
        <v>162</v>
      </c>
      <c r="AH24">
        <v>2</v>
      </c>
      <c r="AI24" cm="1">
        <f t="array" ref="AI24">_xlfn.IFS(AF24="NR", "NA", AG24="NR", "NA", AG24="NA","NA", AND(AG24="mg/ml", AH24&lt;&gt;"NR"), ((AF24/2492)*AH24*1000000), AND(AG24="mol/L", AH24&lt;&gt;"NR"), AF24*AH24*1000000, AG24="nmol", AF24*1000, AND(AG24="nmol/uL", AH24&lt;&gt;"NR"), AF24*AH24*1000, AG24="pg", AF24/2492, AG24="pmol", AF24, AND(AG24="pmol/uL", AH24&lt;&gt;"NR"), AF24*AH24, AG24="ug", AF24/2492*1000000, AND(AG24="ug/mL", AH24&lt;&gt;"NR"), (AF24/1000*AH24)/2492*1000000, AND(AG24="ug/uL", AH24&lt;&gt;"NR"), (AF24*AH24)/2492*1000000, AND(AG24="umol/L", AH24&lt;&gt;"NR"), AH24*AF24, TRUE, "NA")</f>
        <v>802.56821829855539</v>
      </c>
      <c r="AJ24">
        <v>10</v>
      </c>
      <c r="AK24">
        <v>1</v>
      </c>
      <c r="AL24" t="s">
        <v>9</v>
      </c>
      <c r="AM24" t="s">
        <v>8</v>
      </c>
      <c r="AN24" t="s">
        <v>9</v>
      </c>
      <c r="AO24" s="18" t="s">
        <v>741</v>
      </c>
      <c r="AP24" t="s">
        <v>1228</v>
      </c>
      <c r="AQ24">
        <v>1</v>
      </c>
      <c r="AR24" t="s">
        <v>103</v>
      </c>
      <c r="AS24" s="18">
        <v>168</v>
      </c>
      <c r="AT24" t="s">
        <v>271</v>
      </c>
      <c r="AU24" t="s">
        <v>652</v>
      </c>
      <c r="AV24" t="s">
        <v>728</v>
      </c>
      <c r="AW24">
        <v>45.62</v>
      </c>
      <c r="AX24">
        <v>4.8600000000000003</v>
      </c>
      <c r="AY24">
        <v>8.24</v>
      </c>
      <c r="AZ24">
        <v>2.5299999999999998</v>
      </c>
      <c r="BA24" t="s">
        <v>656</v>
      </c>
      <c r="BB24" t="s">
        <v>123</v>
      </c>
      <c r="BC24" cm="1">
        <f t="array" ref="BC24">_xlfn.IFS(BA24="Direct rLV % whole brain", AW24, BA24="Indirect rLV % whole brain", AW24, BA24="Direct rLV % hemisphere", AW24/2, BA24="Indirect rLV % hemisphere", AW24/2, AND(F24="Mouse", BA24="mm3"), (AW24/508.91)*100, AND(F24="Rat", BA24="mm3"), (AW24/1971)*100, AND(F24="Mouse", BA24="ul"), (AW24/508.91)*100, AND(F24="Rat", BA24="ul"), (AW24/1971)*100,  AND(F24="Mouse", BA24="nl"), (AW24/508910)*100, AND(F24="Rat", BA24="nl"), (AW24/1971000)*100, AND(F24="Mouse", BA24="cm3"), (AW24/0.50891)*100, AND(F24="Rat", BA24="cm3"), (AW24/1.971)*100, AND(F24="Mouse", BA24="mL"), (AW24/0.50891)*100, AND(F24="Rat", BA24="mL"), (AW24/1.971)*100, TRUE, "NA")</f>
        <v>2.3145611364789445</v>
      </c>
      <c r="BD24" cm="1">
        <f t="array" ref="BD24">_xlfn.IFS(AZ24="NA", "NA",BA24="Direct rLV % whole brain", AY24, BA24="Indirect rLV % whole brain", AY24, BA24="Direct rLV % hemisphere", AY24/2, BA24="Indirect rLV % hemisphere", AY24/2, AND(F24="Mouse", BA24="mm3"), (AY24/508.91)*100, AND(F24="Rat", BA24="mm3"), (AY24/1971)*100, AND(F24="Mouse", BA24="ul"), (AY24/508.91)*100, AND(F24="Rat", BA24="ul"), (AY24/1971)*100,  AND(F24="Mouse", BA24="nl"), (AY24/508910)*100, AND(F24="Rat", BA24="nl"), (AY24/1971000)*100, AND(F24="Mouse", BA24="cm3"), (AY24/0.50891)*100, AND(F24="Rat", BA24="cm3"), (AY24/1.971)*100, AND(F24="Mouse", BA24="mL"), (AY24/0.50891)*100, AND(F24="Rat", BA24="mL"), (AY24/1.971)*100, TRUE, "NA")</f>
        <v>0.41806189751395234</v>
      </c>
      <c r="BE24" cm="1">
        <f t="array" ref="BE24">_xlfn.IFS(AX24="NA", "NA", BB24="NR", "NA", BB24="SD", AX24, BB24="SE", AX24*(SQRT(R24)), BB24="SEM", AX24*(SQRT(R24)), TRUE, "NA")</f>
        <v>12.858351371773912</v>
      </c>
      <c r="BF24" cm="1">
        <f t="array" ref="BF24">_xlfn.IFS(BE24="NA", "NA",BA24="Direct rLV % whole brain", BE24, BA24="Indirect rLV % whole brain", BE24, BA24="Direct rLV % hemisphere", BE24/2, BA24="Indirect rLV % hemisphere", BE24/2, AND(F24="Mouse", BA24="mm3"), (BE24/508.91)*100, AND(F24="Rat", BA24="mm3"), (BE24/1971)*100, AND(F24="Mouse", BA24="ul"), (BE24/508.91)*100, AND(F24="Rat", BA24="ul"), (BE24/1971)*100,  AND(F24="Mouse", BA24="nl"), (BE24/508910)*100, AND(F24="Rat", BA24="nl"), (BE24/1971000)*100, AND(F24="Mouse", BA24="cm3"), (BE24/0.50891)*100, AND(F24="Rat", BA24="cm3"), (BE24/1.971)*100, AND(F24="Mouse", BA24="mL"), (BE24/0.50891)*100, AND(F24="Rat", BA24="mL"), (BE24/1.971)*100, TRUE, "NA")</f>
        <v>0.65237703560496763</v>
      </c>
      <c r="BG24" cm="1">
        <f t="array" ref="BG24">_xlfn.IFS(AZ24="NA", "NA", BB24="NR", "NA", BB24="SD", AZ24, BB24="SE", AZ24*(SQRT(R24)), BB24="SEM", AZ24*(SQRT(R24)), TRUE, "NA")</f>
        <v>6.6937508169934139</v>
      </c>
      <c r="BH24" s="18" t="s">
        <v>153</v>
      </c>
      <c r="BI24" t="s">
        <v>154</v>
      </c>
      <c r="BJ24" t="s">
        <v>153</v>
      </c>
      <c r="BK24" t="s">
        <v>740</v>
      </c>
    </row>
    <row r="25" spans="1:63" s="31" customFormat="1" x14ac:dyDescent="0.3">
      <c r="A25" s="31" t="s">
        <v>743</v>
      </c>
      <c r="B25" s="31" t="s">
        <v>742</v>
      </c>
      <c r="C25" s="31">
        <v>2014</v>
      </c>
      <c r="D25" s="31" t="s">
        <v>744</v>
      </c>
      <c r="E25" s="31" t="s">
        <v>647</v>
      </c>
      <c r="F25" s="32" t="s">
        <v>23</v>
      </c>
      <c r="G25" s="31" t="s">
        <v>10</v>
      </c>
      <c r="H25" s="31" t="s">
        <v>34</v>
      </c>
      <c r="I25" s="31" t="s">
        <v>12</v>
      </c>
      <c r="J25" s="31" t="s">
        <v>8</v>
      </c>
      <c r="K25" s="31" t="s">
        <v>8</v>
      </c>
      <c r="L25" s="31">
        <v>13</v>
      </c>
      <c r="M25" s="31" t="s">
        <v>8</v>
      </c>
      <c r="N25" s="31">
        <v>325</v>
      </c>
      <c r="O25" s="31">
        <f t="shared" si="2"/>
        <v>350</v>
      </c>
      <c r="P25" s="31">
        <v>375</v>
      </c>
      <c r="Q25" s="31">
        <v>1</v>
      </c>
      <c r="R25" s="31">
        <v>6</v>
      </c>
      <c r="S25" s="31">
        <v>3</v>
      </c>
      <c r="T25" s="31">
        <v>6</v>
      </c>
      <c r="U25" s="32" t="s">
        <v>68</v>
      </c>
      <c r="V25" s="31" t="s">
        <v>96</v>
      </c>
      <c r="W25" s="31" t="s">
        <v>8</v>
      </c>
      <c r="X25" s="31" t="s">
        <v>68</v>
      </c>
      <c r="Y25" s="31" t="s">
        <v>96</v>
      </c>
      <c r="Z25" s="31" t="s">
        <v>8</v>
      </c>
      <c r="AA25" s="31" t="s">
        <v>640</v>
      </c>
      <c r="AB25" s="31" t="s">
        <v>746</v>
      </c>
      <c r="AC25" s="31" t="s">
        <v>154</v>
      </c>
      <c r="AD25" s="31" t="s">
        <v>634</v>
      </c>
      <c r="AE25" s="31">
        <v>0</v>
      </c>
      <c r="AF25" s="31">
        <v>400</v>
      </c>
      <c r="AG25" s="31" t="s">
        <v>745</v>
      </c>
      <c r="AH25" s="31">
        <v>5</v>
      </c>
      <c r="AI25" cm="1">
        <f t="array" ref="AI25">_xlfn.IFS(AF25="NR", "NA", AG25="NR", "NA", AG25="NA","NA", AND(AG25="mg/ml", AH25&lt;&gt;"NR"), ((AF25/2492)*AH25*1000000), AND(AG25="mol/L", AH25&lt;&gt;"NR"), AF25*AH25*1000000, AG25="nmol", AF25*1000, AND(AG25="nmol/uL", AH25&lt;&gt;"NR"), AF25*AH25*1000, AG25="pg", AF25/2492, AG25="pmol", AF25, AND(AG25="pmol/uL", AH25&lt;&gt;"NR"), AF25*AH25, AG25="ug", AF25/2492*1000000, AND(AG25="ug/mL", AH25&lt;&gt;"NR"), (AF25/1000*AH25)/2492*1000000, AND(AG25="ug/uL", AH25&lt;&gt;"NR"), (AF25*AH25)/2492*1000000, AND(AG25="umol/L", AH25&lt;&gt;"NR"), AH25*AF25, TRUE, "NA")</f>
        <v>2000</v>
      </c>
      <c r="AJ25" s="31" t="s">
        <v>9</v>
      </c>
      <c r="AK25" s="31">
        <v>3</v>
      </c>
      <c r="AL25" s="31" t="s">
        <v>9</v>
      </c>
      <c r="AM25" s="31" t="s">
        <v>8</v>
      </c>
      <c r="AN25" s="31" t="s">
        <v>9</v>
      </c>
      <c r="AO25" s="32" t="s">
        <v>280</v>
      </c>
      <c r="AP25" t="s">
        <v>1228</v>
      </c>
      <c r="AQ25" s="31">
        <v>168</v>
      </c>
      <c r="AR25" s="31" t="s">
        <v>103</v>
      </c>
      <c r="AS25" s="32">
        <v>408</v>
      </c>
      <c r="AT25" s="31" t="s">
        <v>271</v>
      </c>
      <c r="AU25" s="31" t="s">
        <v>652</v>
      </c>
      <c r="AV25" s="31" t="s">
        <v>674</v>
      </c>
      <c r="AW25" s="31">
        <v>10.71</v>
      </c>
      <c r="AX25" s="31">
        <v>1.59</v>
      </c>
      <c r="AY25" s="31">
        <v>20.34</v>
      </c>
      <c r="AZ25" s="31">
        <v>3.01</v>
      </c>
      <c r="BA25" s="31" t="s">
        <v>656</v>
      </c>
      <c r="BB25" s="31" t="s">
        <v>123</v>
      </c>
      <c r="BC25" cm="1">
        <f t="array" ref="BC25">_xlfn.IFS(BA25="Direct rLV % whole brain", AW25, BA25="Indirect rLV % whole brain", AW25, BA25="Direct rLV % hemisphere", AW25/2, BA25="Indirect rLV % hemisphere", AW25/2, AND(F25="Mouse", BA25="mm3"), (AW25/508.91)*100, AND(F25="Rat", BA25="mm3"), (AW25/1971)*100, AND(F25="Mouse", BA25="ul"), (AW25/508.91)*100, AND(F25="Rat", BA25="ul"), (AW25/1971)*100,  AND(F25="Mouse", BA25="nl"), (AW25/508910)*100, AND(F25="Rat", BA25="nl"), (AW25/1971000)*100, AND(F25="Mouse", BA25="cm3"), (AW25/0.50891)*100, AND(F25="Rat", BA25="cm3"), (AW25/1.971)*100, AND(F25="Mouse", BA25="mL"), (AW25/0.50891)*100, AND(F25="Rat", BA25="mL"), (AW25/1.971)*100, TRUE, "NA")</f>
        <v>0.54337899543378998</v>
      </c>
      <c r="BD25" cm="1">
        <f t="array" ref="BD25">_xlfn.IFS(AZ25="NA", "NA",BA25="Direct rLV % whole brain", AY25, BA25="Indirect rLV % whole brain", AY25, BA25="Direct rLV % hemisphere", AY25/2, BA25="Indirect rLV % hemisphere", AY25/2, AND(F25="Mouse", BA25="mm3"), (AY25/508.91)*100, AND(F25="Rat", BA25="mm3"), (AY25/1971)*100, AND(F25="Mouse", BA25="ul"), (AY25/508.91)*100, AND(F25="Rat", BA25="ul"), (AY25/1971)*100,  AND(F25="Mouse", BA25="nl"), (AY25/508910)*100, AND(F25="Rat", BA25="nl"), (AY25/1971000)*100, AND(F25="Mouse", BA25="cm3"), (AY25/0.50891)*100, AND(F25="Rat", BA25="cm3"), (AY25/1.971)*100, AND(F25="Mouse", BA25="mL"), (AY25/0.50891)*100, AND(F25="Rat", BA25="mL"), (AY25/1.971)*100, TRUE, "NA")</f>
        <v>1.0319634703196348</v>
      </c>
      <c r="BE25" cm="1">
        <f t="array" ref="BE25">_xlfn.IFS(AX25="NA", "NA", BB25="NR", "NA", BB25="SD", AX25, BB25="SE", AX25*(SQRT(R25)), BB25="SEM", AX25*(SQRT(R25)), TRUE, "NA")</f>
        <v>3.8946886910252529</v>
      </c>
      <c r="BF25" cm="1">
        <f t="array" ref="BF25">_xlfn.IFS(BE25="NA", "NA",BA25="Direct rLV % whole brain", BE25, BA25="Indirect rLV % whole brain", BE25, BA25="Direct rLV % hemisphere", BE25/2, BA25="Indirect rLV % hemisphere", BE25/2, AND(F25="Mouse", BA25="mm3"), (BE25/508.91)*100, AND(F25="Rat", BA25="mm3"), (BE25/1971)*100, AND(F25="Mouse", BA25="ul"), (BE25/508.91)*100, AND(F25="Rat", BA25="ul"), (BE25/1971)*100,  AND(F25="Mouse", BA25="nl"), (BE25/508910)*100, AND(F25="Rat", BA25="nl"), (BE25/1971000)*100, AND(F25="Mouse", BA25="cm3"), (BE25/0.50891)*100, AND(F25="Rat", BA25="cm3"), (BE25/1.971)*100, AND(F25="Mouse", BA25="mL"), (BE25/0.50891)*100, AND(F25="Rat", BA25="mL"), (BE25/1.971)*100, TRUE, "NA")</f>
        <v>0.19759962917428983</v>
      </c>
      <c r="BG25" cm="1">
        <f t="array" ref="BG25">_xlfn.IFS(AZ25="NA", "NA", BB25="NR", "NA", BB25="SD", AZ25, BB25="SE", AZ25*(SQRT(R25)), BB25="SEM", AZ25*(SQRT(R25)), TRUE, "NA")</f>
        <v>7.372964125777365</v>
      </c>
      <c r="BH25" s="32" t="s">
        <v>153</v>
      </c>
      <c r="BI25" s="31" t="s">
        <v>153</v>
      </c>
      <c r="BJ25" s="31" t="s">
        <v>153</v>
      </c>
    </row>
    <row r="26" spans="1:63" s="31" customFormat="1" x14ac:dyDescent="0.3">
      <c r="A26" s="31" t="s">
        <v>743</v>
      </c>
      <c r="B26" s="31" t="s">
        <v>742</v>
      </c>
      <c r="C26" s="31">
        <v>2014</v>
      </c>
      <c r="D26" s="31" t="s">
        <v>744</v>
      </c>
      <c r="E26" s="31" t="s">
        <v>678</v>
      </c>
      <c r="F26" s="32" t="s">
        <v>23</v>
      </c>
      <c r="G26" s="31" t="s">
        <v>10</v>
      </c>
      <c r="H26" s="31" t="s">
        <v>34</v>
      </c>
      <c r="I26" s="31" t="s">
        <v>12</v>
      </c>
      <c r="J26" s="31" t="s">
        <v>8</v>
      </c>
      <c r="K26" s="31" t="s">
        <v>8</v>
      </c>
      <c r="L26" s="31">
        <v>13</v>
      </c>
      <c r="M26" s="31" t="s">
        <v>8</v>
      </c>
      <c r="N26" s="31">
        <v>325</v>
      </c>
      <c r="O26" s="31">
        <f t="shared" si="2"/>
        <v>350</v>
      </c>
      <c r="P26" s="31">
        <v>375</v>
      </c>
      <c r="Q26" s="31">
        <v>1</v>
      </c>
      <c r="R26" s="31">
        <v>6</v>
      </c>
      <c r="S26" s="31">
        <v>3</v>
      </c>
      <c r="T26" s="31">
        <v>6</v>
      </c>
      <c r="U26" s="32" t="s">
        <v>68</v>
      </c>
      <c r="V26" s="31" t="s">
        <v>96</v>
      </c>
      <c r="W26" s="31" t="s">
        <v>8</v>
      </c>
      <c r="X26" s="31" t="s">
        <v>68</v>
      </c>
      <c r="Y26" s="31" t="s">
        <v>96</v>
      </c>
      <c r="Z26" s="31" t="s">
        <v>8</v>
      </c>
      <c r="AA26" s="31" t="s">
        <v>640</v>
      </c>
      <c r="AB26" s="31" t="s">
        <v>746</v>
      </c>
      <c r="AC26" s="31" t="s">
        <v>154</v>
      </c>
      <c r="AD26" s="31" t="s">
        <v>634</v>
      </c>
      <c r="AE26" s="31">
        <v>0</v>
      </c>
      <c r="AF26" s="31">
        <v>400</v>
      </c>
      <c r="AG26" s="31" t="s">
        <v>745</v>
      </c>
      <c r="AH26" s="31">
        <v>5</v>
      </c>
      <c r="AI26" cm="1">
        <f t="array" ref="AI26">_xlfn.IFS(AF26="NR", "NA", AG26="NR", "NA", AG26="NA","NA", AND(AG26="mg/ml", AH26&lt;&gt;"NR"), ((AF26/2492)*AH26*1000000), AND(AG26="mol/L", AH26&lt;&gt;"NR"), AF26*AH26*1000000, AG26="nmol", AF26*1000, AND(AG26="nmol/uL", AH26&lt;&gt;"NR"), AF26*AH26*1000, AG26="pg", AF26/2492, AG26="pmol", AF26, AND(AG26="pmol/uL", AH26&lt;&gt;"NR"), AF26*AH26, AG26="ug", AF26/2492*1000000, AND(AG26="ug/mL", AH26&lt;&gt;"NR"), (AF26/1000*AH26)/2492*1000000, AND(AG26="ug/uL", AH26&lt;&gt;"NR"), (AF26*AH26)/2492*1000000, AND(AG26="umol/L", AH26&lt;&gt;"NR"), AH26*AF26, TRUE, "NA")</f>
        <v>2000</v>
      </c>
      <c r="AJ26" s="31" t="s">
        <v>9</v>
      </c>
      <c r="AK26" s="31">
        <v>3</v>
      </c>
      <c r="AL26" s="31" t="s">
        <v>9</v>
      </c>
      <c r="AM26" s="31" t="s">
        <v>8</v>
      </c>
      <c r="AN26" s="31" t="s">
        <v>9</v>
      </c>
      <c r="AO26" s="32" t="s">
        <v>773</v>
      </c>
      <c r="AP26" t="s">
        <v>1228</v>
      </c>
      <c r="AQ26" s="31">
        <v>168</v>
      </c>
      <c r="AR26" s="31" t="s">
        <v>103</v>
      </c>
      <c r="AS26" s="32">
        <v>408</v>
      </c>
      <c r="AT26" s="31" t="s">
        <v>271</v>
      </c>
      <c r="AU26" s="31" t="s">
        <v>652</v>
      </c>
      <c r="AV26" s="31" t="s">
        <v>674</v>
      </c>
      <c r="AW26" s="31">
        <v>10.71</v>
      </c>
      <c r="AX26" s="31">
        <v>1.59</v>
      </c>
      <c r="AY26" s="31">
        <v>16.73</v>
      </c>
      <c r="AZ26" s="31">
        <v>3.75</v>
      </c>
      <c r="BA26" s="31" t="s">
        <v>656</v>
      </c>
      <c r="BB26" s="31" t="s">
        <v>123</v>
      </c>
      <c r="BC26" cm="1">
        <f t="array" ref="BC26">_xlfn.IFS(BA26="Direct rLV % whole brain", AW26, BA26="Indirect rLV % whole brain", AW26, BA26="Direct rLV % hemisphere", AW26/2, BA26="Indirect rLV % hemisphere", AW26/2, AND(F26="Mouse", BA26="mm3"), (AW26/508.91)*100, AND(F26="Rat", BA26="mm3"), (AW26/1971)*100, AND(F26="Mouse", BA26="ul"), (AW26/508.91)*100, AND(F26="Rat", BA26="ul"), (AW26/1971)*100,  AND(F26="Mouse", BA26="nl"), (AW26/508910)*100, AND(F26="Rat", BA26="nl"), (AW26/1971000)*100, AND(F26="Mouse", BA26="cm3"), (AW26/0.50891)*100, AND(F26="Rat", BA26="cm3"), (AW26/1.971)*100, AND(F26="Mouse", BA26="mL"), (AW26/0.50891)*100, AND(F26="Rat", BA26="mL"), (AW26/1.971)*100, TRUE, "NA")</f>
        <v>0.54337899543378998</v>
      </c>
      <c r="BD26" cm="1">
        <f t="array" ref="BD26">_xlfn.IFS(AZ26="NA", "NA",BA26="Direct rLV % whole brain", AY26, BA26="Indirect rLV % whole brain", AY26, BA26="Direct rLV % hemisphere", AY26/2, BA26="Indirect rLV % hemisphere", AY26/2, AND(F26="Mouse", BA26="mm3"), (AY26/508.91)*100, AND(F26="Rat", BA26="mm3"), (AY26/1971)*100, AND(F26="Mouse", BA26="ul"), (AY26/508.91)*100, AND(F26="Rat", BA26="ul"), (AY26/1971)*100,  AND(F26="Mouse", BA26="nl"), (AY26/508910)*100, AND(F26="Rat", BA26="nl"), (AY26/1971000)*100, AND(F26="Mouse", BA26="cm3"), (AY26/0.50891)*100, AND(F26="Rat", BA26="cm3"), (AY26/1.971)*100, AND(F26="Mouse", BA26="mL"), (AY26/0.50891)*100, AND(F26="Rat", BA26="mL"), (AY26/1.971)*100, TRUE, "NA")</f>
        <v>0.84880771182141057</v>
      </c>
      <c r="BE26" cm="1">
        <f t="array" ref="BE26">_xlfn.IFS(AX26="NA", "NA", BB26="NR", "NA", BB26="SD", AX26, BB26="SE", AX26*(SQRT(R26)), BB26="SEM", AX26*(SQRT(R26)), TRUE, "NA")</f>
        <v>3.8946886910252529</v>
      </c>
      <c r="BF26" cm="1">
        <f t="array" ref="BF26">_xlfn.IFS(BE26="NA", "NA",BA26="Direct rLV % whole brain", BE26, BA26="Indirect rLV % whole brain", BE26, BA26="Direct rLV % hemisphere", BE26/2, BA26="Indirect rLV % hemisphere", BE26/2, AND(F26="Mouse", BA26="mm3"), (BE26/508.91)*100, AND(F26="Rat", BA26="mm3"), (BE26/1971)*100, AND(F26="Mouse", BA26="ul"), (BE26/508.91)*100, AND(F26="Rat", BA26="ul"), (BE26/1971)*100,  AND(F26="Mouse", BA26="nl"), (BE26/508910)*100, AND(F26="Rat", BA26="nl"), (BE26/1971000)*100, AND(F26="Mouse", BA26="cm3"), (BE26/0.50891)*100, AND(F26="Rat", BA26="cm3"), (BE26/1.971)*100, AND(F26="Mouse", BA26="mL"), (BE26/0.50891)*100, AND(F26="Rat", BA26="mL"), (BE26/1.971)*100, TRUE, "NA")</f>
        <v>0.19759962917428983</v>
      </c>
      <c r="BG26" cm="1">
        <f t="array" ref="BG26">_xlfn.IFS(AZ26="NA", "NA", BB26="NR", "NA", BB26="SD", AZ26, BB26="SE", AZ26*(SQRT(R26)), BB26="SEM", AZ26*(SQRT(R26)), TRUE, "NA")</f>
        <v>9.1855865354369168</v>
      </c>
      <c r="BH26" s="32" t="s">
        <v>153</v>
      </c>
      <c r="BI26" s="31" t="s">
        <v>153</v>
      </c>
      <c r="BJ26" s="31" t="s">
        <v>153</v>
      </c>
    </row>
    <row r="27" spans="1:63" x14ac:dyDescent="0.3">
      <c r="A27" t="s">
        <v>748</v>
      </c>
      <c r="B27" t="s">
        <v>747</v>
      </c>
      <c r="C27">
        <v>1994</v>
      </c>
      <c r="D27" t="s">
        <v>749</v>
      </c>
      <c r="E27" t="s">
        <v>647</v>
      </c>
      <c r="F27" s="18" t="s">
        <v>23</v>
      </c>
      <c r="G27" t="s">
        <v>10</v>
      </c>
      <c r="H27" t="s">
        <v>34</v>
      </c>
      <c r="I27" t="s">
        <v>12</v>
      </c>
      <c r="J27" t="s">
        <v>8</v>
      </c>
      <c r="K27" t="s">
        <v>9</v>
      </c>
      <c r="L27" t="s">
        <v>9</v>
      </c>
      <c r="M27" t="s">
        <v>9</v>
      </c>
      <c r="N27" t="s">
        <v>9</v>
      </c>
      <c r="O27" t="s">
        <v>9</v>
      </c>
      <c r="P27" t="s">
        <v>9</v>
      </c>
      <c r="Q27">
        <v>1</v>
      </c>
      <c r="R27">
        <v>10</v>
      </c>
      <c r="S27">
        <v>2</v>
      </c>
      <c r="T27">
        <v>9</v>
      </c>
      <c r="U27" s="18" t="s">
        <v>66</v>
      </c>
      <c r="V27" t="s">
        <v>96</v>
      </c>
      <c r="W27" t="s">
        <v>8</v>
      </c>
      <c r="X27" t="s">
        <v>66</v>
      </c>
      <c r="Y27" t="s">
        <v>96</v>
      </c>
      <c r="Z27" t="s">
        <v>8</v>
      </c>
      <c r="AA27" t="s">
        <v>639</v>
      </c>
      <c r="AB27" t="s">
        <v>636</v>
      </c>
      <c r="AC27" t="s">
        <v>153</v>
      </c>
      <c r="AD27" t="s">
        <v>634</v>
      </c>
      <c r="AE27">
        <v>0</v>
      </c>
      <c r="AF27">
        <v>2.5</v>
      </c>
      <c r="AG27" t="s">
        <v>115</v>
      </c>
      <c r="AH27">
        <v>25</v>
      </c>
      <c r="AI27" cm="1">
        <f t="array" ref="AI27">_xlfn.IFS(AF27="NR", "NA", AG27="NR", "NA", AG27="NA","NA", AND(AG27="mg/ml", AH27&lt;&gt;"NR"), ((AF27/2492)*AH27*1000000), AND(AG27="mol/L", AH27&lt;&gt;"NR"), AF27*AH27*1000000, AG27="nmol", AF27*1000, AND(AG27="nmol/uL", AH27&lt;&gt;"NR"), AF27*AH27*1000, AG27="pg", AF27/2492, AG27="pmol", AF27, AND(AG27="pmol/uL", AH27&lt;&gt;"NR"), AF27*AH27, AG27="ug", AF27/2492*1000000, AND(AG27="ug/mL", AH27&lt;&gt;"NR"), (AF27/1000*AH27)/2492*1000000, AND(AG27="ug/uL", AH27&lt;&gt;"NR"), (AF27*AH27)/2492*1000000, AND(AG27="umol/L", AH27&lt;&gt;"NR"), AH27*AF27, TRUE, "NA")</f>
        <v>2500</v>
      </c>
      <c r="AJ27" t="s">
        <v>9</v>
      </c>
      <c r="AK27">
        <v>1</v>
      </c>
      <c r="AL27" t="s">
        <v>9</v>
      </c>
      <c r="AM27" t="s">
        <v>8</v>
      </c>
      <c r="AN27" t="s">
        <v>9</v>
      </c>
      <c r="AO27" s="18" t="s">
        <v>176</v>
      </c>
      <c r="AP27" t="s">
        <v>1228</v>
      </c>
      <c r="AQ27">
        <v>-2.5</v>
      </c>
      <c r="AR27" t="s">
        <v>101</v>
      </c>
      <c r="AS27" s="18">
        <v>4</v>
      </c>
      <c r="AT27" t="s">
        <v>271</v>
      </c>
      <c r="AU27" t="s">
        <v>653</v>
      </c>
      <c r="AV27" t="s">
        <v>679</v>
      </c>
      <c r="AW27">
        <v>59</v>
      </c>
      <c r="AX27">
        <v>38</v>
      </c>
      <c r="AY27">
        <v>17</v>
      </c>
      <c r="AZ27">
        <v>28</v>
      </c>
      <c r="BA27" t="s">
        <v>656</v>
      </c>
      <c r="BB27" t="s">
        <v>123</v>
      </c>
      <c r="BC27" cm="1">
        <f t="array" ref="BC27">_xlfn.IFS(BA27="Direct rLV % whole brain", AW27, BA27="Indirect rLV % whole brain", AW27, BA27="Direct rLV % hemisphere", AW27/2, BA27="Indirect rLV % hemisphere", AW27/2, AND(F27="Mouse", BA27="mm3"), (AW27/508.91)*100, AND(F27="Rat", BA27="mm3"), (AW27/1971)*100, AND(F27="Mouse", BA27="ul"), (AW27/508.91)*100, AND(F27="Rat", BA27="ul"), (AW27/1971)*100,  AND(F27="Mouse", BA27="nl"), (AW27/508910)*100, AND(F27="Rat", BA27="nl"), (AW27/1971000)*100, AND(F27="Mouse", BA27="cm3"), (AW27/0.50891)*100, AND(F27="Rat", BA27="cm3"), (AW27/1.971)*100, AND(F27="Mouse", BA27="mL"), (AW27/0.50891)*100, AND(F27="Rat", BA27="mL"), (AW27/1.971)*100, TRUE, "NA")</f>
        <v>2.993404363267377</v>
      </c>
      <c r="BD27" cm="1">
        <f t="array" ref="BD27">_xlfn.IFS(AZ27="NA", "NA",BA27="Direct rLV % whole brain", AY27, BA27="Indirect rLV % whole brain", AY27, BA27="Direct rLV % hemisphere", AY27/2, BA27="Indirect rLV % hemisphere", AY27/2, AND(F27="Mouse", BA27="mm3"), (AY27/508.91)*100, AND(F27="Rat", BA27="mm3"), (AY27/1971)*100, AND(F27="Mouse", BA27="ul"), (AY27/508.91)*100, AND(F27="Rat", BA27="ul"), (AY27/1971)*100,  AND(F27="Mouse", BA27="nl"), (AY27/508910)*100, AND(F27="Rat", BA27="nl"), (AY27/1971000)*100, AND(F27="Mouse", BA27="cm3"), (AY27/0.50891)*100, AND(F27="Rat", BA27="cm3"), (AY27/1.971)*100, AND(F27="Mouse", BA27="mL"), (AY27/0.50891)*100, AND(F27="Rat", BA27="mL"), (AY27/1.971)*100, TRUE, "NA")</f>
        <v>0.86250634195839671</v>
      </c>
      <c r="BE27" cm="1">
        <f t="array" ref="BE27">_xlfn.IFS(AX27="NA", "NA", BB27="NR", "NA", BB27="SD", AX27, BB27="SE", AX27*(SQRT(R27)), BB27="SEM", AX27*(SQRT(R27)), TRUE, "NA")</f>
        <v>120.16655108639843</v>
      </c>
      <c r="BF27" cm="1">
        <f t="array" ref="BF27">_xlfn.IFS(BE27="NA", "NA",BA27="Direct rLV % whole brain", BE27, BA27="Indirect rLV % whole brain", BE27, BA27="Direct rLV % hemisphere", BE27/2, BA27="Indirect rLV % hemisphere", BE27/2, AND(F27="Mouse", BA27="mm3"), (BE27/508.91)*100, AND(F27="Rat", BA27="mm3"), (BE27/1971)*100, AND(F27="Mouse", BA27="ul"), (BE27/508.91)*100, AND(F27="Rat", BA27="ul"), (BE27/1971)*100,  AND(F27="Mouse", BA27="nl"), (BE27/508910)*100, AND(F27="Rat", BA27="nl"), (BE27/1971000)*100, AND(F27="Mouse", BA27="cm3"), (BE27/0.50891)*100, AND(F27="Rat", BA27="cm3"), (BE27/1.971)*100, AND(F27="Mouse", BA27="mL"), (BE27/0.50891)*100, AND(F27="Rat", BA27="mL"), (BE27/1.971)*100, TRUE, "NA")</f>
        <v>6.0967301413697834</v>
      </c>
      <c r="BG27" cm="1">
        <f t="array" ref="BG27">_xlfn.IFS(AZ27="NA", "NA", BB27="NR", "NA", BB27="SD", AZ27, BB27="SE", AZ27*(SQRT(R27)), BB27="SEM", AZ27*(SQRT(R27)), TRUE, "NA")</f>
        <v>88.543774484714632</v>
      </c>
      <c r="BH27" s="18" t="s">
        <v>154</v>
      </c>
      <c r="BI27" t="s">
        <v>153</v>
      </c>
      <c r="BJ27" t="s">
        <v>154</v>
      </c>
    </row>
    <row r="28" spans="1:63" x14ac:dyDescent="0.3">
      <c r="A28" t="s">
        <v>748</v>
      </c>
      <c r="B28" t="s">
        <v>747</v>
      </c>
      <c r="C28">
        <v>1994</v>
      </c>
      <c r="D28" t="s">
        <v>749</v>
      </c>
      <c r="E28" t="s">
        <v>678</v>
      </c>
      <c r="F28" s="18" t="s">
        <v>23</v>
      </c>
      <c r="G28" t="s">
        <v>10</v>
      </c>
      <c r="H28" t="s">
        <v>34</v>
      </c>
      <c r="I28" t="s">
        <v>12</v>
      </c>
      <c r="J28" t="s">
        <v>8</v>
      </c>
      <c r="K28" t="s">
        <v>9</v>
      </c>
      <c r="L28" t="s">
        <v>9</v>
      </c>
      <c r="M28" t="s">
        <v>9</v>
      </c>
      <c r="N28" t="s">
        <v>9</v>
      </c>
      <c r="O28" t="s">
        <v>9</v>
      </c>
      <c r="P28" t="s">
        <v>9</v>
      </c>
      <c r="Q28">
        <v>1</v>
      </c>
      <c r="R28">
        <v>14</v>
      </c>
      <c r="S28">
        <v>2</v>
      </c>
      <c r="T28">
        <v>14</v>
      </c>
      <c r="U28" s="18" t="s">
        <v>66</v>
      </c>
      <c r="V28" t="s">
        <v>96</v>
      </c>
      <c r="W28" t="s">
        <v>8</v>
      </c>
      <c r="X28" t="s">
        <v>66</v>
      </c>
      <c r="Y28" t="s">
        <v>96</v>
      </c>
      <c r="Z28" t="s">
        <v>8</v>
      </c>
      <c r="AA28" t="s">
        <v>639</v>
      </c>
      <c r="AB28" t="s">
        <v>636</v>
      </c>
      <c r="AC28" t="s">
        <v>153</v>
      </c>
      <c r="AD28" t="s">
        <v>634</v>
      </c>
      <c r="AE28">
        <v>0</v>
      </c>
      <c r="AF28">
        <v>2.5</v>
      </c>
      <c r="AG28" t="s">
        <v>115</v>
      </c>
      <c r="AH28">
        <v>25</v>
      </c>
      <c r="AI28" cm="1">
        <f t="array" ref="AI28">_xlfn.IFS(AF28="NR", "NA", AG28="NR", "NA", AG28="NA","NA", AND(AG28="mg/ml", AH28&lt;&gt;"NR"), ((AF28/2492)*AH28*1000000), AND(AG28="mol/L", AH28&lt;&gt;"NR"), AF28*AH28*1000000, AG28="nmol", AF28*1000, AND(AG28="nmol/uL", AH28&lt;&gt;"NR"), AF28*AH28*1000, AG28="pg", AF28/2492, AG28="pmol", AF28, AND(AG28="pmol/uL", AH28&lt;&gt;"NR"), AF28*AH28, AG28="ug", AF28/2492*1000000, AND(AG28="ug/mL", AH28&lt;&gt;"NR"), (AF28/1000*AH28)/2492*1000000, AND(AG28="ug/uL", AH28&lt;&gt;"NR"), (AF28*AH28)/2492*1000000, AND(AG28="umol/L", AH28&lt;&gt;"NR"), AH28*AF28, TRUE, "NA")</f>
        <v>2500</v>
      </c>
      <c r="AJ28" t="s">
        <v>9</v>
      </c>
      <c r="AK28">
        <v>1</v>
      </c>
      <c r="AL28" t="s">
        <v>9</v>
      </c>
      <c r="AM28" t="s">
        <v>8</v>
      </c>
      <c r="AN28" t="s">
        <v>9</v>
      </c>
      <c r="AO28" s="18" t="s">
        <v>750</v>
      </c>
      <c r="AP28" t="s">
        <v>1228</v>
      </c>
      <c r="AQ28">
        <v>-0.5</v>
      </c>
      <c r="AR28" t="s">
        <v>101</v>
      </c>
      <c r="AS28" s="18">
        <v>4</v>
      </c>
      <c r="AT28" t="s">
        <v>271</v>
      </c>
      <c r="AU28" t="s">
        <v>653</v>
      </c>
      <c r="AV28" t="s">
        <v>674</v>
      </c>
      <c r="AW28">
        <v>54.25</v>
      </c>
      <c r="AX28">
        <v>10.54</v>
      </c>
      <c r="AY28">
        <v>38.54</v>
      </c>
      <c r="AZ28">
        <v>7.27</v>
      </c>
      <c r="BA28" t="s">
        <v>656</v>
      </c>
      <c r="BB28" t="s">
        <v>123</v>
      </c>
      <c r="BC28" cm="1">
        <f t="array" ref="BC28">_xlfn.IFS(BA28="Direct rLV % whole brain", AW28, BA28="Indirect rLV % whole brain", AW28, BA28="Direct rLV % hemisphere", AW28/2, BA28="Indirect rLV % hemisphere", AW28/2, AND(F28="Mouse", BA28="mm3"), (AW28/508.91)*100, AND(F28="Rat", BA28="mm3"), (AW28/1971)*100, AND(F28="Mouse", BA28="ul"), (AW28/508.91)*100, AND(F28="Rat", BA28="ul"), (AW28/1971)*100,  AND(F28="Mouse", BA28="nl"), (AW28/508910)*100, AND(F28="Rat", BA28="nl"), (AW28/1971000)*100, AND(F28="Mouse", BA28="cm3"), (AW28/0.50891)*100, AND(F28="Rat", BA28="cm3"), (AW28/1.971)*100, AND(F28="Mouse", BA28="mL"), (AW28/0.50891)*100, AND(F28="Rat", BA28="mL"), (AW28/1.971)*100, TRUE, "NA")</f>
        <v>2.7524099441907661</v>
      </c>
      <c r="BD28" cm="1">
        <f t="array" ref="BD28">_xlfn.IFS(AZ28="NA", "NA",BA28="Direct rLV % whole brain", AY28, BA28="Indirect rLV % whole brain", AY28, BA28="Direct rLV % hemisphere", AY28/2, BA28="Indirect rLV % hemisphere", AY28/2, AND(F28="Mouse", BA28="mm3"), (AY28/508.91)*100, AND(F28="Rat", BA28="mm3"), (AY28/1971)*100, AND(F28="Mouse", BA28="ul"), (AY28/508.91)*100, AND(F28="Rat", BA28="ul"), (AY28/1971)*100,  AND(F28="Mouse", BA28="nl"), (AY28/508910)*100, AND(F28="Rat", BA28="nl"), (AY28/1971000)*100, AND(F28="Mouse", BA28="cm3"), (AY28/0.50891)*100, AND(F28="Rat", BA28="cm3"), (AY28/1.971)*100, AND(F28="Mouse", BA28="mL"), (AY28/0.50891)*100, AND(F28="Rat", BA28="mL"), (AY28/1.971)*100, TRUE, "NA")</f>
        <v>1.9553526128868595</v>
      </c>
      <c r="BE28" cm="1">
        <f t="array" ref="BE28">_xlfn.IFS(AX28="NA", "NA", BB28="NR", "NA", BB28="SD", AX28, BB28="SE", AX28*(SQRT(R28)), BB28="SEM", AX28*(SQRT(R28)), TRUE, "NA")</f>
        <v>39.437068856597335</v>
      </c>
      <c r="BF28" cm="1">
        <f t="array" ref="BF28">_xlfn.IFS(BE28="NA", "NA",BA28="Direct rLV % whole brain", BE28, BA28="Indirect rLV % whole brain", BE28, BA28="Direct rLV % hemisphere", BE28/2, BA28="Indirect rLV % hemisphere", BE28/2, AND(F28="Mouse", BA28="mm3"), (BE28/508.91)*100, AND(F28="Rat", BA28="mm3"), (BE28/1971)*100, AND(F28="Mouse", BA28="ul"), (BE28/508.91)*100, AND(F28="Rat", BA28="ul"), (BE28/1971)*100,  AND(F28="Mouse", BA28="nl"), (BE28/508910)*100, AND(F28="Rat", BA28="nl"), (BE28/1971000)*100, AND(F28="Mouse", BA28="cm3"), (BE28/0.50891)*100, AND(F28="Rat", BA28="cm3"), (BE28/1.971)*100, AND(F28="Mouse", BA28="mL"), (BE28/0.50891)*100, AND(F28="Rat", BA28="mL"), (BE28/1.971)*100, TRUE, "NA")</f>
        <v>2.0008659998273637</v>
      </c>
      <c r="BG28" cm="1">
        <f t="array" ref="BG28">_xlfn.IFS(AZ28="NA", "NA", BB28="NR", "NA", BB28="SD", AZ28, BB28="SE", AZ28*(SQRT(R28)), BB28="SEM", AZ28*(SQRT(R28)), TRUE, "NA")</f>
        <v>27.201849201846553</v>
      </c>
      <c r="BH28" s="18" t="s">
        <v>154</v>
      </c>
      <c r="BI28" t="s">
        <v>153</v>
      </c>
      <c r="BJ28" t="s">
        <v>154</v>
      </c>
    </row>
    <row r="29" spans="1:63" s="31" customFormat="1" x14ac:dyDescent="0.3">
      <c r="A29" s="31" t="s">
        <v>751</v>
      </c>
      <c r="B29" s="31" t="s">
        <v>747</v>
      </c>
      <c r="C29" s="31">
        <v>1995</v>
      </c>
      <c r="D29" s="31" t="s">
        <v>752</v>
      </c>
      <c r="E29" s="31" t="s">
        <v>647</v>
      </c>
      <c r="F29" s="31" t="s">
        <v>23</v>
      </c>
      <c r="G29" s="31" t="s">
        <v>10</v>
      </c>
      <c r="H29" s="31" t="s">
        <v>34</v>
      </c>
      <c r="I29" s="31" t="s">
        <v>12</v>
      </c>
      <c r="J29" s="31" t="s">
        <v>8</v>
      </c>
      <c r="K29" s="31" t="s">
        <v>9</v>
      </c>
      <c r="L29" s="31" t="s">
        <v>9</v>
      </c>
      <c r="M29" s="31" t="s">
        <v>9</v>
      </c>
      <c r="N29" s="31">
        <v>340</v>
      </c>
      <c r="O29" s="31">
        <v>343</v>
      </c>
      <c r="P29" s="31">
        <v>346</v>
      </c>
      <c r="Q29" s="31">
        <v>1</v>
      </c>
      <c r="R29" s="31">
        <v>15</v>
      </c>
      <c r="S29" s="31">
        <v>2</v>
      </c>
      <c r="T29" s="31">
        <v>15</v>
      </c>
      <c r="U29" s="32" t="s">
        <v>66</v>
      </c>
      <c r="V29" s="31" t="s">
        <v>96</v>
      </c>
      <c r="W29" s="31" t="s">
        <v>8</v>
      </c>
      <c r="X29" s="31" t="s">
        <v>66</v>
      </c>
      <c r="Y29" s="31" t="s">
        <v>96</v>
      </c>
      <c r="Z29" s="31" t="s">
        <v>8</v>
      </c>
      <c r="AA29" s="31" t="s">
        <v>639</v>
      </c>
      <c r="AB29" s="31" t="s">
        <v>636</v>
      </c>
      <c r="AC29" s="31" t="s">
        <v>153</v>
      </c>
      <c r="AD29" s="31" t="s">
        <v>634</v>
      </c>
      <c r="AE29" s="31">
        <v>0</v>
      </c>
      <c r="AF29" s="31">
        <v>2.5</v>
      </c>
      <c r="AG29" s="31" t="s">
        <v>115</v>
      </c>
      <c r="AH29" s="31">
        <v>25</v>
      </c>
      <c r="AI29" cm="1">
        <f t="array" ref="AI29">_xlfn.IFS(AF29="NR", "NA", AG29="NR", "NA", AG29="NA","NA", AND(AG29="mg/ml", AH29&lt;&gt;"NR"), ((AF29/2492)*AH29*1000000), AND(AG29="mol/L", AH29&lt;&gt;"NR"), AF29*AH29*1000000, AG29="nmol", AF29*1000, AND(AG29="nmol/uL", AH29&lt;&gt;"NR"), AF29*AH29*1000, AG29="pg", AF29/2492, AG29="pmol", AF29, AND(AG29="pmol/uL", AH29&lt;&gt;"NR"), AF29*AH29, AG29="ug", AF29/2492*1000000, AND(AG29="ug/mL", AH29&lt;&gt;"NR"), (AF29/1000*AH29)/2492*1000000, AND(AG29="ug/uL", AH29&lt;&gt;"NR"), (AF29*AH29)/2492*1000000, AND(AG29="umol/L", AH29&lt;&gt;"NR"), AH29*AF29, TRUE, "NA")</f>
        <v>2500</v>
      </c>
      <c r="AJ29" s="31" t="s">
        <v>9</v>
      </c>
      <c r="AK29" s="31">
        <v>1</v>
      </c>
      <c r="AL29" s="31" t="s">
        <v>9</v>
      </c>
      <c r="AM29" s="31" t="s">
        <v>8</v>
      </c>
      <c r="AN29" s="31" t="s">
        <v>9</v>
      </c>
      <c r="AO29" s="32" t="s">
        <v>753</v>
      </c>
      <c r="AP29" t="s">
        <v>1228</v>
      </c>
      <c r="AQ29" s="31">
        <v>-0.66</v>
      </c>
      <c r="AR29" s="31" t="s">
        <v>101</v>
      </c>
      <c r="AS29" s="32">
        <v>4</v>
      </c>
      <c r="AT29" s="31" t="s">
        <v>271</v>
      </c>
      <c r="AU29" s="31" t="s">
        <v>653</v>
      </c>
      <c r="AV29" s="31" t="s">
        <v>679</v>
      </c>
      <c r="AW29" s="31">
        <v>56.01</v>
      </c>
      <c r="AX29" s="31">
        <v>7.74</v>
      </c>
      <c r="AY29" s="31">
        <v>29.36</v>
      </c>
      <c r="AZ29" s="31">
        <v>5.1100000000000003</v>
      </c>
      <c r="BA29" s="31" t="s">
        <v>656</v>
      </c>
      <c r="BB29" s="31" t="s">
        <v>123</v>
      </c>
      <c r="BC29" cm="1">
        <f t="array" ref="BC29">_xlfn.IFS(BA29="Direct rLV % whole brain", AW29, BA29="Indirect rLV % whole brain", AW29, BA29="Direct rLV % hemisphere", AW29/2, BA29="Indirect rLV % hemisphere", AW29/2, AND(F29="Mouse", BA29="mm3"), (AW29/508.91)*100, AND(F29="Rat", BA29="mm3"), (AW29/1971)*100, AND(F29="Mouse", BA29="ul"), (AW29/508.91)*100, AND(F29="Rat", BA29="ul"), (AW29/1971)*100,  AND(F29="Mouse", BA29="nl"), (AW29/508910)*100, AND(F29="Rat", BA29="nl"), (AW29/1971000)*100, AND(F29="Mouse", BA29="cm3"), (AW29/0.50891)*100, AND(F29="Rat", BA29="cm3"), (AW29/1.971)*100, AND(F29="Mouse", BA29="mL"), (AW29/0.50891)*100, AND(F29="Rat", BA29="mL"), (AW29/1.971)*100, TRUE, "NA")</f>
        <v>2.8417047184170472</v>
      </c>
      <c r="BD29" cm="1">
        <f t="array" ref="BD29">_xlfn.IFS(AZ29="NA", "NA",BA29="Direct rLV % whole brain", AY29, BA29="Indirect rLV % whole brain", AY29, BA29="Direct rLV % hemisphere", AY29/2, BA29="Indirect rLV % hemisphere", AY29/2, AND(F29="Mouse", BA29="mm3"), (AY29/508.91)*100, AND(F29="Rat", BA29="mm3"), (AY29/1971)*100, AND(F29="Mouse", BA29="ul"), (AY29/508.91)*100, AND(F29="Rat", BA29="ul"), (AY29/1971)*100,  AND(F29="Mouse", BA29="nl"), (AY29/508910)*100, AND(F29="Rat", BA29="nl"), (AY29/1971000)*100, AND(F29="Mouse", BA29="cm3"), (AY29/0.50891)*100, AND(F29="Rat", BA29="cm3"), (AY29/1.971)*100, AND(F29="Mouse", BA29="mL"), (AY29/0.50891)*100, AND(F29="Rat", BA29="mL"), (AY29/1.971)*100, TRUE, "NA")</f>
        <v>1.4895991882293251</v>
      </c>
      <c r="BE29" cm="1">
        <f t="array" ref="BE29">_xlfn.IFS(AX29="NA", "NA", BB29="NR", "NA", BB29="SD", AX29, BB29="SE", AX29*(SQRT(R29)), BB29="SEM", AX29*(SQRT(R29)), TRUE, "NA")</f>
        <v>29.97689109964541</v>
      </c>
      <c r="BF29" cm="1">
        <f t="array" ref="BF29">_xlfn.IFS(BE29="NA", "NA",BA29="Direct rLV % whole brain", BE29, BA29="Indirect rLV % whole brain", BE29, BA29="Direct rLV % hemisphere", BE29/2, BA29="Indirect rLV % hemisphere", BE29/2, AND(F29="Mouse", BA29="mm3"), (BE29/508.91)*100, AND(F29="Rat", BA29="mm3"), (BE29/1971)*100, AND(F29="Mouse", BA29="ul"), (BE29/508.91)*100, AND(F29="Rat", BA29="ul"), (BE29/1971)*100,  AND(F29="Mouse", BA29="nl"), (BE29/508910)*100, AND(F29="Rat", BA29="nl"), (BE29/1971000)*100, AND(F29="Mouse", BA29="cm3"), (BE29/0.50891)*100, AND(F29="Rat", BA29="cm3"), (BE29/1.971)*100, AND(F29="Mouse", BA29="mL"), (BE29/0.50891)*100, AND(F29="Rat", BA29="mL"), (BE29/1.971)*100, TRUE, "NA")</f>
        <v>1.5208975697435521</v>
      </c>
      <c r="BG29" cm="1">
        <f t="array" ref="BG29">_xlfn.IFS(AZ29="NA", "NA", BB29="NR", "NA", BB29="SD", AZ29, BB29="SE", AZ29*(SQRT(R29)), BB29="SEM", AZ29*(SQRT(R29)), TRUE, "NA")</f>
        <v>19.790944899119904</v>
      </c>
      <c r="BH29" s="32" t="s">
        <v>154</v>
      </c>
      <c r="BI29" s="31" t="s">
        <v>153</v>
      </c>
      <c r="BJ29" s="31" t="s">
        <v>154</v>
      </c>
    </row>
    <row r="30" spans="1:63" x14ac:dyDescent="0.3">
      <c r="A30" t="s">
        <v>853</v>
      </c>
      <c r="B30" t="s">
        <v>754</v>
      </c>
      <c r="C30">
        <v>2013</v>
      </c>
      <c r="D30" t="s">
        <v>755</v>
      </c>
      <c r="E30" t="s">
        <v>647</v>
      </c>
      <c r="F30" s="18" t="s">
        <v>23</v>
      </c>
      <c r="G30" t="s">
        <v>46</v>
      </c>
      <c r="H30" t="s">
        <v>34</v>
      </c>
      <c r="I30" t="s">
        <v>12</v>
      </c>
      <c r="J30" t="s">
        <v>8</v>
      </c>
      <c r="K30">
        <v>12</v>
      </c>
      <c r="L30">
        <f>AVERAGE(K30,M30)</f>
        <v>14</v>
      </c>
      <c r="M30">
        <v>16</v>
      </c>
      <c r="N30">
        <v>275</v>
      </c>
      <c r="O30">
        <f>AVERAGE(N30,P30)</f>
        <v>287.5</v>
      </c>
      <c r="P30">
        <v>300</v>
      </c>
      <c r="Q30">
        <v>3</v>
      </c>
      <c r="R30">
        <v>6</v>
      </c>
      <c r="S30">
        <v>3</v>
      </c>
      <c r="T30">
        <v>4</v>
      </c>
      <c r="U30" s="18" t="s">
        <v>71</v>
      </c>
      <c r="V30" t="s">
        <v>98</v>
      </c>
      <c r="W30" t="s">
        <v>8</v>
      </c>
      <c r="X30" t="s">
        <v>12</v>
      </c>
      <c r="Y30" t="s">
        <v>8</v>
      </c>
      <c r="Z30" t="s">
        <v>8</v>
      </c>
      <c r="AA30" t="s">
        <v>648</v>
      </c>
      <c r="AB30" t="s">
        <v>636</v>
      </c>
      <c r="AC30" t="s">
        <v>153</v>
      </c>
      <c r="AD30" t="s">
        <v>610</v>
      </c>
      <c r="AE30">
        <v>24</v>
      </c>
      <c r="AF30">
        <v>200</v>
      </c>
      <c r="AG30" t="s">
        <v>757</v>
      </c>
      <c r="AH30">
        <v>6</v>
      </c>
      <c r="AI30" cm="1">
        <f t="array" ref="AI30">_xlfn.IFS(AF30="NR", "NA", AG30="NR", "NA", AG30="NA","NA", AND(AG30="mg/ml", AH30&lt;&gt;"NR"), ((AF30/2492)*AH30*1000000), AND(AG30="mol/L", AH30&lt;&gt;"NR"), AF30*AH30*1000000, AG30="nmol", AF30*1000, AND(AG30="nmol/uL", AH30&lt;&gt;"NR"), AF30*AH30*1000, AG30="pg", AF30/2492, AG30="pmol", AF30, AND(AG30="pmol/uL", AH30&lt;&gt;"NR"), AF30*AH30, AG30="ug", AF30/2492*1000000, AND(AG30="ug/mL", AH30&lt;&gt;"NR"), (AF30/1000*AH30)/2492*1000000, AND(AG30="ug/uL", AH30&lt;&gt;"NR"), (AF30*AH30)/2492*1000000, AND(AG30="umol/L", AH30&lt;&gt;"NR"), AH30*AF30, TRUE, "NA")</f>
        <v>8.0256821829855537E-2</v>
      </c>
      <c r="AJ30">
        <v>6</v>
      </c>
      <c r="AK30">
        <v>1</v>
      </c>
      <c r="AL30" t="s">
        <v>731</v>
      </c>
      <c r="AM30" t="s">
        <v>8</v>
      </c>
      <c r="AN30" t="s">
        <v>9</v>
      </c>
      <c r="AO30" s="18" t="s">
        <v>756</v>
      </c>
      <c r="AP30" t="s">
        <v>1228</v>
      </c>
      <c r="AQ30">
        <v>0.5</v>
      </c>
      <c r="AR30" t="s">
        <v>103</v>
      </c>
      <c r="AS30" s="18">
        <v>24</v>
      </c>
      <c r="AT30" t="s">
        <v>271</v>
      </c>
      <c r="AU30" t="s">
        <v>652</v>
      </c>
      <c r="AV30" t="s">
        <v>679</v>
      </c>
      <c r="AW30">
        <v>55.16</v>
      </c>
      <c r="AX30">
        <v>3.15</v>
      </c>
      <c r="AY30">
        <v>40.659999999999997</v>
      </c>
      <c r="AZ30">
        <v>1.73</v>
      </c>
      <c r="BA30" t="s">
        <v>656</v>
      </c>
      <c r="BB30" t="s">
        <v>123</v>
      </c>
      <c r="BC30" cm="1">
        <f t="array" ref="BC30">_xlfn.IFS(BA30="Direct rLV % whole brain", AW30, BA30="Indirect rLV % whole brain", AW30, BA30="Direct rLV % hemisphere", AW30/2, BA30="Indirect rLV % hemisphere", AW30/2, AND(F30="Mouse", BA30="mm3"), (AW30/508.91)*100, AND(F30="Rat", BA30="mm3"), (AW30/1971)*100, AND(F30="Mouse", BA30="ul"), (AW30/508.91)*100, AND(F30="Rat", BA30="ul"), (AW30/1971)*100,  AND(F30="Mouse", BA30="nl"), (AW30/508910)*100, AND(F30="Rat", BA30="nl"), (AW30/1971000)*100, AND(F30="Mouse", BA30="cm3"), (AW30/0.50891)*100, AND(F30="Rat", BA30="cm3"), (AW30/1.971)*100, AND(F30="Mouse", BA30="mL"), (AW30/0.50891)*100, AND(F30="Rat", BA30="mL"), (AW30/1.971)*100, TRUE, "NA")</f>
        <v>2.7985794013191274</v>
      </c>
      <c r="BD30" cm="1">
        <f t="array" ref="BD30">_xlfn.IFS(AZ30="NA", "NA",BA30="Direct rLV % whole brain", AY30, BA30="Indirect rLV % whole brain", AY30, BA30="Direct rLV % hemisphere", AY30/2, BA30="Indirect rLV % hemisphere", AY30/2, AND(F30="Mouse", BA30="mm3"), (AY30/508.91)*100, AND(F30="Rat", BA30="mm3"), (AY30/1971)*100, AND(F30="Mouse", BA30="ul"), (AY30/508.91)*100, AND(F30="Rat", BA30="ul"), (AY30/1971)*100,  AND(F30="Mouse", BA30="nl"), (AY30/508910)*100, AND(F30="Rat", BA30="nl"), (AY30/1971000)*100, AND(F30="Mouse", BA30="cm3"), (AY30/0.50891)*100, AND(F30="Rat", BA30="cm3"), (AY30/1.971)*100, AND(F30="Mouse", BA30="mL"), (AY30/0.50891)*100, AND(F30="Rat", BA30="mL"), (AY30/1.971)*100, TRUE, "NA")</f>
        <v>2.0629122272957887</v>
      </c>
      <c r="BE30" cm="1">
        <f t="array" ref="BE30">_xlfn.IFS(AX30="NA", "NA", BB30="NR", "NA", BB30="SD", AX30, BB30="SE", AX30*(SQRT(R30)), BB30="SEM", AX30*(SQRT(R30)), TRUE, "NA")</f>
        <v>7.7158926897670099</v>
      </c>
      <c r="BF30" cm="1">
        <f t="array" ref="BF30">_xlfn.IFS(BE30="NA", "NA",BA30="Direct rLV % whole brain", BE30, BA30="Indirect rLV % whole brain", BE30, BA30="Direct rLV % hemisphere", BE30/2, BA30="Indirect rLV % hemisphere", BE30/2, AND(F30="Mouse", BA30="mm3"), (BE30/508.91)*100, AND(F30="Rat", BA30="mm3"), (BE30/1971)*100, AND(F30="Mouse", BA30="ul"), (BE30/508.91)*100, AND(F30="Rat", BA30="ul"), (BE30/1971)*100,  AND(F30="Mouse", BA30="nl"), (BE30/508910)*100, AND(F30="Rat", BA30="nl"), (BE30/1971000)*100, AND(F30="Mouse", BA30="cm3"), (BE30/0.50891)*100, AND(F30="Rat", BA30="cm3"), (BE30/1.971)*100, AND(F30="Mouse", BA30="mL"), (BE30/0.50891)*100, AND(F30="Rat", BA30="mL"), (BE30/1.971)*100, TRUE, "NA")</f>
        <v>0.39147096345849874</v>
      </c>
      <c r="BG30" cm="1">
        <f t="array" ref="BG30">_xlfn.IFS(AZ30="NA", "NA", BB30="NR", "NA", BB30="SD", AZ30, BB30="SE", AZ30*(SQRT(R30)), BB30="SEM", AZ30*(SQRT(R30)), TRUE, "NA")</f>
        <v>4.2376172550148974</v>
      </c>
      <c r="BH30" s="18" t="s">
        <v>154</v>
      </c>
      <c r="BI30" t="s">
        <v>153</v>
      </c>
      <c r="BJ30" t="s">
        <v>153</v>
      </c>
    </row>
    <row r="31" spans="1:63" x14ac:dyDescent="0.3">
      <c r="A31" t="s">
        <v>853</v>
      </c>
      <c r="B31" t="s">
        <v>754</v>
      </c>
      <c r="C31">
        <v>2013</v>
      </c>
      <c r="D31" t="s">
        <v>755</v>
      </c>
      <c r="E31" t="s">
        <v>678</v>
      </c>
      <c r="F31" s="18" t="s">
        <v>23</v>
      </c>
      <c r="G31" t="s">
        <v>48</v>
      </c>
      <c r="H31" t="s">
        <v>34</v>
      </c>
      <c r="I31" t="s">
        <v>127</v>
      </c>
      <c r="J31" t="s">
        <v>156</v>
      </c>
      <c r="K31">
        <v>12</v>
      </c>
      <c r="L31">
        <f>AVERAGE(K31,M31)</f>
        <v>14</v>
      </c>
      <c r="M31">
        <v>16</v>
      </c>
      <c r="N31">
        <v>275</v>
      </c>
      <c r="O31">
        <f t="shared" ref="O31:O38" si="3">AVERAGE(N31,P31)</f>
        <v>287.5</v>
      </c>
      <c r="P31">
        <v>300</v>
      </c>
      <c r="Q31">
        <v>2</v>
      </c>
      <c r="R31">
        <v>6</v>
      </c>
      <c r="S31">
        <v>2</v>
      </c>
      <c r="T31">
        <v>7</v>
      </c>
      <c r="U31" s="18" t="s">
        <v>71</v>
      </c>
      <c r="V31" t="s">
        <v>98</v>
      </c>
      <c r="W31" t="s">
        <v>8</v>
      </c>
      <c r="X31" t="s">
        <v>12</v>
      </c>
      <c r="Y31" t="s">
        <v>8</v>
      </c>
      <c r="Z31" t="s">
        <v>8</v>
      </c>
      <c r="AA31" t="s">
        <v>648</v>
      </c>
      <c r="AB31" t="s">
        <v>636</v>
      </c>
      <c r="AC31" t="s">
        <v>153</v>
      </c>
      <c r="AD31" t="s">
        <v>610</v>
      </c>
      <c r="AE31">
        <v>24</v>
      </c>
      <c r="AF31">
        <v>200</v>
      </c>
      <c r="AG31" t="s">
        <v>757</v>
      </c>
      <c r="AH31">
        <v>6</v>
      </c>
      <c r="AI31" cm="1">
        <f t="array" ref="AI31">_xlfn.IFS(AF31="NR", "NA", AG31="NR", "NA", AG31="NA","NA", AND(AG31="mg/ml", AH31&lt;&gt;"NR"), ((AF31/2492)*AH31*1000000), AND(AG31="mol/L", AH31&lt;&gt;"NR"), AF31*AH31*1000000, AG31="nmol", AF31*1000, AND(AG31="nmol/uL", AH31&lt;&gt;"NR"), AF31*AH31*1000, AG31="pg", AF31/2492, AG31="pmol", AF31, AND(AG31="pmol/uL", AH31&lt;&gt;"NR"), AF31*AH31, AG31="ug", AF31/2492*1000000, AND(AG31="ug/mL", AH31&lt;&gt;"NR"), (AF31/1000*AH31)/2492*1000000, AND(AG31="ug/uL", AH31&lt;&gt;"NR"), (AF31*AH31)/2492*1000000, AND(AG31="umol/L", AH31&lt;&gt;"NR"), AH31*AF31, TRUE, "NA")</f>
        <v>8.0256821829855537E-2</v>
      </c>
      <c r="AJ31">
        <v>6</v>
      </c>
      <c r="AK31">
        <v>1</v>
      </c>
      <c r="AL31" t="s">
        <v>731</v>
      </c>
      <c r="AM31" t="s">
        <v>8</v>
      </c>
      <c r="AN31" t="s">
        <v>9</v>
      </c>
      <c r="AO31" s="18" t="s">
        <v>756</v>
      </c>
      <c r="AP31" t="s">
        <v>1228</v>
      </c>
      <c r="AQ31">
        <v>0.5</v>
      </c>
      <c r="AR31" t="s">
        <v>103</v>
      </c>
      <c r="AS31" s="18">
        <v>24</v>
      </c>
      <c r="AT31" t="s">
        <v>271</v>
      </c>
      <c r="AU31" t="s">
        <v>652</v>
      </c>
      <c r="AV31" t="s">
        <v>674</v>
      </c>
      <c r="AW31">
        <v>51.91</v>
      </c>
      <c r="AX31">
        <v>5.6</v>
      </c>
      <c r="AY31">
        <v>42.76</v>
      </c>
      <c r="AZ31">
        <v>3.41</v>
      </c>
      <c r="BA31" t="s">
        <v>656</v>
      </c>
      <c r="BB31" t="s">
        <v>123</v>
      </c>
      <c r="BC31" cm="1">
        <f t="array" ref="BC31">_xlfn.IFS(BA31="Direct rLV % whole brain", AW31, BA31="Indirect rLV % whole brain", AW31, BA31="Direct rLV % hemisphere", AW31/2, BA31="Indirect rLV % hemisphere", AW31/2, AND(F31="Mouse", BA31="mm3"), (AW31/508.91)*100, AND(F31="Rat", BA31="mm3"), (AW31/1971)*100, AND(F31="Mouse", BA31="ul"), (AW31/508.91)*100, AND(F31="Rat", BA31="ul"), (AW31/1971)*100,  AND(F31="Mouse", BA31="nl"), (AW31/508910)*100, AND(F31="Rat", BA31="nl"), (AW31/1971000)*100, AND(F31="Mouse", BA31="cm3"), (AW31/0.50891)*100, AND(F31="Rat", BA31="cm3"), (AW31/1.971)*100, AND(F31="Mouse", BA31="mL"), (AW31/0.50891)*100, AND(F31="Rat", BA31="mL"), (AW31/1.971)*100, TRUE, "NA")</f>
        <v>2.6336884830035512</v>
      </c>
      <c r="BD31" cm="1">
        <f t="array" ref="BD31">_xlfn.IFS(AZ31="NA", "NA",BA31="Direct rLV % whole brain", AY31, BA31="Indirect rLV % whole brain", AY31, BA31="Direct rLV % hemisphere", AY31/2, BA31="Indirect rLV % hemisphere", AY31/2, AND(F31="Mouse", BA31="mm3"), (AY31/508.91)*100, AND(F31="Rat", BA31="mm3"), (AY31/1971)*100, AND(F31="Mouse", BA31="ul"), (AY31/508.91)*100, AND(F31="Rat", BA31="ul"), (AY31/1971)*100,  AND(F31="Mouse", BA31="nl"), (AY31/508910)*100, AND(F31="Rat", BA31="nl"), (AY31/1971000)*100, AND(F31="Mouse", BA31="cm3"), (AY31/0.50891)*100, AND(F31="Rat", BA31="cm3"), (AY31/1.971)*100, AND(F31="Mouse", BA31="mL"), (AY31/0.50891)*100, AND(F31="Rat", BA31="mL"), (AY31/1.971)*100, TRUE, "NA")</f>
        <v>2.1694571283612381</v>
      </c>
      <c r="BE31" cm="1">
        <f t="array" ref="BE31">_xlfn.IFS(AX31="NA", "NA", BB31="NR", "NA", BB31="SD", AX31, BB31="SE", AX31*(SQRT(R31)), BB31="SEM", AX31*(SQRT(R31)), TRUE, "NA")</f>
        <v>13.717142559585795</v>
      </c>
      <c r="BF31" cm="1">
        <f t="array" ref="BF31">_xlfn.IFS(BE31="NA", "NA",BA31="Direct rLV % whole brain", BE31, BA31="Indirect rLV % whole brain", BE31, BA31="Direct rLV % hemisphere", BE31/2, BA31="Indirect rLV % hemisphere", BE31/2, AND(F31="Mouse", BA31="mm3"), (BE31/508.91)*100, AND(F31="Rat", BA31="mm3"), (BE31/1971)*100, AND(F31="Mouse", BA31="ul"), (BE31/508.91)*100, AND(F31="Rat", BA31="ul"), (BE31/1971)*100,  AND(F31="Mouse", BA31="nl"), (BE31/508910)*100, AND(F31="Rat", BA31="nl"), (BE31/1971000)*100, AND(F31="Mouse", BA31="cm3"), (BE31/0.50891)*100, AND(F31="Rat", BA31="cm3"), (BE31/1.971)*100, AND(F31="Mouse", BA31="mL"), (BE31/0.50891)*100, AND(F31="Rat", BA31="mL"), (BE31/1.971)*100, TRUE, "NA")</f>
        <v>0.69594837948177546</v>
      </c>
      <c r="BG31" cm="1">
        <f t="array" ref="BG31">_xlfn.IFS(AZ31="NA", "NA", BB31="NR", "NA", BB31="SD", AZ31, BB31="SE", AZ31*(SQRT(R31)), BB31="SEM", AZ31*(SQRT(R31)), TRUE, "NA")</f>
        <v>8.3527600228906369</v>
      </c>
      <c r="BH31" s="18" t="s">
        <v>154</v>
      </c>
      <c r="BI31" t="s">
        <v>153</v>
      </c>
      <c r="BJ31" t="s">
        <v>153</v>
      </c>
    </row>
    <row r="32" spans="1:63" s="31" customFormat="1" x14ac:dyDescent="0.3">
      <c r="A32" s="31" t="s">
        <v>854</v>
      </c>
      <c r="B32" s="31" t="s">
        <v>754</v>
      </c>
      <c r="C32" s="31">
        <v>2012</v>
      </c>
      <c r="D32" s="31" t="s">
        <v>758</v>
      </c>
      <c r="E32" s="31" t="s">
        <v>647</v>
      </c>
      <c r="F32" s="32" t="s">
        <v>23</v>
      </c>
      <c r="G32" s="31" t="s">
        <v>46</v>
      </c>
      <c r="H32" s="31" t="s">
        <v>34</v>
      </c>
      <c r="I32" s="31" t="s">
        <v>12</v>
      </c>
      <c r="J32" s="31" t="s">
        <v>8</v>
      </c>
      <c r="K32" s="31" t="s">
        <v>9</v>
      </c>
      <c r="L32" s="31" t="s">
        <v>9</v>
      </c>
      <c r="M32" s="31" t="s">
        <v>9</v>
      </c>
      <c r="N32" s="31">
        <v>275</v>
      </c>
      <c r="O32" s="31">
        <f t="shared" si="3"/>
        <v>287.5</v>
      </c>
      <c r="P32" s="31">
        <v>300</v>
      </c>
      <c r="Q32" s="31">
        <v>3</v>
      </c>
      <c r="R32" s="31">
        <v>12</v>
      </c>
      <c r="S32" s="31" t="s">
        <v>8</v>
      </c>
      <c r="T32" s="31" t="s">
        <v>8</v>
      </c>
      <c r="U32" s="32" t="s">
        <v>71</v>
      </c>
      <c r="V32" s="31" t="s">
        <v>98</v>
      </c>
      <c r="W32" s="31" t="s">
        <v>8</v>
      </c>
      <c r="X32" s="31" t="s">
        <v>12</v>
      </c>
      <c r="Y32" s="31" t="s">
        <v>8</v>
      </c>
      <c r="Z32" s="31" t="s">
        <v>8</v>
      </c>
      <c r="AA32" s="31" t="s">
        <v>648</v>
      </c>
      <c r="AB32" s="31" t="s">
        <v>636</v>
      </c>
      <c r="AC32" s="31" t="s">
        <v>153</v>
      </c>
      <c r="AD32" s="31" t="s">
        <v>610</v>
      </c>
      <c r="AE32" s="31">
        <v>24</v>
      </c>
      <c r="AF32" s="31">
        <v>200</v>
      </c>
      <c r="AG32" s="31" t="s">
        <v>650</v>
      </c>
      <c r="AH32" s="31">
        <v>6</v>
      </c>
      <c r="AI32" cm="1">
        <f t="array" ref="AI32">_xlfn.IFS(AF32="NR", "NA", AG32="NR", "NA", AG32="NA","NA", AND(AG32="mg/ml", AH32&lt;&gt;"NR"), ((AF32/2492)*AH32*1000000), AND(AG32="mol/L", AH32&lt;&gt;"NR"), AF32*AH32*1000000, AG32="nmol", AF32*1000, AND(AG32="nmol/uL", AH32&lt;&gt;"NR"), AF32*AH32*1000, AG32="pg", AF32/2492, AG32="pmol", AF32, AND(AG32="pmol/uL", AH32&lt;&gt;"NR"), AF32*AH32, AG32="ug", AF32/2492*1000000, AND(AG32="ug/mL", AH32&lt;&gt;"NR"), (AF32/1000*AH32)/2492*1000000, AND(AG32="ug/uL", AH32&lt;&gt;"NR"), (AF32*AH32)/2492*1000000, AND(AG32="umol/L", AH32&lt;&gt;"NR"), AH32*AF32, TRUE, "NA")</f>
        <v>200</v>
      </c>
      <c r="AJ32" s="31">
        <v>6</v>
      </c>
      <c r="AK32" s="31">
        <v>1</v>
      </c>
      <c r="AL32" s="31" t="s">
        <v>731</v>
      </c>
      <c r="AM32" s="31" t="s">
        <v>8</v>
      </c>
      <c r="AN32" s="31" t="s">
        <v>9</v>
      </c>
      <c r="AO32" s="32" t="s">
        <v>12</v>
      </c>
      <c r="AP32" s="31" t="s">
        <v>8</v>
      </c>
      <c r="AQ32" s="31" t="s">
        <v>8</v>
      </c>
      <c r="AR32" s="31" t="s">
        <v>8</v>
      </c>
      <c r="AS32" s="32">
        <v>24</v>
      </c>
      <c r="AT32" s="31" t="s">
        <v>271</v>
      </c>
      <c r="AU32" s="31" t="s">
        <v>652</v>
      </c>
      <c r="AV32" s="31" t="s">
        <v>674</v>
      </c>
      <c r="AW32" s="31">
        <v>41.8</v>
      </c>
      <c r="AX32" s="31">
        <v>3.3</v>
      </c>
      <c r="AY32" s="31" t="s">
        <v>8</v>
      </c>
      <c r="AZ32" s="31" t="s">
        <v>8</v>
      </c>
      <c r="BA32" s="31" t="s">
        <v>656</v>
      </c>
      <c r="BB32" s="31" t="s">
        <v>123</v>
      </c>
      <c r="BC32" cm="1">
        <f t="array" ref="BC32">_xlfn.IFS(BA32="Direct rLV % whole brain", AW32, BA32="Indirect rLV % whole brain", AW32, BA32="Direct rLV % hemisphere", AW32/2, BA32="Indirect rLV % hemisphere", AW32/2, AND(F32="Mouse", BA32="mm3"), (AW32/508.91)*100, AND(F32="Rat", BA32="mm3"), (AW32/1971)*100, AND(F32="Mouse", BA32="ul"), (AW32/508.91)*100, AND(F32="Rat", BA32="ul"), (AW32/1971)*100,  AND(F32="Mouse", BA32="nl"), (AW32/508910)*100, AND(F32="Rat", BA32="nl"), (AW32/1971000)*100, AND(F32="Mouse", BA32="cm3"), (AW32/0.50891)*100, AND(F32="Rat", BA32="cm3"), (AW32/1.971)*100, AND(F32="Mouse", BA32="mL"), (AW32/0.50891)*100, AND(F32="Rat", BA32="mL"), (AW32/1.971)*100, TRUE, "NA")</f>
        <v>2.1207508878741752</v>
      </c>
      <c r="BD32" t="str" cm="1">
        <f t="array" ref="BD32">_xlfn.IFS(AZ32="NA", "NA",BA32="Direct rLV % whole brain", AY32, BA32="Indirect rLV % whole brain", AY32, BA32="Direct rLV % hemisphere", AY32/2, BA32="Indirect rLV % hemisphere", AY32/2, AND(F32="Mouse", BA32="mm3"), (AY32/508.91)*100, AND(F32="Rat", BA32="mm3"), (AY32/1971)*100, AND(F32="Mouse", BA32="ul"), (AY32/508.91)*100, AND(F32="Rat", BA32="ul"), (AY32/1971)*100,  AND(F32="Mouse", BA32="nl"), (AY32/508910)*100, AND(F32="Rat", BA32="nl"), (AY32/1971000)*100, AND(F32="Mouse", BA32="cm3"), (AY32/0.50891)*100, AND(F32="Rat", BA32="cm3"), (AY32/1.971)*100, AND(F32="Mouse", BA32="mL"), (AY32/0.50891)*100, AND(F32="Rat", BA32="mL"), (AY32/1.971)*100, TRUE, "NA")</f>
        <v>NA</v>
      </c>
      <c r="BE32" cm="1">
        <f t="array" ref="BE32">_xlfn.IFS(AX32="NA", "NA", BB32="NR", "NA", BB32="SD", AX32, BB32="SE", AX32*(SQRT(R32)), BB32="SEM", AX32*(SQRT(R32)), TRUE, "NA")</f>
        <v>11.431535329954588</v>
      </c>
      <c r="BF32" cm="1">
        <f t="array" ref="BF32">_xlfn.IFS(BE32="NA", "NA",BA32="Direct rLV % whole brain", BE32, BA32="Indirect rLV % whole brain", BE32, BA32="Direct rLV % hemisphere", BE32/2, BA32="Indirect rLV % hemisphere", BE32/2, AND(F32="Mouse", BA32="mm3"), (BE32/508.91)*100, AND(F32="Rat", BA32="mm3"), (BE32/1971)*100, AND(F32="Mouse", BA32="ul"), (BE32/508.91)*100, AND(F32="Rat", BA32="ul"), (BE32/1971)*100,  AND(F32="Mouse", BA32="nl"), (BE32/508910)*100, AND(F32="Rat", BA32="nl"), (BE32/1971000)*100, AND(F32="Mouse", BA32="cm3"), (BE32/0.50891)*100, AND(F32="Rat", BA32="cm3"), (BE32/1.971)*100, AND(F32="Mouse", BA32="mL"), (BE32/0.50891)*100, AND(F32="Rat", BA32="mL"), (BE32/1.971)*100, TRUE, "NA")</f>
        <v>0.57998657178866508</v>
      </c>
      <c r="BG32" t="str" cm="1">
        <f t="array" ref="BG32">_xlfn.IFS(AZ32="NA", "NA", BB32="NR", "NA", BB32="SD", AZ32, BB32="SE", AZ32*(SQRT(R32)), BB32="SEM", AZ32*(SQRT(R32)), TRUE, "NA")</f>
        <v>NA</v>
      </c>
      <c r="BH32" s="32" t="s">
        <v>153</v>
      </c>
      <c r="BI32" s="31" t="s">
        <v>153</v>
      </c>
      <c r="BJ32" s="31" t="s">
        <v>153</v>
      </c>
      <c r="BK32" s="31" t="s">
        <v>759</v>
      </c>
    </row>
    <row r="33" spans="1:63" s="31" customFormat="1" x14ac:dyDescent="0.3">
      <c r="A33" s="31" t="s">
        <v>854</v>
      </c>
      <c r="B33" s="31" t="s">
        <v>754</v>
      </c>
      <c r="C33" s="31">
        <v>2012</v>
      </c>
      <c r="D33" s="31" t="s">
        <v>758</v>
      </c>
      <c r="E33" s="31" t="s">
        <v>678</v>
      </c>
      <c r="F33" s="32" t="s">
        <v>23</v>
      </c>
      <c r="G33" s="31" t="s">
        <v>48</v>
      </c>
      <c r="H33" s="31" t="s">
        <v>34</v>
      </c>
      <c r="I33" s="31" t="s">
        <v>127</v>
      </c>
      <c r="J33" s="31" t="s">
        <v>156</v>
      </c>
      <c r="K33" s="31" t="s">
        <v>9</v>
      </c>
      <c r="L33" s="31" t="s">
        <v>9</v>
      </c>
      <c r="M33" s="31" t="s">
        <v>9</v>
      </c>
      <c r="N33" s="31">
        <v>275</v>
      </c>
      <c r="O33" s="31">
        <f t="shared" si="3"/>
        <v>287.5</v>
      </c>
      <c r="P33" s="31">
        <v>300</v>
      </c>
      <c r="Q33" s="31">
        <v>3</v>
      </c>
      <c r="R33" s="31">
        <v>10</v>
      </c>
      <c r="S33" s="31" t="s">
        <v>8</v>
      </c>
      <c r="T33" s="31" t="s">
        <v>8</v>
      </c>
      <c r="U33" s="32" t="s">
        <v>71</v>
      </c>
      <c r="V33" s="31" t="s">
        <v>98</v>
      </c>
      <c r="W33" s="31" t="s">
        <v>8</v>
      </c>
      <c r="X33" s="31" t="s">
        <v>12</v>
      </c>
      <c r="Y33" s="31" t="s">
        <v>8</v>
      </c>
      <c r="Z33" s="31" t="s">
        <v>8</v>
      </c>
      <c r="AA33" s="31" t="s">
        <v>648</v>
      </c>
      <c r="AB33" s="31" t="s">
        <v>636</v>
      </c>
      <c r="AC33" s="31" t="s">
        <v>153</v>
      </c>
      <c r="AD33" s="31" t="s">
        <v>610</v>
      </c>
      <c r="AE33" s="31">
        <v>24</v>
      </c>
      <c r="AF33" s="31">
        <v>200</v>
      </c>
      <c r="AG33" s="31" t="s">
        <v>650</v>
      </c>
      <c r="AH33" s="31">
        <v>6</v>
      </c>
      <c r="AI33" cm="1">
        <f t="array" ref="AI33">_xlfn.IFS(AF33="NR", "NA", AG33="NR", "NA", AG33="NA","NA", AND(AG33="mg/ml", AH33&lt;&gt;"NR"), ((AF33/2492)*AH33*1000000), AND(AG33="mol/L", AH33&lt;&gt;"NR"), AF33*AH33*1000000, AG33="nmol", AF33*1000, AND(AG33="nmol/uL", AH33&lt;&gt;"NR"), AF33*AH33*1000, AG33="pg", AF33/2492, AG33="pmol", AF33, AND(AG33="pmol/uL", AH33&lt;&gt;"NR"), AF33*AH33, AG33="ug", AF33/2492*1000000, AND(AG33="ug/mL", AH33&lt;&gt;"NR"), (AF33/1000*AH33)/2492*1000000, AND(AG33="ug/uL", AH33&lt;&gt;"NR"), (AF33*AH33)/2492*1000000, AND(AG33="umol/L", AH33&lt;&gt;"NR"), AH33*AF33, TRUE, "NA")</f>
        <v>200</v>
      </c>
      <c r="AJ33" s="31">
        <v>6</v>
      </c>
      <c r="AK33" s="31">
        <v>1</v>
      </c>
      <c r="AL33" s="31" t="s">
        <v>731</v>
      </c>
      <c r="AM33" s="31" t="s">
        <v>8</v>
      </c>
      <c r="AN33" s="31" t="s">
        <v>9</v>
      </c>
      <c r="AO33" s="32" t="s">
        <v>12</v>
      </c>
      <c r="AP33" s="31" t="s">
        <v>8</v>
      </c>
      <c r="AQ33" s="31" t="s">
        <v>8</v>
      </c>
      <c r="AR33" s="31" t="s">
        <v>8</v>
      </c>
      <c r="AS33" s="32">
        <v>24</v>
      </c>
      <c r="AT33" s="31" t="s">
        <v>271</v>
      </c>
      <c r="AU33" s="31" t="s">
        <v>652</v>
      </c>
      <c r="AV33" s="31" t="s">
        <v>679</v>
      </c>
      <c r="AW33" s="31">
        <v>55.5</v>
      </c>
      <c r="AX33" s="31">
        <v>3.12</v>
      </c>
      <c r="AY33" s="31" t="s">
        <v>8</v>
      </c>
      <c r="AZ33" s="31" t="s">
        <v>8</v>
      </c>
      <c r="BA33" s="31" t="s">
        <v>656</v>
      </c>
      <c r="BB33" s="31" t="s">
        <v>123</v>
      </c>
      <c r="BC33" cm="1">
        <f t="array" ref="BC33">_xlfn.IFS(BA33="Direct rLV % whole brain", AW33, BA33="Indirect rLV % whole brain", AW33, BA33="Direct rLV % hemisphere", AW33/2, BA33="Indirect rLV % hemisphere", AW33/2, AND(F33="Mouse", BA33="mm3"), (AW33/508.91)*100, AND(F33="Rat", BA33="mm3"), (AW33/1971)*100, AND(F33="Mouse", BA33="ul"), (AW33/508.91)*100, AND(F33="Rat", BA33="ul"), (AW33/1971)*100,  AND(F33="Mouse", BA33="nl"), (AW33/508910)*100, AND(F33="Rat", BA33="nl"), (AW33/1971000)*100, AND(F33="Mouse", BA33="cm3"), (AW33/0.50891)*100, AND(F33="Rat", BA33="cm3"), (AW33/1.971)*100, AND(F33="Mouse", BA33="mL"), (AW33/0.50891)*100, AND(F33="Rat", BA33="mL"), (AW33/1.971)*100, TRUE, "NA")</f>
        <v>2.8158295281582952</v>
      </c>
      <c r="BD33" t="str" cm="1">
        <f t="array" ref="BD33">_xlfn.IFS(AZ33="NA", "NA",BA33="Direct rLV % whole brain", AY33, BA33="Indirect rLV % whole brain", AY33, BA33="Direct rLV % hemisphere", AY33/2, BA33="Indirect rLV % hemisphere", AY33/2, AND(F33="Mouse", BA33="mm3"), (AY33/508.91)*100, AND(F33="Rat", BA33="mm3"), (AY33/1971)*100, AND(F33="Mouse", BA33="ul"), (AY33/508.91)*100, AND(F33="Rat", BA33="ul"), (AY33/1971)*100,  AND(F33="Mouse", BA33="nl"), (AY33/508910)*100, AND(F33="Rat", BA33="nl"), (AY33/1971000)*100, AND(F33="Mouse", BA33="cm3"), (AY33/0.50891)*100, AND(F33="Rat", BA33="cm3"), (AY33/1.971)*100, AND(F33="Mouse", BA33="mL"), (AY33/0.50891)*100, AND(F33="Rat", BA33="mL"), (AY33/1.971)*100, TRUE, "NA")</f>
        <v>NA</v>
      </c>
      <c r="BE33" cm="1">
        <f t="array" ref="BE33">_xlfn.IFS(AX33="NA", "NA", BB33="NR", "NA", BB33="SD", AX33, BB33="SE", AX33*(SQRT(R33)), BB33="SEM", AX33*(SQRT(R33)), TRUE, "NA")</f>
        <v>9.8663062997253448</v>
      </c>
      <c r="BF33" cm="1">
        <f t="array" ref="BF33">_xlfn.IFS(BE33="NA", "NA",BA33="Direct rLV % whole brain", BE33, BA33="Indirect rLV % whole brain", BE33, BA33="Direct rLV % hemisphere", BE33/2, BA33="Indirect rLV % hemisphere", BE33/2, AND(F33="Mouse", BA33="mm3"), (BE33/508.91)*100, AND(F33="Rat", BA33="mm3"), (BE33/1971)*100, AND(F33="Mouse", BA33="ul"), (BE33/508.91)*100, AND(F33="Rat", BA33="ul"), (BE33/1971)*100,  AND(F33="Mouse", BA33="nl"), (BE33/508910)*100, AND(F33="Rat", BA33="nl"), (BE33/1971000)*100, AND(F33="Mouse", BA33="cm3"), (BE33/0.50891)*100, AND(F33="Rat", BA33="cm3"), (BE33/1.971)*100, AND(F33="Mouse", BA33="mL"), (BE33/0.50891)*100, AND(F33="Rat", BA33="mL"), (BE33/1.971)*100, TRUE, "NA")</f>
        <v>0.50057363265983479</v>
      </c>
      <c r="BG33" t="str" cm="1">
        <f t="array" ref="BG33">_xlfn.IFS(AZ33="NA", "NA", BB33="NR", "NA", BB33="SD", AZ33, BB33="SE", AZ33*(SQRT(R33)), BB33="SEM", AZ33*(SQRT(R33)), TRUE, "NA")</f>
        <v>NA</v>
      </c>
      <c r="BH33" s="32" t="s">
        <v>153</v>
      </c>
      <c r="BI33" s="31" t="s">
        <v>153</v>
      </c>
      <c r="BJ33" s="31" t="s">
        <v>153</v>
      </c>
      <c r="BK33" s="31" t="s">
        <v>759</v>
      </c>
    </row>
    <row r="34" spans="1:63" s="31" customFormat="1" x14ac:dyDescent="0.3">
      <c r="A34" s="31" t="s">
        <v>854</v>
      </c>
      <c r="B34" s="31" t="s">
        <v>754</v>
      </c>
      <c r="C34" s="31">
        <v>2012</v>
      </c>
      <c r="D34" s="31" t="s">
        <v>758</v>
      </c>
      <c r="E34" s="31" t="s">
        <v>699</v>
      </c>
      <c r="F34" s="32" t="s">
        <v>23</v>
      </c>
      <c r="G34" s="31" t="s">
        <v>46</v>
      </c>
      <c r="H34" s="31" t="s">
        <v>34</v>
      </c>
      <c r="I34" s="31" t="s">
        <v>12</v>
      </c>
      <c r="J34" s="31" t="s">
        <v>8</v>
      </c>
      <c r="K34" s="31" t="s">
        <v>9</v>
      </c>
      <c r="L34" s="31" t="s">
        <v>9</v>
      </c>
      <c r="M34" s="31" t="s">
        <v>9</v>
      </c>
      <c r="N34" s="31">
        <v>275</v>
      </c>
      <c r="O34" s="31">
        <f t="shared" si="3"/>
        <v>287.5</v>
      </c>
      <c r="P34" s="31">
        <v>300</v>
      </c>
      <c r="Q34" s="31">
        <v>3</v>
      </c>
      <c r="R34" s="31">
        <v>4</v>
      </c>
      <c r="S34" s="31" t="s">
        <v>8</v>
      </c>
      <c r="T34" s="31" t="s">
        <v>8</v>
      </c>
      <c r="U34" s="32" t="s">
        <v>71</v>
      </c>
      <c r="V34" s="31" t="s">
        <v>98</v>
      </c>
      <c r="W34" s="31" t="s">
        <v>8</v>
      </c>
      <c r="X34" s="31" t="s">
        <v>12</v>
      </c>
      <c r="Y34" s="31" t="s">
        <v>8</v>
      </c>
      <c r="Z34" s="31" t="s">
        <v>8</v>
      </c>
      <c r="AA34" s="31" t="s">
        <v>648</v>
      </c>
      <c r="AB34" s="31" t="s">
        <v>636</v>
      </c>
      <c r="AC34" s="31" t="s">
        <v>153</v>
      </c>
      <c r="AD34" s="31" t="s">
        <v>610</v>
      </c>
      <c r="AE34" s="31">
        <v>24</v>
      </c>
      <c r="AF34" s="31">
        <v>180</v>
      </c>
      <c r="AG34" s="31" t="s">
        <v>650</v>
      </c>
      <c r="AH34" s="31">
        <v>6</v>
      </c>
      <c r="AI34" cm="1">
        <f t="array" ref="AI34">_xlfn.IFS(AF34="NR", "NA", AG34="NR", "NA", AG34="NA","NA", AND(AG34="mg/ml", AH34&lt;&gt;"NR"), ((AF34/2492)*AH34*1000000), AND(AG34="mol/L", AH34&lt;&gt;"NR"), AF34*AH34*1000000, AG34="nmol", AF34*1000, AND(AG34="nmol/uL", AH34&lt;&gt;"NR"), AF34*AH34*1000, AG34="pg", AF34/2492, AG34="pmol", AF34, AND(AG34="pmol/uL", AH34&lt;&gt;"NR"), AF34*AH34, AG34="ug", AF34/2492*1000000, AND(AG34="ug/mL", AH34&lt;&gt;"NR"), (AF34/1000*AH34)/2492*1000000, AND(AG34="ug/uL", AH34&lt;&gt;"NR"), (AF34*AH34)/2492*1000000, AND(AG34="umol/L", AH34&lt;&gt;"NR"), AH34*AF34, TRUE, "NA")</f>
        <v>180</v>
      </c>
      <c r="AJ34" s="31">
        <v>6</v>
      </c>
      <c r="AK34" s="31">
        <v>1</v>
      </c>
      <c r="AL34" s="31" t="s">
        <v>731</v>
      </c>
      <c r="AM34" s="31" t="s">
        <v>8</v>
      </c>
      <c r="AN34" s="31" t="s">
        <v>9</v>
      </c>
      <c r="AO34" s="32" t="s">
        <v>12</v>
      </c>
      <c r="AP34" s="31" t="s">
        <v>8</v>
      </c>
      <c r="AQ34" s="31" t="s">
        <v>8</v>
      </c>
      <c r="AR34" s="31" t="s">
        <v>8</v>
      </c>
      <c r="AS34" s="32">
        <v>24</v>
      </c>
      <c r="AT34" s="31" t="s">
        <v>271</v>
      </c>
      <c r="AU34" s="31" t="s">
        <v>652</v>
      </c>
      <c r="AV34" s="31" t="s">
        <v>674</v>
      </c>
      <c r="AW34" s="31">
        <v>31.83</v>
      </c>
      <c r="AX34" s="31">
        <v>2.2999999999999998</v>
      </c>
      <c r="AY34" s="31" t="s">
        <v>8</v>
      </c>
      <c r="AZ34" s="31" t="s">
        <v>8</v>
      </c>
      <c r="BA34" s="31" t="s">
        <v>656</v>
      </c>
      <c r="BB34" s="31" t="s">
        <v>123</v>
      </c>
      <c r="BC34" cm="1">
        <f t="array" ref="BC34">_xlfn.IFS(BA34="Direct rLV % whole brain", AW34, BA34="Indirect rLV % whole brain", AW34, BA34="Direct rLV % hemisphere", AW34/2, BA34="Indirect rLV % hemisphere", AW34/2, AND(F34="Mouse", BA34="mm3"), (AW34/508.91)*100, AND(F34="Rat", BA34="mm3"), (AW34/1971)*100, AND(F34="Mouse", BA34="ul"), (AW34/508.91)*100, AND(F34="Rat", BA34="ul"), (AW34/1971)*100,  AND(F34="Mouse", BA34="nl"), (AW34/508910)*100, AND(F34="Rat", BA34="nl"), (AW34/1971000)*100, AND(F34="Mouse", BA34="cm3"), (AW34/0.50891)*100, AND(F34="Rat", BA34="cm3"), (AW34/1.971)*100, AND(F34="Mouse", BA34="mL"), (AW34/0.50891)*100, AND(F34="Rat", BA34="mL"), (AW34/1.971)*100, TRUE, "NA")</f>
        <v>1.6149162861491626</v>
      </c>
      <c r="BD34" t="str" cm="1">
        <f t="array" ref="BD34">_xlfn.IFS(AZ34="NA", "NA",BA34="Direct rLV % whole brain", AY34, BA34="Indirect rLV % whole brain", AY34, BA34="Direct rLV % hemisphere", AY34/2, BA34="Indirect rLV % hemisphere", AY34/2, AND(F34="Mouse", BA34="mm3"), (AY34/508.91)*100, AND(F34="Rat", BA34="mm3"), (AY34/1971)*100, AND(F34="Mouse", BA34="ul"), (AY34/508.91)*100, AND(F34="Rat", BA34="ul"), (AY34/1971)*100,  AND(F34="Mouse", BA34="nl"), (AY34/508910)*100, AND(F34="Rat", BA34="nl"), (AY34/1971000)*100, AND(F34="Mouse", BA34="cm3"), (AY34/0.50891)*100, AND(F34="Rat", BA34="cm3"), (AY34/1.971)*100, AND(F34="Mouse", BA34="mL"), (AY34/0.50891)*100, AND(F34="Rat", BA34="mL"), (AY34/1.971)*100, TRUE, "NA")</f>
        <v>NA</v>
      </c>
      <c r="BE34" cm="1">
        <f t="array" ref="BE34">_xlfn.IFS(AX34="NA", "NA", BB34="NR", "NA", BB34="SD", AX34, BB34="SE", AX34*(SQRT(R34)), BB34="SEM", AX34*(SQRT(R34)), TRUE, "NA")</f>
        <v>4.5999999999999996</v>
      </c>
      <c r="BF34" cm="1">
        <f t="array" ref="BF34">_xlfn.IFS(BE34="NA", "NA",BA34="Direct rLV % whole brain", BE34, BA34="Indirect rLV % whole brain", BE34, BA34="Direct rLV % hemisphere", BE34/2, BA34="Indirect rLV % hemisphere", BE34/2, AND(F34="Mouse", BA34="mm3"), (BE34/508.91)*100, AND(F34="Rat", BA34="mm3"), (BE34/1971)*100, AND(F34="Mouse", BA34="ul"), (BE34/508.91)*100, AND(F34="Rat", BA34="ul"), (BE34/1971)*100,  AND(F34="Mouse", BA34="nl"), (BE34/508910)*100, AND(F34="Rat", BA34="nl"), (BE34/1971000)*100, AND(F34="Mouse", BA34="cm3"), (BE34/0.50891)*100, AND(F34="Rat", BA34="cm3"), (BE34/1.971)*100, AND(F34="Mouse", BA34="mL"), (BE34/0.50891)*100, AND(F34="Rat", BA34="mL"), (BE34/1.971)*100, TRUE, "NA")</f>
        <v>0.23338406900050732</v>
      </c>
      <c r="BG34" t="str" cm="1">
        <f t="array" ref="BG34">_xlfn.IFS(AZ34="NA", "NA", BB34="NR", "NA", BB34="SD", AZ34, BB34="SE", AZ34*(SQRT(R34)), BB34="SEM", AZ34*(SQRT(R34)), TRUE, "NA")</f>
        <v>NA</v>
      </c>
      <c r="BH34" s="32" t="s">
        <v>153</v>
      </c>
      <c r="BI34" s="31" t="s">
        <v>153</v>
      </c>
      <c r="BJ34" s="31" t="s">
        <v>153</v>
      </c>
      <c r="BK34" s="31" t="s">
        <v>759</v>
      </c>
    </row>
    <row r="35" spans="1:63" s="31" customFormat="1" x14ac:dyDescent="0.3">
      <c r="A35" s="31" t="s">
        <v>854</v>
      </c>
      <c r="B35" s="31" t="s">
        <v>754</v>
      </c>
      <c r="C35" s="31">
        <v>2012</v>
      </c>
      <c r="D35" s="31" t="s">
        <v>758</v>
      </c>
      <c r="E35" s="31" t="s">
        <v>760</v>
      </c>
      <c r="F35" s="32" t="s">
        <v>23</v>
      </c>
      <c r="G35" s="31" t="s">
        <v>48</v>
      </c>
      <c r="H35" s="31" t="s">
        <v>34</v>
      </c>
      <c r="I35" s="31" t="s">
        <v>127</v>
      </c>
      <c r="J35" s="31" t="s">
        <v>156</v>
      </c>
      <c r="K35" s="31" t="s">
        <v>9</v>
      </c>
      <c r="L35" s="31" t="s">
        <v>9</v>
      </c>
      <c r="M35" s="31" t="s">
        <v>9</v>
      </c>
      <c r="N35" s="31">
        <v>275</v>
      </c>
      <c r="O35" s="31">
        <f t="shared" si="3"/>
        <v>287.5</v>
      </c>
      <c r="P35" s="31">
        <v>300</v>
      </c>
      <c r="Q35" s="31">
        <v>3</v>
      </c>
      <c r="R35" s="31">
        <v>3</v>
      </c>
      <c r="S35" s="31" t="s">
        <v>8</v>
      </c>
      <c r="T35" s="31" t="s">
        <v>8</v>
      </c>
      <c r="U35" s="32" t="s">
        <v>71</v>
      </c>
      <c r="V35" s="31" t="s">
        <v>98</v>
      </c>
      <c r="W35" s="31" t="s">
        <v>8</v>
      </c>
      <c r="X35" s="31" t="s">
        <v>12</v>
      </c>
      <c r="Y35" s="31" t="s">
        <v>8</v>
      </c>
      <c r="Z35" s="31" t="s">
        <v>8</v>
      </c>
      <c r="AA35" s="31" t="s">
        <v>648</v>
      </c>
      <c r="AB35" s="31" t="s">
        <v>636</v>
      </c>
      <c r="AC35" s="31" t="s">
        <v>153</v>
      </c>
      <c r="AD35" s="31" t="s">
        <v>610</v>
      </c>
      <c r="AE35" s="31">
        <v>24</v>
      </c>
      <c r="AF35" s="31">
        <v>180</v>
      </c>
      <c r="AG35" s="31" t="s">
        <v>650</v>
      </c>
      <c r="AH35" s="31">
        <v>6</v>
      </c>
      <c r="AI35" cm="1">
        <f t="array" ref="AI35">_xlfn.IFS(AF35="NR", "NA", AG35="NR", "NA", AG35="NA","NA", AND(AG35="mg/ml", AH35&lt;&gt;"NR"), ((AF35/2492)*AH35*1000000), AND(AG35="mol/L", AH35&lt;&gt;"NR"), AF35*AH35*1000000, AG35="nmol", AF35*1000, AND(AG35="nmol/uL", AH35&lt;&gt;"NR"), AF35*AH35*1000, AG35="pg", AF35/2492, AG35="pmol", AF35, AND(AG35="pmol/uL", AH35&lt;&gt;"NR"), AF35*AH35, AG35="ug", AF35/2492*1000000, AND(AG35="ug/mL", AH35&lt;&gt;"NR"), (AF35/1000*AH35)/2492*1000000, AND(AG35="ug/uL", AH35&lt;&gt;"NR"), (AF35*AH35)/2492*1000000, AND(AG35="umol/L", AH35&lt;&gt;"NR"), AH35*AF35, TRUE, "NA")</f>
        <v>180</v>
      </c>
      <c r="AJ35" s="31">
        <v>6</v>
      </c>
      <c r="AK35" s="31">
        <v>1</v>
      </c>
      <c r="AL35" s="31" t="s">
        <v>731</v>
      </c>
      <c r="AM35" s="31" t="s">
        <v>8</v>
      </c>
      <c r="AN35" s="31" t="s">
        <v>9</v>
      </c>
      <c r="AO35" s="32" t="s">
        <v>12</v>
      </c>
      <c r="AP35" s="31" t="s">
        <v>8</v>
      </c>
      <c r="AQ35" s="31" t="s">
        <v>8</v>
      </c>
      <c r="AR35" s="31" t="s">
        <v>8</v>
      </c>
      <c r="AS35" s="32">
        <v>24</v>
      </c>
      <c r="AT35" s="31" t="s">
        <v>271</v>
      </c>
      <c r="AU35" s="31" t="s">
        <v>652</v>
      </c>
      <c r="AV35" s="31" t="s">
        <v>679</v>
      </c>
      <c r="AW35" s="31">
        <v>43.39</v>
      </c>
      <c r="AX35" s="31">
        <v>0.73</v>
      </c>
      <c r="AY35" s="31" t="s">
        <v>8</v>
      </c>
      <c r="AZ35" s="31" t="s">
        <v>8</v>
      </c>
      <c r="BA35" s="31" t="s">
        <v>656</v>
      </c>
      <c r="BB35" s="31" t="s">
        <v>123</v>
      </c>
      <c r="BC35" cm="1">
        <f t="array" ref="BC35">_xlfn.IFS(BA35="Direct rLV % whole brain", AW35, BA35="Indirect rLV % whole brain", AW35, BA35="Direct rLV % hemisphere", AW35/2, BA35="Indirect rLV % hemisphere", AW35/2, AND(F35="Mouse", BA35="mm3"), (AW35/508.91)*100, AND(F35="Rat", BA35="mm3"), (AW35/1971)*100, AND(F35="Mouse", BA35="ul"), (AW35/508.91)*100, AND(F35="Rat", BA35="ul"), (AW35/1971)*100,  AND(F35="Mouse", BA35="nl"), (AW35/508910)*100, AND(F35="Rat", BA35="nl"), (AW35/1971000)*100, AND(F35="Mouse", BA35="cm3"), (AW35/0.50891)*100, AND(F35="Rat", BA35="cm3"), (AW35/1.971)*100, AND(F35="Mouse", BA35="mL"), (AW35/0.50891)*100, AND(F35="Rat", BA35="mL"), (AW35/1.971)*100, TRUE, "NA")</f>
        <v>2.2014205986808726</v>
      </c>
      <c r="BD35" t="str" cm="1">
        <f t="array" ref="BD35">_xlfn.IFS(AZ35="NA", "NA",BA35="Direct rLV % whole brain", AY35, BA35="Indirect rLV % whole brain", AY35, BA35="Direct rLV % hemisphere", AY35/2, BA35="Indirect rLV % hemisphere", AY35/2, AND(F35="Mouse", BA35="mm3"), (AY35/508.91)*100, AND(F35="Rat", BA35="mm3"), (AY35/1971)*100, AND(F35="Mouse", BA35="ul"), (AY35/508.91)*100, AND(F35="Rat", BA35="ul"), (AY35/1971)*100,  AND(F35="Mouse", BA35="nl"), (AY35/508910)*100, AND(F35="Rat", BA35="nl"), (AY35/1971000)*100, AND(F35="Mouse", BA35="cm3"), (AY35/0.50891)*100, AND(F35="Rat", BA35="cm3"), (AY35/1.971)*100, AND(F35="Mouse", BA35="mL"), (AY35/0.50891)*100, AND(F35="Rat", BA35="mL"), (AY35/1.971)*100, TRUE, "NA")</f>
        <v>NA</v>
      </c>
      <c r="BE35" cm="1">
        <f t="array" ref="BE35">_xlfn.IFS(AX35="NA", "NA", BB35="NR", "NA", BB35="SD", AX35, BB35="SE", AX35*(SQRT(R35)), BB35="SEM", AX35*(SQRT(R35)), TRUE, "NA")</f>
        <v>1.2643970895252803</v>
      </c>
      <c r="BF35" cm="1">
        <f t="array" ref="BF35">_xlfn.IFS(BE35="NA", "NA",BA35="Direct rLV % whole brain", BE35, BA35="Indirect rLV % whole brain", BE35, BA35="Direct rLV % hemisphere", BE35/2, BA35="Indirect rLV % hemisphere", BE35/2, AND(F35="Mouse", BA35="mm3"), (BE35/508.91)*100, AND(F35="Rat", BA35="mm3"), (BE35/1971)*100, AND(F35="Mouse", BA35="ul"), (BE35/508.91)*100, AND(F35="Rat", BA35="ul"), (BE35/1971)*100,  AND(F35="Mouse", BA35="nl"), (BE35/508910)*100, AND(F35="Rat", BA35="nl"), (BE35/1971000)*100, AND(F35="Mouse", BA35="cm3"), (BE35/0.50891)*100, AND(F35="Rat", BA35="cm3"), (BE35/1.971)*100, AND(F35="Mouse", BA35="mL"), (BE35/0.50891)*100, AND(F35="Rat", BA35="mL"), (BE35/1.971)*100, TRUE, "NA")</f>
        <v>6.4150029909958411E-2</v>
      </c>
      <c r="BG35" t="str" cm="1">
        <f t="array" ref="BG35">_xlfn.IFS(AZ35="NA", "NA", BB35="NR", "NA", BB35="SD", AZ35, BB35="SE", AZ35*(SQRT(R35)), BB35="SEM", AZ35*(SQRT(R35)), TRUE, "NA")</f>
        <v>NA</v>
      </c>
      <c r="BH35" s="32" t="s">
        <v>153</v>
      </c>
      <c r="BI35" s="31" t="s">
        <v>153</v>
      </c>
      <c r="BJ35" s="31" t="s">
        <v>153</v>
      </c>
      <c r="BK35" s="31" t="s">
        <v>759</v>
      </c>
    </row>
    <row r="36" spans="1:63" x14ac:dyDescent="0.3">
      <c r="A36" t="s">
        <v>855</v>
      </c>
      <c r="B36" t="s">
        <v>761</v>
      </c>
      <c r="C36">
        <v>2019</v>
      </c>
      <c r="D36" t="s">
        <v>762</v>
      </c>
      <c r="E36" t="s">
        <v>647</v>
      </c>
      <c r="F36" t="s">
        <v>24</v>
      </c>
      <c r="G36" t="s">
        <v>297</v>
      </c>
      <c r="H36" t="s">
        <v>9</v>
      </c>
      <c r="I36" t="s">
        <v>12</v>
      </c>
      <c r="J36" t="s">
        <v>8</v>
      </c>
      <c r="K36">
        <v>9</v>
      </c>
      <c r="L36">
        <f>AVERAGE(K36,M36)</f>
        <v>13</v>
      </c>
      <c r="M36">
        <v>17</v>
      </c>
      <c r="N36">
        <v>21</v>
      </c>
      <c r="O36">
        <f t="shared" si="3"/>
        <v>24.5</v>
      </c>
      <c r="P36">
        <v>28</v>
      </c>
      <c r="Q36">
        <v>2</v>
      </c>
      <c r="R36">
        <v>7</v>
      </c>
      <c r="S36" t="s">
        <v>8</v>
      </c>
      <c r="T36" t="s">
        <v>8</v>
      </c>
      <c r="U36" s="18" t="s">
        <v>298</v>
      </c>
      <c r="V36" t="s">
        <v>8</v>
      </c>
      <c r="W36" t="s">
        <v>8</v>
      </c>
      <c r="X36" t="s">
        <v>298</v>
      </c>
      <c r="Y36" t="s">
        <v>8</v>
      </c>
      <c r="Z36" t="s">
        <v>8</v>
      </c>
      <c r="AA36" t="s">
        <v>640</v>
      </c>
      <c r="AB36" t="s">
        <v>636</v>
      </c>
      <c r="AC36" t="s">
        <v>154</v>
      </c>
      <c r="AD36" t="s">
        <v>634</v>
      </c>
      <c r="AE36">
        <v>0</v>
      </c>
      <c r="AF36">
        <f>160*3</f>
        <v>480</v>
      </c>
      <c r="AG36" t="s">
        <v>650</v>
      </c>
      <c r="AH36">
        <f>0.4*3</f>
        <v>1.2000000000000002</v>
      </c>
      <c r="AI36" cm="1">
        <f t="array" ref="AI36">_xlfn.IFS(AF36="NR", "NA", AG36="NR", "NA", AG36="NA","NA", AND(AG36="mg/ml", AH36&lt;&gt;"NR"), ((AF36/2492)*AH36*1000000), AND(AG36="mol/L", AH36&lt;&gt;"NR"), AF36*AH36*1000000, AG36="nmol", AF36*1000, AND(AG36="nmol/uL", AH36&lt;&gt;"NR"), AF36*AH36*1000, AG36="pg", AF36/2492, AG36="pmol", AF36, AND(AG36="pmol/uL", AH36&lt;&gt;"NR"), AF36*AH36, AG36="ug", AF36/2492*1000000, AND(AG36="ug/mL", AH36&lt;&gt;"NR"), (AF36/1000*AH36)/2492*1000000, AND(AG36="ug/uL", AH36&lt;&gt;"NR"), (AF36*AH36)/2492*1000000, AND(AG36="umol/L", AH36&lt;&gt;"NR"), AH36*AF36, TRUE, "NA")</f>
        <v>480</v>
      </c>
      <c r="AJ36" t="s">
        <v>9</v>
      </c>
      <c r="AK36">
        <v>3</v>
      </c>
      <c r="AL36" t="s">
        <v>731</v>
      </c>
      <c r="AM36" t="s">
        <v>8</v>
      </c>
      <c r="AN36" t="s">
        <v>9</v>
      </c>
      <c r="AO36" s="18" t="s">
        <v>12</v>
      </c>
      <c r="AP36" t="s">
        <v>8</v>
      </c>
      <c r="AQ36" t="s">
        <v>8</v>
      </c>
      <c r="AR36" t="s">
        <v>8</v>
      </c>
      <c r="AS36" s="18">
        <v>24</v>
      </c>
      <c r="AT36" t="s">
        <v>270</v>
      </c>
      <c r="AU36" t="s">
        <v>8</v>
      </c>
      <c r="AV36" t="s">
        <v>728</v>
      </c>
      <c r="AW36">
        <v>5.03</v>
      </c>
      <c r="AX36">
        <v>0.43</v>
      </c>
      <c r="AY36" t="s">
        <v>8</v>
      </c>
      <c r="AZ36" t="s">
        <v>8</v>
      </c>
      <c r="BA36" t="s">
        <v>656</v>
      </c>
      <c r="BB36" t="s">
        <v>123</v>
      </c>
      <c r="BC36" cm="1">
        <f t="array" ref="BC36">_xlfn.IFS(BA36="Direct rLV % whole brain", AW36, BA36="Indirect rLV % whole brain", AW36, BA36="Direct rLV % hemisphere", AW36/2, BA36="Indirect rLV % hemisphere", AW36/2, AND(F36="Mouse", BA36="mm3"), (AW36/508.91)*100, AND(F36="Rat", BA36="mm3"), (AW36/1971)*100, AND(F36="Mouse", BA36="ul"), (AW36/508.91)*100, AND(F36="Rat", BA36="ul"), (AW36/1971)*100,  AND(F36="Mouse", BA36="nl"), (AW36/508910)*100, AND(F36="Rat", BA36="nl"), (AW36/1971000)*100, AND(F36="Mouse", BA36="cm3"), (AW36/0.50891)*100, AND(F36="Rat", BA36="cm3"), (AW36/1.971)*100, AND(F36="Mouse", BA36="mL"), (AW36/0.50891)*100, AND(F36="Rat", BA36="mL"), (AW36/1.971)*100, TRUE, "NA")</f>
        <v>0.9883869446464012</v>
      </c>
      <c r="BD36" t="str" cm="1">
        <f t="array" ref="BD36">_xlfn.IFS(AZ36="NA", "NA",BA36="Direct rLV % whole brain", AY36, BA36="Indirect rLV % whole brain", AY36, BA36="Direct rLV % hemisphere", AY36/2, BA36="Indirect rLV % hemisphere", AY36/2, AND(F36="Mouse", BA36="mm3"), (AY36/508.91)*100, AND(F36="Rat", BA36="mm3"), (AY36/1971)*100, AND(F36="Mouse", BA36="ul"), (AY36/508.91)*100, AND(F36="Rat", BA36="ul"), (AY36/1971)*100,  AND(F36="Mouse", BA36="nl"), (AY36/508910)*100, AND(F36="Rat", BA36="nl"), (AY36/1971000)*100, AND(F36="Mouse", BA36="cm3"), (AY36/0.50891)*100, AND(F36="Rat", BA36="cm3"), (AY36/1.971)*100, AND(F36="Mouse", BA36="mL"), (AY36/0.50891)*100, AND(F36="Rat", BA36="mL"), (AY36/1.971)*100, TRUE, "NA")</f>
        <v>NA</v>
      </c>
      <c r="BE36" cm="1">
        <f t="array" ref="BE36">_xlfn.IFS(AX36="NA", "NA", BB36="NR", "NA", BB36="SD", AX36, BB36="SE", AX36*(SQRT(R36)), BB36="SEM", AX36*(SQRT(R36)), TRUE, "NA")</f>
        <v>1.1376730637577739</v>
      </c>
      <c r="BF36" cm="1">
        <f t="array" ref="BF36">_xlfn.IFS(BE36="NA", "NA",BA36="Direct rLV % whole brain", BE36, BA36="Indirect rLV % whole brain", BE36, BA36="Direct rLV % hemisphere", BE36/2, BA36="Indirect rLV % hemisphere", BE36/2, AND(F36="Mouse", BA36="mm3"), (BE36/508.91)*100, AND(F36="Rat", BA36="mm3"), (BE36/1971)*100, AND(F36="Mouse", BA36="ul"), (BE36/508.91)*100, AND(F36="Rat", BA36="ul"), (BE36/1971)*100,  AND(F36="Mouse", BA36="nl"), (BE36/508910)*100, AND(F36="Rat", BA36="nl"), (BE36/1971000)*100, AND(F36="Mouse", BA36="cm3"), (BE36/0.50891)*100, AND(F36="Rat", BA36="cm3"), (BE36/1.971)*100, AND(F36="Mouse", BA36="mL"), (BE36/0.50891)*100, AND(F36="Rat", BA36="mL"), (BE36/1.971)*100, TRUE, "NA")</f>
        <v>0.22355093508828161</v>
      </c>
      <c r="BG36" t="str" cm="1">
        <f t="array" ref="BG36">_xlfn.IFS(AZ36="NA", "NA", BB36="NR", "NA", BB36="SD", AZ36, BB36="SE", AZ36*(SQRT(R36)), BB36="SEM", AZ36*(SQRT(R36)), TRUE, "NA")</f>
        <v>NA</v>
      </c>
      <c r="BH36" s="18" t="s">
        <v>154</v>
      </c>
      <c r="BI36" t="s">
        <v>154</v>
      </c>
      <c r="BJ36" t="s">
        <v>154</v>
      </c>
    </row>
    <row r="37" spans="1:63" x14ac:dyDescent="0.3">
      <c r="A37" t="s">
        <v>855</v>
      </c>
      <c r="B37" t="s">
        <v>761</v>
      </c>
      <c r="C37">
        <v>2019</v>
      </c>
      <c r="D37" t="s">
        <v>762</v>
      </c>
      <c r="E37" t="s">
        <v>678</v>
      </c>
      <c r="F37" t="s">
        <v>24</v>
      </c>
      <c r="G37" t="s">
        <v>763</v>
      </c>
      <c r="H37" t="s">
        <v>9</v>
      </c>
      <c r="I37" t="s">
        <v>12</v>
      </c>
      <c r="J37" t="s">
        <v>8</v>
      </c>
      <c r="K37">
        <v>9</v>
      </c>
      <c r="L37">
        <f>AVERAGE(K37,M37)</f>
        <v>13</v>
      </c>
      <c r="M37">
        <v>17</v>
      </c>
      <c r="N37">
        <v>21</v>
      </c>
      <c r="O37">
        <f t="shared" si="3"/>
        <v>24.5</v>
      </c>
      <c r="P37">
        <v>28</v>
      </c>
      <c r="Q37">
        <v>2</v>
      </c>
      <c r="R37">
        <v>6</v>
      </c>
      <c r="S37" t="s">
        <v>8</v>
      </c>
      <c r="T37" t="s">
        <v>8</v>
      </c>
      <c r="U37" s="18" t="s">
        <v>298</v>
      </c>
      <c r="V37" t="s">
        <v>8</v>
      </c>
      <c r="W37" t="s">
        <v>8</v>
      </c>
      <c r="X37" t="s">
        <v>298</v>
      </c>
      <c r="Y37" t="s">
        <v>8</v>
      </c>
      <c r="Z37" t="s">
        <v>8</v>
      </c>
      <c r="AA37" t="s">
        <v>640</v>
      </c>
      <c r="AB37" t="s">
        <v>636</v>
      </c>
      <c r="AC37" t="s">
        <v>154</v>
      </c>
      <c r="AD37" t="s">
        <v>634</v>
      </c>
      <c r="AE37">
        <v>0</v>
      </c>
      <c r="AF37">
        <f>160*3</f>
        <v>480</v>
      </c>
      <c r="AG37" t="s">
        <v>650</v>
      </c>
      <c r="AH37">
        <f>0.4*3</f>
        <v>1.2000000000000002</v>
      </c>
      <c r="AI37" cm="1">
        <f t="array" ref="AI37">_xlfn.IFS(AF37="NR", "NA", AG37="NR", "NA", AG37="NA","NA", AND(AG37="mg/ml", AH37&lt;&gt;"NR"), ((AF37/2492)*AH37*1000000), AND(AG37="mol/L", AH37&lt;&gt;"NR"), AF37*AH37*1000000, AG37="nmol", AF37*1000, AND(AG37="nmol/uL", AH37&lt;&gt;"NR"), AF37*AH37*1000, AG37="pg", AF37/2492, AG37="pmol", AF37, AND(AG37="pmol/uL", AH37&lt;&gt;"NR"), AF37*AH37, AG37="ug", AF37/2492*1000000, AND(AG37="ug/mL", AH37&lt;&gt;"NR"), (AF37/1000*AH37)/2492*1000000, AND(AG37="ug/uL", AH37&lt;&gt;"NR"), (AF37*AH37)/2492*1000000, AND(AG37="umol/L", AH37&lt;&gt;"NR"), AH37*AF37, TRUE, "NA")</f>
        <v>480</v>
      </c>
      <c r="AJ37" t="s">
        <v>9</v>
      </c>
      <c r="AK37">
        <v>3</v>
      </c>
      <c r="AL37" t="s">
        <v>731</v>
      </c>
      <c r="AM37" t="s">
        <v>8</v>
      </c>
      <c r="AN37" t="s">
        <v>9</v>
      </c>
      <c r="AO37" s="18" t="s">
        <v>12</v>
      </c>
      <c r="AP37" t="s">
        <v>8</v>
      </c>
      <c r="AQ37" t="s">
        <v>8</v>
      </c>
      <c r="AR37" t="s">
        <v>8</v>
      </c>
      <c r="AS37" s="18">
        <v>24</v>
      </c>
      <c r="AT37" t="s">
        <v>270</v>
      </c>
      <c r="AU37" t="s">
        <v>8</v>
      </c>
      <c r="AV37" t="s">
        <v>728</v>
      </c>
      <c r="AW37">
        <v>2.0499999999999998</v>
      </c>
      <c r="AX37">
        <v>0.22</v>
      </c>
      <c r="AY37" t="s">
        <v>8</v>
      </c>
      <c r="AZ37" t="s">
        <v>8</v>
      </c>
      <c r="BA37" t="s">
        <v>656</v>
      </c>
      <c r="BB37" t="s">
        <v>123</v>
      </c>
      <c r="BC37" cm="1">
        <f t="array" ref="BC37">_xlfn.IFS(BA37="Direct rLV % whole brain", AW37, BA37="Indirect rLV % whole brain", AW37, BA37="Direct rLV % hemisphere", AW37/2, BA37="Indirect rLV % hemisphere", AW37/2, AND(F37="Mouse", BA37="mm3"), (AW37/508.91)*100, AND(F37="Rat", BA37="mm3"), (AW37/1971)*100, AND(F37="Mouse", BA37="ul"), (AW37/508.91)*100, AND(F37="Rat", BA37="ul"), (AW37/1971)*100,  AND(F37="Mouse", BA37="nl"), (AW37/508910)*100, AND(F37="Rat", BA37="nl"), (AW37/1971000)*100, AND(F37="Mouse", BA37="cm3"), (AW37/0.50891)*100, AND(F37="Rat", BA37="cm3"), (AW37/1.971)*100, AND(F37="Mouse", BA37="mL"), (AW37/0.50891)*100, AND(F37="Rat", BA37="mL"), (AW37/1.971)*100, TRUE, "NA")</f>
        <v>0.40282171700300634</v>
      </c>
      <c r="BD37" t="str" cm="1">
        <f t="array" ref="BD37">_xlfn.IFS(AZ37="NA", "NA",BA37="Direct rLV % whole brain", AY37, BA37="Indirect rLV % whole brain", AY37, BA37="Direct rLV % hemisphere", AY37/2, BA37="Indirect rLV % hemisphere", AY37/2, AND(F37="Mouse", BA37="mm3"), (AY37/508.91)*100, AND(F37="Rat", BA37="mm3"), (AY37/1971)*100, AND(F37="Mouse", BA37="ul"), (AY37/508.91)*100, AND(F37="Rat", BA37="ul"), (AY37/1971)*100,  AND(F37="Mouse", BA37="nl"), (AY37/508910)*100, AND(F37="Rat", BA37="nl"), (AY37/1971000)*100, AND(F37="Mouse", BA37="cm3"), (AY37/0.50891)*100, AND(F37="Rat", BA37="cm3"), (AY37/1.971)*100, AND(F37="Mouse", BA37="mL"), (AY37/0.50891)*100, AND(F37="Rat", BA37="mL"), (AY37/1.971)*100, TRUE, "NA")</f>
        <v>NA</v>
      </c>
      <c r="BE37" cm="1">
        <f t="array" ref="BE37">_xlfn.IFS(AX37="NA", "NA", BB37="NR", "NA", BB37="SD", AX37, BB37="SE", AX37*(SQRT(R37)), BB37="SEM", AX37*(SQRT(R37)), TRUE, "NA")</f>
        <v>0.53888774341229917</v>
      </c>
      <c r="BF37" cm="1">
        <f t="array" ref="BF37">_xlfn.IFS(BE37="NA", "NA",BA37="Direct rLV % whole brain", BE37, BA37="Indirect rLV % whole brain", BE37, BA37="Direct rLV % hemisphere", BE37/2, BA37="Indirect rLV % hemisphere", BE37/2, AND(F37="Mouse", BA37="mm3"), (BE37/508.91)*100, AND(F37="Rat", BA37="mm3"), (BE37/1971)*100, AND(F37="Mouse", BA37="ul"), (BE37/508.91)*100, AND(F37="Rat", BA37="ul"), (BE37/1971)*100,  AND(F37="Mouse", BA37="nl"), (BE37/508910)*100, AND(F37="Rat", BA37="nl"), (BE37/1971000)*100, AND(F37="Mouse", BA37="cm3"), (BE37/0.50891)*100, AND(F37="Rat", BA37="cm3"), (BE37/1.971)*100, AND(F37="Mouse", BA37="mL"), (BE37/0.50891)*100, AND(F37="Rat", BA37="mL"), (BE37/1.971)*100, TRUE, "NA")</f>
        <v>0.10589057857230141</v>
      </c>
      <c r="BG37" t="str" cm="1">
        <f t="array" ref="BG37">_xlfn.IFS(AZ37="NA", "NA", BB37="NR", "NA", BB37="SD", AZ37, BB37="SE", AZ37*(SQRT(R37)), BB37="SEM", AZ37*(SQRT(R37)), TRUE, "NA")</f>
        <v>NA</v>
      </c>
      <c r="BH37" s="18" t="s">
        <v>154</v>
      </c>
      <c r="BI37" t="s">
        <v>154</v>
      </c>
      <c r="BJ37" t="s">
        <v>154</v>
      </c>
    </row>
    <row r="38" spans="1:63" s="31" customFormat="1" x14ac:dyDescent="0.3">
      <c r="A38" s="31" t="s">
        <v>765</v>
      </c>
      <c r="B38" s="31" t="s">
        <v>764</v>
      </c>
      <c r="C38" s="31">
        <v>2020</v>
      </c>
      <c r="D38" s="31" t="s">
        <v>766</v>
      </c>
      <c r="E38" s="31" t="s">
        <v>647</v>
      </c>
      <c r="F38" s="31" t="s">
        <v>23</v>
      </c>
      <c r="G38" s="31" t="s">
        <v>11</v>
      </c>
      <c r="H38" s="31" t="s">
        <v>34</v>
      </c>
      <c r="I38" s="31" t="s">
        <v>12</v>
      </c>
      <c r="J38" s="31" t="s">
        <v>8</v>
      </c>
      <c r="K38" s="31" t="s">
        <v>8</v>
      </c>
      <c r="L38" s="31">
        <v>8</v>
      </c>
      <c r="M38" s="31" t="s">
        <v>8</v>
      </c>
      <c r="N38" s="31">
        <v>200</v>
      </c>
      <c r="O38" s="31">
        <f t="shared" si="3"/>
        <v>225</v>
      </c>
      <c r="P38" s="31">
        <v>250</v>
      </c>
      <c r="Q38" s="31">
        <v>1</v>
      </c>
      <c r="R38" s="31">
        <v>12</v>
      </c>
      <c r="S38" s="31">
        <v>1</v>
      </c>
      <c r="T38" s="31">
        <v>12</v>
      </c>
      <c r="U38" s="32" t="s">
        <v>68</v>
      </c>
      <c r="V38" s="31" t="s">
        <v>8</v>
      </c>
      <c r="W38" s="31" t="s">
        <v>8</v>
      </c>
      <c r="X38" s="31" t="s">
        <v>68</v>
      </c>
      <c r="Y38" s="31" t="s">
        <v>8</v>
      </c>
      <c r="Z38" s="31" t="s">
        <v>8</v>
      </c>
      <c r="AA38" s="31" t="s">
        <v>640</v>
      </c>
      <c r="AB38" s="31" t="s">
        <v>746</v>
      </c>
      <c r="AC38" s="31" t="s">
        <v>154</v>
      </c>
      <c r="AD38" s="31" t="s">
        <v>634</v>
      </c>
      <c r="AE38" s="31">
        <v>0</v>
      </c>
      <c r="AF38" s="31">
        <v>0.5</v>
      </c>
      <c r="AG38" s="31" t="s">
        <v>580</v>
      </c>
      <c r="AH38" s="31">
        <v>6</v>
      </c>
      <c r="AI38" cm="1">
        <f t="array" ref="AI38">_xlfn.IFS(AF38="NR", "NA", AG38="NR", "NA", AG38="NA","NA", AND(AG38="mg/ml", AH38&lt;&gt;"NR"), ((AF38/2492)*AH38*1000000), AND(AG38="mol/L", AH38&lt;&gt;"NR"), AF38*AH38*1000000, AG38="nmol", AF38*1000, AND(AG38="nmol/uL", AH38&lt;&gt;"NR"), AF38*AH38*1000, AG38="pg", AF38/2492, AG38="pmol", AF38, AND(AG38="pmol/uL", AH38&lt;&gt;"NR"), AF38*AH38, AG38="ug", AF38/2492*1000000, AND(AG38="ug/mL", AH38&lt;&gt;"NR"), (AF38/1000*AH38)/2492*1000000, AND(AG38="ug/uL", AH38&lt;&gt;"NR"), (AF38*AH38)/2492*1000000, AND(AG38="umol/L", AH38&lt;&gt;"NR"), AH38*AF38, TRUE, "NA")</f>
        <v>1203.852327447833</v>
      </c>
      <c r="AJ38" s="31" t="s">
        <v>9</v>
      </c>
      <c r="AK38" s="31">
        <v>3</v>
      </c>
      <c r="AL38" s="31" t="s">
        <v>9</v>
      </c>
      <c r="AM38" s="31" t="s">
        <v>8</v>
      </c>
      <c r="AN38" s="31" t="s">
        <v>9</v>
      </c>
      <c r="AO38" s="32" t="s">
        <v>767</v>
      </c>
      <c r="AP38" t="s">
        <v>1228</v>
      </c>
      <c r="AQ38" s="31">
        <v>168</v>
      </c>
      <c r="AR38" s="31" t="s">
        <v>103</v>
      </c>
      <c r="AS38" s="32">
        <v>792</v>
      </c>
      <c r="AT38" s="31" t="s">
        <v>271</v>
      </c>
      <c r="AU38" s="31" t="s">
        <v>732</v>
      </c>
      <c r="AV38" s="31" t="s">
        <v>674</v>
      </c>
      <c r="AW38" s="31">
        <v>127.9</v>
      </c>
      <c r="AX38" s="31">
        <v>12.86</v>
      </c>
      <c r="AY38" s="31">
        <v>108.7</v>
      </c>
      <c r="AZ38" s="31">
        <v>15.55</v>
      </c>
      <c r="BA38" s="31" t="s">
        <v>656</v>
      </c>
      <c r="BB38" s="31" t="s">
        <v>123</v>
      </c>
      <c r="BC38" cm="1">
        <f t="array" ref="BC38">_xlfn.IFS(BA38="Direct rLV % whole brain", AW38, BA38="Indirect rLV % whole brain", AW38, BA38="Direct rLV % hemisphere", AW38/2, BA38="Indirect rLV % hemisphere", AW38/2, AND(F38="Mouse", BA38="mm3"), (AW38/508.91)*100, AND(F38="Rat", BA38="mm3"), (AW38/1971)*100, AND(F38="Mouse", BA38="ul"), (AW38/508.91)*100, AND(F38="Rat", BA38="ul"), (AW38/1971)*100,  AND(F38="Mouse", BA38="nl"), (AW38/508910)*100, AND(F38="Rat", BA38="nl"), (AW38/1971000)*100, AND(F38="Mouse", BA38="cm3"), (AW38/0.50891)*100, AND(F38="Rat", BA38="cm3"), (AW38/1.971)*100, AND(F38="Mouse", BA38="mL"), (AW38/0.50891)*100, AND(F38="Rat", BA38="mL"), (AW38/1.971)*100, TRUE, "NA")</f>
        <v>6.4890918315575847</v>
      </c>
      <c r="BD38" cm="1">
        <f t="array" ref="BD38">_xlfn.IFS(AZ38="NA", "NA",BA38="Direct rLV % whole brain", AY38, BA38="Indirect rLV % whole brain", AY38, BA38="Direct rLV % hemisphere", AY38/2, BA38="Indirect rLV % hemisphere", AY38/2, AND(F38="Mouse", BA38="mm3"), (AY38/508.91)*100, AND(F38="Rat", BA38="mm3"), (AY38/1971)*100, AND(F38="Mouse", BA38="ul"), (AY38/508.91)*100, AND(F38="Rat", BA38="ul"), (AY38/1971)*100,  AND(F38="Mouse", BA38="nl"), (AY38/508910)*100, AND(F38="Rat", BA38="nl"), (AY38/1971000)*100, AND(F38="Mouse", BA38="cm3"), (AY38/0.50891)*100, AND(F38="Rat", BA38="cm3"), (AY38/1.971)*100, AND(F38="Mouse", BA38="mL"), (AY38/0.50891)*100, AND(F38="Rat", BA38="mL"), (AY38/1.971)*100, TRUE, "NA")</f>
        <v>5.5149670218163367</v>
      </c>
      <c r="BE38" cm="1">
        <f t="array" ref="BE38">_xlfn.IFS(AX38="NA", "NA", BB38="NR", "NA", BB38="SD", AX38, BB38="SE", AX38*(SQRT(R38)), BB38="SEM", AX38*(SQRT(R38)), TRUE, "NA")</f>
        <v>44.548346770671522</v>
      </c>
      <c r="BF38" cm="1">
        <f t="array" ref="BF38">_xlfn.IFS(BE38="NA", "NA",BA38="Direct rLV % whole brain", BE38, BA38="Indirect rLV % whole brain", BE38, BA38="Direct rLV % hemisphere", BE38/2, BA38="Indirect rLV % hemisphere", BE38/2, AND(F38="Mouse", BA38="mm3"), (BE38/508.91)*100, AND(F38="Rat", BA38="mm3"), (BE38/1971)*100, AND(F38="Mouse", BA38="ul"), (BE38/508.91)*100, AND(F38="Rat", BA38="ul"), (BE38/1971)*100,  AND(F38="Mouse", BA38="nl"), (BE38/508910)*100, AND(F38="Rat", BA38="nl"), (BE38/1971000)*100, AND(F38="Mouse", BA38="cm3"), (BE38/0.50891)*100, AND(F38="Rat", BA38="cm3"), (BE38/1.971)*100, AND(F38="Mouse", BA38="mL"), (BE38/0.50891)*100, AND(F38="Rat", BA38="mL"), (BE38/1.971)*100, TRUE, "NA")</f>
        <v>2.2601900949097677</v>
      </c>
      <c r="BG38" cm="1">
        <f t="array" ref="BG38">_xlfn.IFS(AZ38="NA", "NA", BB38="NR", "NA", BB38="SD", AZ38, BB38="SE", AZ38*(SQRT(R38)), BB38="SEM", AZ38*(SQRT(R38)), TRUE, "NA")</f>
        <v>53.866780115392082</v>
      </c>
      <c r="BH38" s="32" t="s">
        <v>154</v>
      </c>
      <c r="BI38" s="31" t="s">
        <v>154</v>
      </c>
      <c r="BJ38" s="31" t="s">
        <v>154</v>
      </c>
    </row>
    <row r="39" spans="1:63" x14ac:dyDescent="0.3">
      <c r="A39" t="s">
        <v>769</v>
      </c>
      <c r="B39" t="s">
        <v>768</v>
      </c>
      <c r="C39">
        <v>2010</v>
      </c>
      <c r="D39" t="s">
        <v>770</v>
      </c>
      <c r="E39" t="s">
        <v>647</v>
      </c>
      <c r="F39" t="s">
        <v>23</v>
      </c>
      <c r="G39" t="s">
        <v>47</v>
      </c>
      <c r="H39" t="s">
        <v>34</v>
      </c>
      <c r="I39" t="s">
        <v>12</v>
      </c>
      <c r="J39" t="s">
        <v>8</v>
      </c>
      <c r="K39">
        <v>21</v>
      </c>
      <c r="L39">
        <f>AVERAGE(K39,M39)</f>
        <v>23.5</v>
      </c>
      <c r="M39">
        <v>26</v>
      </c>
      <c r="N39" t="s">
        <v>9</v>
      </c>
      <c r="O39" t="s">
        <v>9</v>
      </c>
      <c r="P39" t="s">
        <v>9</v>
      </c>
      <c r="Q39">
        <v>1</v>
      </c>
      <c r="R39">
        <v>7</v>
      </c>
      <c r="S39">
        <v>3</v>
      </c>
      <c r="T39">
        <v>8</v>
      </c>
      <c r="U39" s="18" t="s">
        <v>71</v>
      </c>
      <c r="V39" t="s">
        <v>288</v>
      </c>
      <c r="W39" t="s">
        <v>8</v>
      </c>
      <c r="X39" t="s">
        <v>71</v>
      </c>
      <c r="Y39" t="s">
        <v>288</v>
      </c>
      <c r="Z39" t="s">
        <v>8</v>
      </c>
      <c r="AA39" t="s">
        <v>640</v>
      </c>
      <c r="AB39" t="s">
        <v>636</v>
      </c>
      <c r="AC39" t="s">
        <v>154</v>
      </c>
      <c r="AD39" t="s">
        <v>634</v>
      </c>
      <c r="AE39">
        <v>0</v>
      </c>
      <c r="AF39">
        <v>0.3</v>
      </c>
      <c r="AG39" t="s">
        <v>578</v>
      </c>
      <c r="AH39">
        <v>0.33</v>
      </c>
      <c r="AI39" cm="1">
        <f t="array" ref="AI39">_xlfn.IFS(AF39="NR", "NA", AG39="NR", "NA", AG39="NA","NA", AND(AG39="mg/ml", AH39&lt;&gt;"NR"), ((AF39/2492)*AH39*1000000), AND(AG39="mol/L", AH39&lt;&gt;"NR"), AF39*AH39*1000000, AG39="nmol", AF39*1000, AND(AG39="nmol/uL", AH39&lt;&gt;"NR"), AF39*AH39*1000, AG39="pg", AF39/2492, AG39="pmol", AF39, AND(AG39="pmol/uL", AH39&lt;&gt;"NR"), AF39*AH39, AG39="ug", AF39/2492*1000000, AND(AG39="ug/mL", AH39&lt;&gt;"NR"), (AF39/1000*AH39)/2492*1000000, AND(AG39="ug/uL", AH39&lt;&gt;"NR"), (AF39*AH39)/2492*1000000, AND(AG39="umol/L", AH39&lt;&gt;"NR"), AH39*AF39, TRUE, "NA")</f>
        <v>120.38523274478331</v>
      </c>
      <c r="AJ39" t="s">
        <v>9</v>
      </c>
      <c r="AK39">
        <v>1</v>
      </c>
      <c r="AL39" t="s">
        <v>665</v>
      </c>
      <c r="AM39" t="s">
        <v>771</v>
      </c>
      <c r="AN39" t="s">
        <v>9</v>
      </c>
      <c r="AO39" s="18" t="s">
        <v>772</v>
      </c>
      <c r="AP39" t="s">
        <v>1228</v>
      </c>
      <c r="AQ39">
        <v>168</v>
      </c>
      <c r="AR39" t="s">
        <v>103</v>
      </c>
      <c r="AS39" s="18">
        <v>1128</v>
      </c>
      <c r="AT39" t="s">
        <v>271</v>
      </c>
      <c r="AU39" t="s">
        <v>732</v>
      </c>
      <c r="AV39">
        <v>0.79</v>
      </c>
      <c r="AW39">
        <v>11.89</v>
      </c>
      <c r="AX39">
        <v>1.25</v>
      </c>
      <c r="AY39">
        <v>12.39</v>
      </c>
      <c r="AZ39">
        <v>1.23</v>
      </c>
      <c r="BA39" t="s">
        <v>656</v>
      </c>
      <c r="BB39" t="s">
        <v>123</v>
      </c>
      <c r="BC39" cm="1">
        <f t="array" ref="BC39">_xlfn.IFS(BA39="Direct rLV % whole brain", AW39, BA39="Indirect rLV % whole brain", AW39, BA39="Direct rLV % hemisphere", AW39/2, BA39="Indirect rLV % hemisphere", AW39/2, AND(F39="Mouse", BA39="mm3"), (AW39/508.91)*100, AND(F39="Rat", BA39="mm3"), (AW39/1971)*100, AND(F39="Mouse", BA39="ul"), (AW39/508.91)*100, AND(F39="Rat", BA39="ul"), (AW39/1971)*100,  AND(F39="Mouse", BA39="nl"), (AW39/508910)*100, AND(F39="Rat", BA39="nl"), (AW39/1971000)*100, AND(F39="Mouse", BA39="cm3"), (AW39/0.50891)*100, AND(F39="Rat", BA39="cm3"), (AW39/1.971)*100, AND(F39="Mouse", BA39="mL"), (AW39/0.50891)*100, AND(F39="Rat", BA39="mL"), (AW39/1.971)*100, TRUE, "NA")</f>
        <v>0.60324708269913752</v>
      </c>
      <c r="BD39" cm="1">
        <f t="array" ref="BD39">_xlfn.IFS(AZ39="NA", "NA",BA39="Direct rLV % whole brain", AY39, BA39="Indirect rLV % whole brain", AY39, BA39="Direct rLV % hemisphere", AY39/2, BA39="Indirect rLV % hemisphere", AY39/2, AND(F39="Mouse", BA39="mm3"), (AY39/508.91)*100, AND(F39="Rat", BA39="mm3"), (AY39/1971)*100, AND(F39="Mouse", BA39="ul"), (AY39/508.91)*100, AND(F39="Rat", BA39="ul"), (AY39/1971)*100,  AND(F39="Mouse", BA39="nl"), (AY39/508910)*100, AND(F39="Rat", BA39="nl"), (AY39/1971000)*100, AND(F39="Mouse", BA39="cm3"), (AY39/0.50891)*100, AND(F39="Rat", BA39="cm3"), (AY39/1.971)*100, AND(F39="Mouse", BA39="mL"), (AY39/0.50891)*100, AND(F39="Rat", BA39="mL"), (AY39/1.971)*100, TRUE, "NA")</f>
        <v>0.62861491628614918</v>
      </c>
      <c r="BE39" cm="1">
        <f t="array" ref="BE39">_xlfn.IFS(AX39="NA", "NA", BB39="NR", "NA", BB39="SD", AX39, BB39="SE", AX39*(SQRT(R39)), BB39="SEM", AX39*(SQRT(R39)), TRUE, "NA")</f>
        <v>3.3071891388307382</v>
      </c>
      <c r="BF39" cm="1">
        <f t="array" ref="BF39">_xlfn.IFS(BE39="NA", "NA",BA39="Direct rLV % whole brain", BE39, BA39="Indirect rLV % whole brain", BE39, BA39="Direct rLV % hemisphere", BE39/2, BA39="Indirect rLV % hemisphere", BE39/2, AND(F39="Mouse", BA39="mm3"), (BE39/508.91)*100, AND(F39="Rat", BA39="mm3"), (BE39/1971)*100, AND(F39="Mouse", BA39="ul"), (BE39/508.91)*100, AND(F39="Rat", BA39="ul"), (BE39/1971)*100,  AND(F39="Mouse", BA39="nl"), (BE39/508910)*100, AND(F39="Rat", BA39="nl"), (BE39/1971000)*100, AND(F39="Mouse", BA39="cm3"), (BE39/0.50891)*100, AND(F39="Rat", BA39="cm3"), (BE39/1.971)*100, AND(F39="Mouse", BA39="mL"), (BE39/0.50891)*100, AND(F39="Rat", BA39="mL"), (BE39/1.971)*100, TRUE, "NA")</f>
        <v>0.16779244742926119</v>
      </c>
      <c r="BG39" cm="1">
        <f t="array" ref="BG39">_xlfn.IFS(AZ39="NA", "NA", BB39="NR", "NA", BB39="SD", AZ39, BB39="SE", AZ39*(SQRT(R39)), BB39="SEM", AZ39*(SQRT(R39)), TRUE, "NA")</f>
        <v>3.2542741126094463</v>
      </c>
      <c r="BH39" s="18" t="s">
        <v>154</v>
      </c>
      <c r="BI39" t="s">
        <v>154</v>
      </c>
      <c r="BJ39" t="s">
        <v>154</v>
      </c>
    </row>
    <row r="40" spans="1:63" x14ac:dyDescent="0.3">
      <c r="A40" t="s">
        <v>769</v>
      </c>
      <c r="B40" t="s">
        <v>768</v>
      </c>
      <c r="C40">
        <v>2010</v>
      </c>
      <c r="D40" t="s">
        <v>770</v>
      </c>
      <c r="E40" t="s">
        <v>678</v>
      </c>
      <c r="F40" t="s">
        <v>23</v>
      </c>
      <c r="G40" t="s">
        <v>47</v>
      </c>
      <c r="H40" t="s">
        <v>34</v>
      </c>
      <c r="I40" t="s">
        <v>12</v>
      </c>
      <c r="J40" t="s">
        <v>8</v>
      </c>
      <c r="K40">
        <v>21</v>
      </c>
      <c r="L40">
        <f>AVERAGE(K40,M40)</f>
        <v>23.5</v>
      </c>
      <c r="M40">
        <v>26</v>
      </c>
      <c r="N40" t="s">
        <v>9</v>
      </c>
      <c r="O40" t="s">
        <v>9</v>
      </c>
      <c r="P40" t="s">
        <v>9</v>
      </c>
      <c r="Q40">
        <v>1</v>
      </c>
      <c r="R40">
        <v>7</v>
      </c>
      <c r="S40">
        <v>3</v>
      </c>
      <c r="T40">
        <v>8</v>
      </c>
      <c r="U40" s="18" t="s">
        <v>71</v>
      </c>
      <c r="V40" t="s">
        <v>288</v>
      </c>
      <c r="W40" t="s">
        <v>8</v>
      </c>
      <c r="X40" t="s">
        <v>71</v>
      </c>
      <c r="Y40" t="s">
        <v>288</v>
      </c>
      <c r="Z40" t="s">
        <v>8</v>
      </c>
      <c r="AA40" t="s">
        <v>640</v>
      </c>
      <c r="AB40" t="s">
        <v>636</v>
      </c>
      <c r="AC40" t="s">
        <v>154</v>
      </c>
      <c r="AD40" t="s">
        <v>634</v>
      </c>
      <c r="AE40">
        <v>0</v>
      </c>
      <c r="AF40">
        <v>0.3</v>
      </c>
      <c r="AG40" t="s">
        <v>578</v>
      </c>
      <c r="AH40">
        <v>0.33</v>
      </c>
      <c r="AI40" cm="1">
        <f t="array" ref="AI40">_xlfn.IFS(AF40="NR", "NA", AG40="NR", "NA", AG40="NA","NA", AND(AG40="mg/ml", AH40&lt;&gt;"NR"), ((AF40/2492)*AH40*1000000), AND(AG40="mol/L", AH40&lt;&gt;"NR"), AF40*AH40*1000000, AG40="nmol", AF40*1000, AND(AG40="nmol/uL", AH40&lt;&gt;"NR"), AF40*AH40*1000, AG40="pg", AF40/2492, AG40="pmol", AF40, AND(AG40="pmol/uL", AH40&lt;&gt;"NR"), AF40*AH40, AG40="ug", AF40/2492*1000000, AND(AG40="ug/mL", AH40&lt;&gt;"NR"), (AF40/1000*AH40)/2492*1000000, AND(AG40="ug/uL", AH40&lt;&gt;"NR"), (AF40*AH40)/2492*1000000, AND(AG40="umol/L", AH40&lt;&gt;"NR"), AH40*AF40, TRUE, "NA")</f>
        <v>120.38523274478331</v>
      </c>
      <c r="AJ40" t="s">
        <v>9</v>
      </c>
      <c r="AK40">
        <v>1</v>
      </c>
      <c r="AL40" t="s">
        <v>665</v>
      </c>
      <c r="AM40" t="s">
        <v>771</v>
      </c>
      <c r="AN40" t="s">
        <v>9</v>
      </c>
      <c r="AO40" s="18" t="s">
        <v>773</v>
      </c>
      <c r="AP40" t="s">
        <v>1228</v>
      </c>
      <c r="AQ40">
        <v>168</v>
      </c>
      <c r="AR40" t="s">
        <v>103</v>
      </c>
      <c r="AS40" s="18">
        <v>1128</v>
      </c>
      <c r="AT40" t="s">
        <v>271</v>
      </c>
      <c r="AU40" t="s">
        <v>732</v>
      </c>
      <c r="AV40">
        <v>0.79</v>
      </c>
      <c r="AW40">
        <v>11.89</v>
      </c>
      <c r="AX40">
        <v>1.25</v>
      </c>
      <c r="AY40">
        <v>13.46</v>
      </c>
      <c r="AZ40">
        <v>1.69</v>
      </c>
      <c r="BA40" t="s">
        <v>656</v>
      </c>
      <c r="BB40" t="s">
        <v>123</v>
      </c>
      <c r="BC40" cm="1">
        <f t="array" ref="BC40">_xlfn.IFS(BA40="Direct rLV % whole brain", AW40, BA40="Indirect rLV % whole brain", AW40, BA40="Direct rLV % hemisphere", AW40/2, BA40="Indirect rLV % hemisphere", AW40/2, AND(F40="Mouse", BA40="mm3"), (AW40/508.91)*100, AND(F40="Rat", BA40="mm3"), (AW40/1971)*100, AND(F40="Mouse", BA40="ul"), (AW40/508.91)*100, AND(F40="Rat", BA40="ul"), (AW40/1971)*100,  AND(F40="Mouse", BA40="nl"), (AW40/508910)*100, AND(F40="Rat", BA40="nl"), (AW40/1971000)*100, AND(F40="Mouse", BA40="cm3"), (AW40/0.50891)*100, AND(F40="Rat", BA40="cm3"), (AW40/1.971)*100, AND(F40="Mouse", BA40="mL"), (AW40/0.50891)*100, AND(F40="Rat", BA40="mL"), (AW40/1.971)*100, TRUE, "NA")</f>
        <v>0.60324708269913752</v>
      </c>
      <c r="BD40" cm="1">
        <f t="array" ref="BD40">_xlfn.IFS(AZ40="NA", "NA",BA40="Direct rLV % whole brain", AY40, BA40="Indirect rLV % whole brain", AY40, BA40="Direct rLV % hemisphere", AY40/2, BA40="Indirect rLV % hemisphere", AY40/2, AND(F40="Mouse", BA40="mm3"), (AY40/508.91)*100, AND(F40="Rat", BA40="mm3"), (AY40/1971)*100, AND(F40="Mouse", BA40="ul"), (AY40/508.91)*100, AND(F40="Rat", BA40="ul"), (AY40/1971)*100,  AND(F40="Mouse", BA40="nl"), (AY40/508910)*100, AND(F40="Rat", BA40="nl"), (AY40/1971000)*100, AND(F40="Mouse", BA40="cm3"), (AY40/0.50891)*100, AND(F40="Rat", BA40="cm3"), (AY40/1.971)*100, AND(F40="Mouse", BA40="mL"), (AY40/0.50891)*100, AND(F40="Rat", BA40="mL"), (AY40/1.971)*100, TRUE, "NA")</f>
        <v>0.68290208016235421</v>
      </c>
      <c r="BE40" cm="1">
        <f t="array" ref="BE40">_xlfn.IFS(AX40="NA", "NA", BB40="NR", "NA", BB40="SD", AX40, BB40="SE", AX40*(SQRT(R40)), BB40="SEM", AX40*(SQRT(R40)), TRUE, "NA")</f>
        <v>3.3071891388307382</v>
      </c>
      <c r="BF40" cm="1">
        <f t="array" ref="BF40">_xlfn.IFS(BE40="NA", "NA",BA40="Direct rLV % whole brain", BE40, BA40="Indirect rLV % whole brain", BE40, BA40="Direct rLV % hemisphere", BE40/2, BA40="Indirect rLV % hemisphere", BE40/2, AND(F40="Mouse", BA40="mm3"), (BE40/508.91)*100, AND(F40="Rat", BA40="mm3"), (BE40/1971)*100, AND(F40="Mouse", BA40="ul"), (BE40/508.91)*100, AND(F40="Rat", BA40="ul"), (BE40/1971)*100,  AND(F40="Mouse", BA40="nl"), (BE40/508910)*100, AND(F40="Rat", BA40="nl"), (BE40/1971000)*100, AND(F40="Mouse", BA40="cm3"), (BE40/0.50891)*100, AND(F40="Rat", BA40="cm3"), (BE40/1.971)*100, AND(F40="Mouse", BA40="mL"), (BE40/0.50891)*100, AND(F40="Rat", BA40="mL"), (BE40/1.971)*100, TRUE, "NA")</f>
        <v>0.16779244742926119</v>
      </c>
      <c r="BG40" cm="1">
        <f t="array" ref="BG40">_xlfn.IFS(AZ40="NA", "NA", BB40="NR", "NA", BB40="SD", AZ40, BB40="SE", AZ40*(SQRT(R40)), BB40="SEM", AZ40*(SQRT(R40)), TRUE, "NA")</f>
        <v>4.471319715699158</v>
      </c>
      <c r="BH40" s="18" t="s">
        <v>154</v>
      </c>
      <c r="BI40" t="s">
        <v>154</v>
      </c>
      <c r="BJ40" t="s">
        <v>154</v>
      </c>
    </row>
    <row r="41" spans="1:63" s="31" customFormat="1" x14ac:dyDescent="0.3">
      <c r="A41" s="31" t="s">
        <v>775</v>
      </c>
      <c r="B41" s="31" t="s">
        <v>774</v>
      </c>
      <c r="C41" s="31">
        <v>2019</v>
      </c>
      <c r="D41" s="31" t="s">
        <v>776</v>
      </c>
      <c r="E41" s="31" t="s">
        <v>647</v>
      </c>
      <c r="F41" s="31" t="s">
        <v>23</v>
      </c>
      <c r="G41" s="31" t="s">
        <v>10</v>
      </c>
      <c r="H41" s="31" t="s">
        <v>34</v>
      </c>
      <c r="I41" s="31" t="s">
        <v>12</v>
      </c>
      <c r="J41" s="31" t="s">
        <v>8</v>
      </c>
      <c r="K41" s="31">
        <v>6</v>
      </c>
      <c r="L41" s="31">
        <v>7.5</v>
      </c>
      <c r="M41" s="31">
        <v>9</v>
      </c>
      <c r="N41" s="31">
        <v>198</v>
      </c>
      <c r="O41" s="31">
        <v>262</v>
      </c>
      <c r="P41" s="31">
        <v>344</v>
      </c>
      <c r="Q41" s="31">
        <v>1</v>
      </c>
      <c r="R41" s="31">
        <v>14</v>
      </c>
      <c r="S41" s="31">
        <v>1</v>
      </c>
      <c r="T41" s="31">
        <v>17</v>
      </c>
      <c r="U41" s="32" t="s">
        <v>396</v>
      </c>
      <c r="V41" s="31" t="s">
        <v>397</v>
      </c>
      <c r="W41" s="31" t="s">
        <v>8</v>
      </c>
      <c r="X41" s="31" t="s">
        <v>12</v>
      </c>
      <c r="Y41" s="31" t="s">
        <v>8</v>
      </c>
      <c r="Z41" s="31" t="s">
        <v>8</v>
      </c>
      <c r="AA41" s="31" t="s">
        <v>648</v>
      </c>
      <c r="AB41" s="31" t="s">
        <v>636</v>
      </c>
      <c r="AC41" s="31" t="s">
        <v>153</v>
      </c>
      <c r="AD41" s="31" t="s">
        <v>610</v>
      </c>
      <c r="AE41" s="31">
        <v>48</v>
      </c>
      <c r="AF41" s="31">
        <v>10</v>
      </c>
      <c r="AG41" s="31" t="s">
        <v>745</v>
      </c>
      <c r="AH41" s="31">
        <v>15</v>
      </c>
      <c r="AI41" cm="1">
        <f t="array" ref="AI41">_xlfn.IFS(AF41="NR", "NA", AG41="NR", "NA", AG41="NA","NA", AND(AG41="mg/ml", AH41&lt;&gt;"NR"), ((AF41/2492)*AH41*1000000), AND(AG41="mol/L", AH41&lt;&gt;"NR"), AF41*AH41*1000000, AG41="nmol", AF41*1000, AND(AG41="nmol/uL", AH41&lt;&gt;"NR"), AF41*AH41*1000, AG41="pg", AF41/2492, AG41="pmol", AF41, AND(AG41="pmol/uL", AH41&lt;&gt;"NR"), AF41*AH41, AG41="ug", AF41/2492*1000000, AND(AG41="ug/mL", AH41&lt;&gt;"NR"), (AF41/1000*AH41)/2492*1000000, AND(AG41="ug/uL", AH41&lt;&gt;"NR"), (AF41*AH41)/2492*1000000, AND(AG41="umol/L", AH41&lt;&gt;"NR"), AH41*AF41, TRUE, "NA")</f>
        <v>150</v>
      </c>
      <c r="AJ41" s="31">
        <v>30</v>
      </c>
      <c r="AK41" s="31">
        <v>1</v>
      </c>
      <c r="AL41" s="31" t="s">
        <v>701</v>
      </c>
      <c r="AM41" s="31" t="s">
        <v>665</v>
      </c>
      <c r="AN41" s="31" t="s">
        <v>9</v>
      </c>
      <c r="AO41" s="32" t="s">
        <v>778</v>
      </c>
      <c r="AP41" t="s">
        <v>1228</v>
      </c>
      <c r="AQ41" s="31">
        <v>0</v>
      </c>
      <c r="AR41" s="31" t="s">
        <v>102</v>
      </c>
      <c r="AS41" s="32">
        <v>24</v>
      </c>
      <c r="AT41" s="31" t="s">
        <v>271</v>
      </c>
      <c r="AU41" s="31" t="s">
        <v>663</v>
      </c>
      <c r="AV41" s="31">
        <v>4.7E-2</v>
      </c>
      <c r="AW41" s="31">
        <v>80.599999999999994</v>
      </c>
      <c r="AX41" s="31">
        <v>6.7</v>
      </c>
      <c r="AY41" s="31">
        <v>61.8</v>
      </c>
      <c r="AZ41" s="31">
        <v>6</v>
      </c>
      <c r="BA41" s="31" t="s">
        <v>656</v>
      </c>
      <c r="BB41" s="31" t="s">
        <v>123</v>
      </c>
      <c r="BC41" cm="1">
        <f t="array" ref="BC41">_xlfn.IFS(BA41="Direct rLV % whole brain", AW41, BA41="Indirect rLV % whole brain", AW41, BA41="Direct rLV % hemisphere", AW41/2, BA41="Indirect rLV % hemisphere", AW41/2, AND(F41="Mouse", BA41="mm3"), (AW41/508.91)*100, AND(F41="Rat", BA41="mm3"), (AW41/1971)*100, AND(F41="Mouse", BA41="ul"), (AW41/508.91)*100, AND(F41="Rat", BA41="ul"), (AW41/1971)*100,  AND(F41="Mouse", BA41="nl"), (AW41/508910)*100, AND(F41="Rat", BA41="nl"), (AW41/1971000)*100, AND(F41="Mouse", BA41="cm3"), (AW41/0.50891)*100, AND(F41="Rat", BA41="cm3"), (AW41/1.971)*100, AND(F41="Mouse", BA41="mL"), (AW41/0.50891)*100, AND(F41="Rat", BA41="mL"), (AW41/1.971)*100, TRUE, "NA")</f>
        <v>4.0892947742262802</v>
      </c>
      <c r="BD41" cm="1">
        <f t="array" ref="BD41">_xlfn.IFS(AZ41="NA", "NA",BA41="Direct rLV % whole brain", AY41, BA41="Indirect rLV % whole brain", AY41, BA41="Direct rLV % hemisphere", AY41/2, BA41="Indirect rLV % hemisphere", AY41/2, AND(F41="Mouse", BA41="mm3"), (AY41/508.91)*100, AND(F41="Rat", BA41="mm3"), (AY41/1971)*100, AND(F41="Mouse", BA41="ul"), (AY41/508.91)*100, AND(F41="Rat", BA41="ul"), (AY41/1971)*100,  AND(F41="Mouse", BA41="nl"), (AY41/508910)*100, AND(F41="Rat", BA41="nl"), (AY41/1971000)*100, AND(F41="Mouse", BA41="cm3"), (AY41/0.50891)*100, AND(F41="Rat", BA41="cm3"), (AY41/1.971)*100, AND(F41="Mouse", BA41="mL"), (AY41/0.50891)*100, AND(F41="Rat", BA41="mL"), (AY41/1.971)*100, TRUE, "NA")</f>
        <v>3.1354642313546419</v>
      </c>
      <c r="BE41" cm="1">
        <f t="array" ref="BE41">_xlfn.IFS(AX41="NA", "NA", BB41="NR", "NA", BB41="SD", AX41, BB41="SE", AX41*(SQRT(R41)), BB41="SEM", AX41*(SQRT(R41)), TRUE, "NA")</f>
        <v>25.069104491385406</v>
      </c>
      <c r="BF41" cm="1">
        <f t="array" ref="BF41">_xlfn.IFS(BE41="NA", "NA",BA41="Direct rLV % whole brain", BE41, BA41="Indirect rLV % whole brain", BE41, BA41="Direct rLV % hemisphere", BE41/2, BA41="Indirect rLV % hemisphere", BE41/2, AND(F41="Mouse", BA41="mm3"), (BE41/508.91)*100, AND(F41="Rat", BA41="mm3"), (BE41/1971)*100, AND(F41="Mouse", BA41="ul"), (BE41/508.91)*100, AND(F41="Rat", BA41="ul"), (BE41/1971)*100,  AND(F41="Mouse", BA41="nl"), (BE41/508910)*100, AND(F41="Rat", BA41="nl"), (BE41/1971000)*100, AND(F41="Mouse", BA41="cm3"), (BE41/0.50891)*100, AND(F41="Rat", BA41="cm3"), (BE41/1.971)*100, AND(F41="Mouse", BA41="mL"), (BE41/0.50891)*100, AND(F41="Rat", BA41="mL"), (BE41/1.971)*100, TRUE, "NA")</f>
        <v>1.2718977418257438</v>
      </c>
      <c r="BG41" cm="1">
        <f t="array" ref="BG41">_xlfn.IFS(AZ41="NA", "NA", BB41="NR", "NA", BB41="SD", AZ41, BB41="SE", AZ41*(SQRT(R41)), BB41="SEM", AZ41*(SQRT(R41)), TRUE, "NA")</f>
        <v>22.449944320643649</v>
      </c>
      <c r="BH41" s="32" t="s">
        <v>154</v>
      </c>
      <c r="BI41" s="31" t="s">
        <v>154</v>
      </c>
      <c r="BJ41" s="31" t="s">
        <v>154</v>
      </c>
      <c r="BK41" s="33" t="s">
        <v>777</v>
      </c>
    </row>
    <row r="42" spans="1:63" x14ac:dyDescent="0.3">
      <c r="A42" t="s">
        <v>780</v>
      </c>
      <c r="B42" t="s">
        <v>779</v>
      </c>
      <c r="C42">
        <v>1992</v>
      </c>
      <c r="D42" t="s">
        <v>781</v>
      </c>
      <c r="E42" t="s">
        <v>647</v>
      </c>
      <c r="F42" t="s">
        <v>23</v>
      </c>
      <c r="G42" t="s">
        <v>10</v>
      </c>
      <c r="H42" t="s">
        <v>34</v>
      </c>
      <c r="I42" t="s">
        <v>12</v>
      </c>
      <c r="J42" t="s">
        <v>8</v>
      </c>
      <c r="K42" t="s">
        <v>9</v>
      </c>
      <c r="L42" t="s">
        <v>9</v>
      </c>
      <c r="M42" t="s">
        <v>9</v>
      </c>
      <c r="N42" t="s">
        <v>9</v>
      </c>
      <c r="O42" t="s">
        <v>9</v>
      </c>
      <c r="P42" t="s">
        <v>9</v>
      </c>
      <c r="Q42">
        <v>3</v>
      </c>
      <c r="R42">
        <v>3.5</v>
      </c>
      <c r="S42" t="s">
        <v>8</v>
      </c>
      <c r="T42" t="s">
        <v>8</v>
      </c>
      <c r="U42" s="18" t="s">
        <v>66</v>
      </c>
      <c r="V42" t="s">
        <v>8</v>
      </c>
      <c r="W42" t="s">
        <v>8</v>
      </c>
      <c r="X42" t="s">
        <v>66</v>
      </c>
      <c r="Y42" t="s">
        <v>8</v>
      </c>
      <c r="Z42" t="s">
        <v>8</v>
      </c>
      <c r="AA42" t="s">
        <v>640</v>
      </c>
      <c r="AB42" t="s">
        <v>637</v>
      </c>
      <c r="AC42" t="s">
        <v>154</v>
      </c>
      <c r="AD42" t="s">
        <v>634</v>
      </c>
      <c r="AE42">
        <v>0</v>
      </c>
      <c r="AF42">
        <v>4.2999999999999997E-2</v>
      </c>
      <c r="AG42" t="s">
        <v>115</v>
      </c>
      <c r="AH42">
        <v>0.5</v>
      </c>
      <c r="AI42" cm="1">
        <f t="array" ref="AI42">_xlfn.IFS(AF42="NR", "NA", AG42="NR", "NA", AG42="NA","NA", AND(AG42="mg/ml", AH42&lt;&gt;"NR"), ((AF42/2492)*AH42*1000000), AND(AG42="mol/L", AH42&lt;&gt;"NR"), AF42*AH42*1000000, AG42="nmol", AF42*1000, AND(AG42="nmol/uL", AH42&lt;&gt;"NR"), AF42*AH42*1000, AG42="pg", AF42/2492, AG42="pmol", AF42, AND(AG42="pmol/uL", AH42&lt;&gt;"NR"), AF42*AH42, AG42="ug", AF42/2492*1000000, AND(AG42="ug/mL", AH42&lt;&gt;"NR"), (AF42/1000*AH42)/2492*1000000, AND(AG42="ug/uL", AH42&lt;&gt;"NR"), (AF42*AH42)/2492*1000000, AND(AG42="umol/L", AH42&lt;&gt;"NR"), AH42*AF42, TRUE, "NA")</f>
        <v>43</v>
      </c>
      <c r="AJ42">
        <v>20</v>
      </c>
      <c r="AK42">
        <v>1</v>
      </c>
      <c r="AL42" t="s">
        <v>9</v>
      </c>
      <c r="AM42" t="s">
        <v>8</v>
      </c>
      <c r="AN42" t="s">
        <v>9</v>
      </c>
      <c r="AO42" s="18" t="s">
        <v>12</v>
      </c>
      <c r="AP42" t="s">
        <v>8</v>
      </c>
      <c r="AQ42" t="s">
        <v>8</v>
      </c>
      <c r="AR42" t="s">
        <v>8</v>
      </c>
      <c r="AS42" s="18">
        <v>168</v>
      </c>
      <c r="AT42" t="s">
        <v>271</v>
      </c>
      <c r="AU42" t="s">
        <v>652</v>
      </c>
      <c r="AV42" t="s">
        <v>9</v>
      </c>
      <c r="AW42">
        <v>3.82</v>
      </c>
      <c r="AX42">
        <v>1.2</v>
      </c>
      <c r="AY42" t="s">
        <v>8</v>
      </c>
      <c r="AZ42" t="s">
        <v>8</v>
      </c>
      <c r="BA42" t="s">
        <v>656</v>
      </c>
      <c r="BB42" t="s">
        <v>123</v>
      </c>
      <c r="BC42" cm="1">
        <f t="array" ref="BC42">_xlfn.IFS(BA42="Direct rLV % whole brain", AW42, BA42="Indirect rLV % whole brain", AW42, BA42="Direct rLV % hemisphere", AW42/2, BA42="Indirect rLV % hemisphere", AW42/2, AND(F42="Mouse", BA42="mm3"), (AW42/508.91)*100, AND(F42="Rat", BA42="mm3"), (AW42/1971)*100, AND(F42="Mouse", BA42="ul"), (AW42/508.91)*100, AND(F42="Rat", BA42="ul"), (AW42/1971)*100,  AND(F42="Mouse", BA42="nl"), (AW42/508910)*100, AND(F42="Rat", BA42="nl"), (AW42/1971000)*100, AND(F42="Mouse", BA42="cm3"), (AW42/0.50891)*100, AND(F42="Rat", BA42="cm3"), (AW42/1.971)*100, AND(F42="Mouse", BA42="mL"), (AW42/0.50891)*100, AND(F42="Rat", BA42="mL"), (AW42/1.971)*100, TRUE, "NA")</f>
        <v>0.19381024860476914</v>
      </c>
      <c r="BD42" t="str" cm="1">
        <f t="array" ref="BD42">_xlfn.IFS(AZ42="NA", "NA",BA42="Direct rLV % whole brain", AY42, BA42="Indirect rLV % whole brain", AY42, BA42="Direct rLV % hemisphere", AY42/2, BA42="Indirect rLV % hemisphere", AY42/2, AND(F42="Mouse", BA42="mm3"), (AY42/508.91)*100, AND(F42="Rat", BA42="mm3"), (AY42/1971)*100, AND(F42="Mouse", BA42="ul"), (AY42/508.91)*100, AND(F42="Rat", BA42="ul"), (AY42/1971)*100,  AND(F42="Mouse", BA42="nl"), (AY42/508910)*100, AND(F42="Rat", BA42="nl"), (AY42/1971000)*100, AND(F42="Mouse", BA42="cm3"), (AY42/0.50891)*100, AND(F42="Rat", BA42="cm3"), (AY42/1.971)*100, AND(F42="Mouse", BA42="mL"), (AY42/0.50891)*100, AND(F42="Rat", BA42="mL"), (AY42/1.971)*100, TRUE, "NA")</f>
        <v>NA</v>
      </c>
      <c r="BE42" cm="1">
        <f t="array" ref="BE42">_xlfn.IFS(AX42="NA", "NA", BB42="NR", "NA", BB42="SD", AX42, BB42="SE", AX42*(SQRT(R42)), BB42="SEM", AX42*(SQRT(R42)), TRUE, "NA")</f>
        <v>2.2449944320643649</v>
      </c>
      <c r="BF42" cm="1">
        <f t="array" ref="BF42">_xlfn.IFS(BE42="NA", "NA",BA42="Direct rLV % whole brain", BE42, BA42="Indirect rLV % whole brain", BE42, BA42="Direct rLV % hemisphere", BE42/2, BA42="Indirect rLV % hemisphere", BE42/2, AND(F42="Mouse", BA42="mm3"), (BE42/508.91)*100, AND(F42="Rat", BA42="mm3"), (BE42/1971)*100, AND(F42="Mouse", BA42="ul"), (BE42/508.91)*100, AND(F42="Rat", BA42="ul"), (BE42/1971)*100,  AND(F42="Mouse", BA42="nl"), (BE42/508910)*100, AND(F42="Rat", BA42="nl"), (BE42/1971000)*100, AND(F42="Mouse", BA42="cm3"), (BE42/0.50891)*100, AND(F42="Rat", BA42="cm3"), (BE42/1.971)*100, AND(F42="Mouse", BA42="mL"), (BE42/0.50891)*100, AND(F42="Rat", BA42="mL"), (BE42/1.971)*100, TRUE, "NA")</f>
        <v>0.11390129031275317</v>
      </c>
      <c r="BG42" t="str" cm="1">
        <f t="array" ref="BG42">_xlfn.IFS(AZ42="NA", "NA", BB42="NR", "NA", BB42="SD", AZ42, BB42="SE", AZ42*(SQRT(R42)), BB42="SEM", AZ42*(SQRT(R42)), TRUE, "NA")</f>
        <v>NA</v>
      </c>
      <c r="BH42" s="18" t="s">
        <v>153</v>
      </c>
      <c r="BI42" t="s">
        <v>153</v>
      </c>
      <c r="BJ42" t="s">
        <v>154</v>
      </c>
      <c r="BK42" t="s">
        <v>782</v>
      </c>
    </row>
    <row r="43" spans="1:63" x14ac:dyDescent="0.3">
      <c r="A43" t="s">
        <v>780</v>
      </c>
      <c r="B43" t="s">
        <v>779</v>
      </c>
      <c r="C43">
        <v>1992</v>
      </c>
      <c r="D43" t="s">
        <v>781</v>
      </c>
      <c r="E43" t="s">
        <v>678</v>
      </c>
      <c r="F43" t="s">
        <v>23</v>
      </c>
      <c r="G43" t="s">
        <v>10</v>
      </c>
      <c r="H43" t="s">
        <v>34</v>
      </c>
      <c r="I43" t="s">
        <v>12</v>
      </c>
      <c r="J43" t="s">
        <v>8</v>
      </c>
      <c r="K43" t="s">
        <v>9</v>
      </c>
      <c r="L43" t="s">
        <v>9</v>
      </c>
      <c r="M43" t="s">
        <v>9</v>
      </c>
      <c r="N43" t="s">
        <v>9</v>
      </c>
      <c r="O43" t="s">
        <v>9</v>
      </c>
      <c r="P43" t="s">
        <v>9</v>
      </c>
      <c r="Q43">
        <v>3</v>
      </c>
      <c r="R43">
        <v>3.5</v>
      </c>
      <c r="S43" t="s">
        <v>8</v>
      </c>
      <c r="T43" t="s">
        <v>8</v>
      </c>
      <c r="U43" s="18" t="s">
        <v>66</v>
      </c>
      <c r="V43" t="s">
        <v>8</v>
      </c>
      <c r="W43" t="s">
        <v>8</v>
      </c>
      <c r="X43" t="s">
        <v>66</v>
      </c>
      <c r="Y43" t="s">
        <v>8</v>
      </c>
      <c r="Z43" t="s">
        <v>8</v>
      </c>
      <c r="AA43" t="s">
        <v>640</v>
      </c>
      <c r="AB43" t="s">
        <v>637</v>
      </c>
      <c r="AC43" t="s">
        <v>154</v>
      </c>
      <c r="AD43" t="s">
        <v>634</v>
      </c>
      <c r="AE43">
        <v>0</v>
      </c>
      <c r="AF43">
        <v>0.129</v>
      </c>
      <c r="AG43" t="s">
        <v>115</v>
      </c>
      <c r="AH43">
        <v>0.5</v>
      </c>
      <c r="AI43" cm="1">
        <f t="array" ref="AI43">_xlfn.IFS(AF43="NR", "NA", AG43="NR", "NA", AG43="NA","NA", AND(AG43="mg/ml", AH43&lt;&gt;"NR"), ((AF43/2492)*AH43*1000000), AND(AG43="mol/L", AH43&lt;&gt;"NR"), AF43*AH43*1000000, AG43="nmol", AF43*1000, AND(AG43="nmol/uL", AH43&lt;&gt;"NR"), AF43*AH43*1000, AG43="pg", AF43/2492, AG43="pmol", AF43, AND(AG43="pmol/uL", AH43&lt;&gt;"NR"), AF43*AH43, AG43="ug", AF43/2492*1000000, AND(AG43="ug/mL", AH43&lt;&gt;"NR"), (AF43/1000*AH43)/2492*1000000, AND(AG43="ug/uL", AH43&lt;&gt;"NR"), (AF43*AH43)/2492*1000000, AND(AG43="umol/L", AH43&lt;&gt;"NR"), AH43*AF43, TRUE, "NA")</f>
        <v>129</v>
      </c>
      <c r="AJ43">
        <v>20</v>
      </c>
      <c r="AK43">
        <v>1</v>
      </c>
      <c r="AL43" t="s">
        <v>9</v>
      </c>
      <c r="AM43" t="s">
        <v>8</v>
      </c>
      <c r="AN43" t="s">
        <v>9</v>
      </c>
      <c r="AO43" s="18" t="s">
        <v>12</v>
      </c>
      <c r="AP43" t="s">
        <v>8</v>
      </c>
      <c r="AQ43" t="s">
        <v>8</v>
      </c>
      <c r="AR43" t="s">
        <v>8</v>
      </c>
      <c r="AS43" s="18">
        <v>168</v>
      </c>
      <c r="AT43" t="s">
        <v>271</v>
      </c>
      <c r="AU43" t="s">
        <v>652</v>
      </c>
      <c r="AV43" t="s">
        <v>679</v>
      </c>
      <c r="AW43">
        <v>5.35</v>
      </c>
      <c r="AX43">
        <v>1.19</v>
      </c>
      <c r="AY43" t="s">
        <v>8</v>
      </c>
      <c r="AZ43" t="s">
        <v>8</v>
      </c>
      <c r="BA43" t="s">
        <v>656</v>
      </c>
      <c r="BB43" t="s">
        <v>123</v>
      </c>
      <c r="BC43" cm="1">
        <f t="array" ref="BC43">_xlfn.IFS(BA43="Direct rLV % whole brain", AW43, BA43="Indirect rLV % whole brain", AW43, BA43="Direct rLV % hemisphere", AW43/2, BA43="Indirect rLV % hemisphere", AW43/2, AND(F43="Mouse", BA43="mm3"), (AW43/508.91)*100, AND(F43="Rat", BA43="mm3"), (AW43/1971)*100, AND(F43="Mouse", BA43="ul"), (AW43/508.91)*100, AND(F43="Rat", BA43="ul"), (AW43/1971)*100,  AND(F43="Mouse", BA43="nl"), (AW43/508910)*100, AND(F43="Rat", BA43="nl"), (AW43/1971000)*100, AND(F43="Mouse", BA43="cm3"), (AW43/0.50891)*100, AND(F43="Rat", BA43="cm3"), (AW43/1.971)*100, AND(F43="Mouse", BA43="mL"), (AW43/0.50891)*100, AND(F43="Rat", BA43="mL"), (AW43/1.971)*100, TRUE, "NA")</f>
        <v>0.27143581938102485</v>
      </c>
      <c r="BD43" t="str" cm="1">
        <f t="array" ref="BD43">_xlfn.IFS(AZ43="NA", "NA",BA43="Direct rLV % whole brain", AY43, BA43="Indirect rLV % whole brain", AY43, BA43="Direct rLV % hemisphere", AY43/2, BA43="Indirect rLV % hemisphere", AY43/2, AND(F43="Mouse", BA43="mm3"), (AY43/508.91)*100, AND(F43="Rat", BA43="mm3"), (AY43/1971)*100, AND(F43="Mouse", BA43="ul"), (AY43/508.91)*100, AND(F43="Rat", BA43="ul"), (AY43/1971)*100,  AND(F43="Mouse", BA43="nl"), (AY43/508910)*100, AND(F43="Rat", BA43="nl"), (AY43/1971000)*100, AND(F43="Mouse", BA43="cm3"), (AY43/0.50891)*100, AND(F43="Rat", BA43="cm3"), (AY43/1.971)*100, AND(F43="Mouse", BA43="mL"), (AY43/0.50891)*100, AND(F43="Rat", BA43="mL"), (AY43/1.971)*100, TRUE, "NA")</f>
        <v>NA</v>
      </c>
      <c r="BE43" cm="1">
        <f t="array" ref="BE43">_xlfn.IFS(AX43="NA", "NA", BB43="NR", "NA", BB43="SD", AX43, BB43="SE", AX43*(SQRT(R43)), BB43="SEM", AX43*(SQRT(R43)), TRUE, "NA")</f>
        <v>2.2262861451304952</v>
      </c>
      <c r="BF43" cm="1">
        <f t="array" ref="BF43">_xlfn.IFS(BE43="NA", "NA",BA43="Direct rLV % whole brain", BE43, BA43="Indirect rLV % whole brain", BE43, BA43="Direct rLV % hemisphere", BE43/2, BA43="Indirect rLV % hemisphere", BE43/2, AND(F43="Mouse", BA43="mm3"), (BE43/508.91)*100, AND(F43="Rat", BA43="mm3"), (BE43/1971)*100, AND(F43="Mouse", BA43="ul"), (BE43/508.91)*100, AND(F43="Rat", BA43="ul"), (BE43/1971)*100,  AND(F43="Mouse", BA43="nl"), (BE43/508910)*100, AND(F43="Rat", BA43="nl"), (BE43/1971000)*100, AND(F43="Mouse", BA43="cm3"), (BE43/0.50891)*100, AND(F43="Rat", BA43="cm3"), (BE43/1.971)*100, AND(F43="Mouse", BA43="mL"), (BE43/0.50891)*100, AND(F43="Rat", BA43="mL"), (BE43/1.971)*100, TRUE, "NA")</f>
        <v>0.11295211289348021</v>
      </c>
      <c r="BG43" t="str" cm="1">
        <f t="array" ref="BG43">_xlfn.IFS(AZ43="NA", "NA", BB43="NR", "NA", BB43="SD", AZ43, BB43="SE", AZ43*(SQRT(R43)), BB43="SEM", AZ43*(SQRT(R43)), TRUE, "NA")</f>
        <v>NA</v>
      </c>
      <c r="BH43" s="18" t="s">
        <v>153</v>
      </c>
      <c r="BI43" t="s">
        <v>153</v>
      </c>
      <c r="BJ43" t="s">
        <v>154</v>
      </c>
      <c r="BK43" t="s">
        <v>782</v>
      </c>
    </row>
    <row r="44" spans="1:63" x14ac:dyDescent="0.3">
      <c r="A44" t="s">
        <v>780</v>
      </c>
      <c r="B44" t="s">
        <v>779</v>
      </c>
      <c r="C44">
        <v>1992</v>
      </c>
      <c r="D44" t="s">
        <v>781</v>
      </c>
      <c r="E44" t="s">
        <v>699</v>
      </c>
      <c r="F44" t="s">
        <v>23</v>
      </c>
      <c r="G44" t="s">
        <v>10</v>
      </c>
      <c r="H44" t="s">
        <v>34</v>
      </c>
      <c r="I44" t="s">
        <v>12</v>
      </c>
      <c r="J44" t="s">
        <v>8</v>
      </c>
      <c r="K44" t="s">
        <v>9</v>
      </c>
      <c r="L44" t="s">
        <v>9</v>
      </c>
      <c r="M44" t="s">
        <v>9</v>
      </c>
      <c r="N44" t="s">
        <v>9</v>
      </c>
      <c r="O44" t="s">
        <v>9</v>
      </c>
      <c r="P44" t="s">
        <v>9</v>
      </c>
      <c r="Q44">
        <v>3</v>
      </c>
      <c r="R44">
        <v>3.5</v>
      </c>
      <c r="S44" t="s">
        <v>8</v>
      </c>
      <c r="T44" t="s">
        <v>8</v>
      </c>
      <c r="U44" s="18" t="s">
        <v>66</v>
      </c>
      <c r="V44" t="s">
        <v>8</v>
      </c>
      <c r="W44" t="s">
        <v>8</v>
      </c>
      <c r="X44" t="s">
        <v>66</v>
      </c>
      <c r="Y44" t="s">
        <v>8</v>
      </c>
      <c r="Z44" t="s">
        <v>8</v>
      </c>
      <c r="AA44" t="s">
        <v>640</v>
      </c>
      <c r="AB44" t="s">
        <v>637</v>
      </c>
      <c r="AC44" t="s">
        <v>154</v>
      </c>
      <c r="AD44" t="s">
        <v>634</v>
      </c>
      <c r="AE44">
        <v>0</v>
      </c>
      <c r="AF44">
        <v>0.43</v>
      </c>
      <c r="AG44" t="s">
        <v>115</v>
      </c>
      <c r="AH44">
        <v>0.5</v>
      </c>
      <c r="AI44" cm="1">
        <f t="array" ref="AI44">_xlfn.IFS(AF44="NR", "NA", AG44="NR", "NA", AG44="NA","NA", AND(AG44="mg/ml", AH44&lt;&gt;"NR"), ((AF44/2492)*AH44*1000000), AND(AG44="mol/L", AH44&lt;&gt;"NR"), AF44*AH44*1000000, AG44="nmol", AF44*1000, AND(AG44="nmol/uL", AH44&lt;&gt;"NR"), AF44*AH44*1000, AG44="pg", AF44/2492, AG44="pmol", AF44, AND(AG44="pmol/uL", AH44&lt;&gt;"NR"), AF44*AH44, AG44="ug", AF44/2492*1000000, AND(AG44="ug/mL", AH44&lt;&gt;"NR"), (AF44/1000*AH44)/2492*1000000, AND(AG44="ug/uL", AH44&lt;&gt;"NR"), (AF44*AH44)/2492*1000000, AND(AG44="umol/L", AH44&lt;&gt;"NR"), AH44*AF44, TRUE, "NA")</f>
        <v>430</v>
      </c>
      <c r="AJ44">
        <v>20</v>
      </c>
      <c r="AK44">
        <v>1</v>
      </c>
      <c r="AL44" t="s">
        <v>9</v>
      </c>
      <c r="AM44" t="s">
        <v>8</v>
      </c>
      <c r="AN44" t="s">
        <v>9</v>
      </c>
      <c r="AO44" s="18" t="s">
        <v>12</v>
      </c>
      <c r="AP44" t="s">
        <v>8</v>
      </c>
      <c r="AQ44" t="s">
        <v>8</v>
      </c>
      <c r="AR44" t="s">
        <v>8</v>
      </c>
      <c r="AS44" s="18">
        <v>168</v>
      </c>
      <c r="AT44" t="s">
        <v>271</v>
      </c>
      <c r="AU44" t="s">
        <v>652</v>
      </c>
      <c r="AV44" t="s">
        <v>728</v>
      </c>
      <c r="AW44">
        <v>4.49</v>
      </c>
      <c r="AX44">
        <v>1.38</v>
      </c>
      <c r="AY44" t="s">
        <v>8</v>
      </c>
      <c r="AZ44" t="s">
        <v>8</v>
      </c>
      <c r="BA44" t="s">
        <v>656</v>
      </c>
      <c r="BB44" t="s">
        <v>123</v>
      </c>
      <c r="BC44" cm="1">
        <f t="array" ref="BC44">_xlfn.IFS(BA44="Direct rLV % whole brain", AW44, BA44="Indirect rLV % whole brain", AW44, BA44="Direct rLV % hemisphere", AW44/2, BA44="Indirect rLV % hemisphere", AW44/2, AND(F44="Mouse", BA44="mm3"), (AW44/508.91)*100, AND(F44="Rat", BA44="mm3"), (AW44/1971)*100, AND(F44="Mouse", BA44="ul"), (AW44/508.91)*100, AND(F44="Rat", BA44="ul"), (AW44/1971)*100,  AND(F44="Mouse", BA44="nl"), (AW44/508910)*100, AND(F44="Rat", BA44="nl"), (AW44/1971000)*100, AND(F44="Mouse", BA44="cm3"), (AW44/0.50891)*100, AND(F44="Rat", BA44="cm3"), (AW44/1.971)*100, AND(F44="Mouse", BA44="mL"), (AW44/0.50891)*100, AND(F44="Rat", BA44="mL"), (AW44/1.971)*100, TRUE, "NA")</f>
        <v>0.2278031456113648</v>
      </c>
      <c r="BD44" t="str" cm="1">
        <f t="array" ref="BD44">_xlfn.IFS(AZ44="NA", "NA",BA44="Direct rLV % whole brain", AY44, BA44="Indirect rLV % whole brain", AY44, BA44="Direct rLV % hemisphere", AY44/2, BA44="Indirect rLV % hemisphere", AY44/2, AND(F44="Mouse", BA44="mm3"), (AY44/508.91)*100, AND(F44="Rat", BA44="mm3"), (AY44/1971)*100, AND(F44="Mouse", BA44="ul"), (AY44/508.91)*100, AND(F44="Rat", BA44="ul"), (AY44/1971)*100,  AND(F44="Mouse", BA44="nl"), (AY44/508910)*100, AND(F44="Rat", BA44="nl"), (AY44/1971000)*100, AND(F44="Mouse", BA44="cm3"), (AY44/0.50891)*100, AND(F44="Rat", BA44="cm3"), (AY44/1.971)*100, AND(F44="Mouse", BA44="mL"), (AY44/0.50891)*100, AND(F44="Rat", BA44="mL"), (AY44/1.971)*100, TRUE, "NA")</f>
        <v>NA</v>
      </c>
      <c r="BE44" cm="1">
        <f t="array" ref="BE44">_xlfn.IFS(AX44="NA", "NA", BB44="NR", "NA", BB44="SD", AX44, BB44="SE", AX44*(SQRT(R44)), BB44="SEM", AX44*(SQRT(R44)), TRUE, "NA")</f>
        <v>2.5817435968740194</v>
      </c>
      <c r="BF44" cm="1">
        <f t="array" ref="BF44">_xlfn.IFS(BE44="NA", "NA",BA44="Direct rLV % whole brain", BE44, BA44="Indirect rLV % whole brain", BE44, BA44="Direct rLV % hemisphere", BE44/2, BA44="Indirect rLV % hemisphere", BE44/2, AND(F44="Mouse", BA44="mm3"), (BE44/508.91)*100, AND(F44="Rat", BA44="mm3"), (BE44/1971)*100, AND(F44="Mouse", BA44="ul"), (BE44/508.91)*100, AND(F44="Rat", BA44="ul"), (BE44/1971)*100,  AND(F44="Mouse", BA44="nl"), (BE44/508910)*100, AND(F44="Rat", BA44="nl"), (BE44/1971000)*100, AND(F44="Mouse", BA44="cm3"), (BE44/0.50891)*100, AND(F44="Rat", BA44="cm3"), (BE44/1.971)*100, AND(F44="Mouse", BA44="mL"), (BE44/0.50891)*100, AND(F44="Rat", BA44="mL"), (BE44/1.971)*100, TRUE, "NA")</f>
        <v>0.13098648385966613</v>
      </c>
      <c r="BG44" t="str" cm="1">
        <f t="array" ref="BG44">_xlfn.IFS(AZ44="NA", "NA", BB44="NR", "NA", BB44="SD", AZ44, BB44="SE", AZ44*(SQRT(R44)), BB44="SEM", AZ44*(SQRT(R44)), TRUE, "NA")</f>
        <v>NA</v>
      </c>
      <c r="BH44" s="18" t="s">
        <v>153</v>
      </c>
      <c r="BI44" t="s">
        <v>153</v>
      </c>
      <c r="BJ44" t="s">
        <v>154</v>
      </c>
      <c r="BK44" t="s">
        <v>782</v>
      </c>
    </row>
    <row r="45" spans="1:63" s="31" customFormat="1" x14ac:dyDescent="0.3">
      <c r="A45" s="31" t="s">
        <v>784</v>
      </c>
      <c r="B45" s="31" t="s">
        <v>783</v>
      </c>
      <c r="C45" s="31">
        <v>2002</v>
      </c>
      <c r="D45" s="31" t="s">
        <v>785</v>
      </c>
      <c r="E45" s="31" t="s">
        <v>647</v>
      </c>
      <c r="F45" s="31" t="s">
        <v>23</v>
      </c>
      <c r="G45" s="31" t="s">
        <v>11</v>
      </c>
      <c r="H45" s="31" t="s">
        <v>34</v>
      </c>
      <c r="I45" s="31" t="s">
        <v>12</v>
      </c>
      <c r="J45" s="31" t="s">
        <v>8</v>
      </c>
      <c r="K45" s="31" t="s">
        <v>9</v>
      </c>
      <c r="L45" s="31" t="s">
        <v>9</v>
      </c>
      <c r="M45" s="31" t="s">
        <v>9</v>
      </c>
      <c r="N45" s="31">
        <v>250</v>
      </c>
      <c r="O45" s="31">
        <f>AVERAGE(N45,P45)</f>
        <v>300</v>
      </c>
      <c r="P45" s="31">
        <v>350</v>
      </c>
      <c r="Q45" s="31">
        <v>1</v>
      </c>
      <c r="R45" s="31">
        <v>21</v>
      </c>
      <c r="S45" s="31">
        <v>3</v>
      </c>
      <c r="T45" s="31">
        <v>7</v>
      </c>
      <c r="U45" s="32" t="s">
        <v>111</v>
      </c>
      <c r="V45" s="31" t="s">
        <v>8</v>
      </c>
      <c r="W45" s="31" t="s">
        <v>8</v>
      </c>
      <c r="X45" s="31" t="s">
        <v>12</v>
      </c>
      <c r="Y45" s="31" t="s">
        <v>8</v>
      </c>
      <c r="Z45" s="31" t="s">
        <v>8</v>
      </c>
      <c r="AA45" s="31" t="s">
        <v>648</v>
      </c>
      <c r="AB45" s="31" t="s">
        <v>637</v>
      </c>
      <c r="AC45" s="31" t="s">
        <v>154</v>
      </c>
      <c r="AD45" s="31" t="s">
        <v>610</v>
      </c>
      <c r="AE45" s="31">
        <v>96</v>
      </c>
      <c r="AF45" s="31">
        <v>6</v>
      </c>
      <c r="AG45" s="31" t="s">
        <v>650</v>
      </c>
      <c r="AH45" s="31">
        <v>3</v>
      </c>
      <c r="AI45" cm="1">
        <f t="array" ref="AI45">_xlfn.IFS(AF45="NR", "NA", AG45="NR", "NA", AG45="NA","NA", AND(AG45="mg/ml", AH45&lt;&gt;"NR"), ((AF45/2492)*AH45*1000000), AND(AG45="mol/L", AH45&lt;&gt;"NR"), AF45*AH45*1000000, AG45="nmol", AF45*1000, AND(AG45="nmol/uL", AH45&lt;&gt;"NR"), AF45*AH45*1000, AG45="pg", AF45/2492, AG45="pmol", AF45, AND(AG45="pmol/uL", AH45&lt;&gt;"NR"), AF45*AH45, AG45="ug", AF45/2492*1000000, AND(AG45="ug/mL", AH45&lt;&gt;"NR"), (AF45/1000*AH45)/2492*1000000, AND(AG45="ug/uL", AH45&lt;&gt;"NR"), (AF45*AH45)/2492*1000000, AND(AG45="umol/L", AH45&lt;&gt;"NR"), AH45*AF45, TRUE, "NA")</f>
        <v>6</v>
      </c>
      <c r="AJ45" s="31">
        <v>2</v>
      </c>
      <c r="AK45" s="31">
        <v>1</v>
      </c>
      <c r="AL45" s="31" t="s">
        <v>9</v>
      </c>
      <c r="AM45" s="31" t="s">
        <v>8</v>
      </c>
      <c r="AN45" s="31" t="s">
        <v>9</v>
      </c>
      <c r="AO45" s="32" t="s">
        <v>12</v>
      </c>
      <c r="AP45" s="31" t="s">
        <v>8</v>
      </c>
      <c r="AQ45" s="31" t="s">
        <v>8</v>
      </c>
      <c r="AR45" s="31" t="s">
        <v>8</v>
      </c>
      <c r="AS45" s="32">
        <v>72</v>
      </c>
      <c r="AT45" s="31" t="s">
        <v>271</v>
      </c>
      <c r="AU45" s="31" t="s">
        <v>653</v>
      </c>
      <c r="AV45" s="31" t="s">
        <v>8</v>
      </c>
      <c r="AW45" s="31">
        <v>3.39</v>
      </c>
      <c r="AX45" s="31">
        <v>0.53</v>
      </c>
      <c r="AY45" s="31" t="s">
        <v>8</v>
      </c>
      <c r="AZ45" s="31" t="s">
        <v>8</v>
      </c>
      <c r="BA45" s="31" t="s">
        <v>656</v>
      </c>
      <c r="BB45" s="31" t="s">
        <v>123</v>
      </c>
      <c r="BC45" cm="1">
        <f t="array" ref="BC45">_xlfn.IFS(BA45="Direct rLV % whole brain", AW45, BA45="Indirect rLV % whole brain", AW45, BA45="Direct rLV % hemisphere", AW45/2, BA45="Indirect rLV % hemisphere", AW45/2, AND(F45="Mouse", BA45="mm3"), (AW45/508.91)*100, AND(F45="Rat", BA45="mm3"), (AW45/1971)*100, AND(F45="Mouse", BA45="ul"), (AW45/508.91)*100, AND(F45="Rat", BA45="ul"), (AW45/1971)*100,  AND(F45="Mouse", BA45="nl"), (AW45/508910)*100, AND(F45="Rat", BA45="nl"), (AW45/1971000)*100, AND(F45="Mouse", BA45="cm3"), (AW45/0.50891)*100, AND(F45="Rat", BA45="cm3"), (AW45/1.971)*100, AND(F45="Mouse", BA45="mL"), (AW45/0.50891)*100, AND(F45="Rat", BA45="mL"), (AW45/1.971)*100, TRUE, "NA")</f>
        <v>0.17199391171993914</v>
      </c>
      <c r="BD45" t="str" cm="1">
        <f t="array" ref="BD45">_xlfn.IFS(AZ45="NA", "NA",BA45="Direct rLV % whole brain", AY45, BA45="Indirect rLV % whole brain", AY45, BA45="Direct rLV % hemisphere", AY45/2, BA45="Indirect rLV % hemisphere", AY45/2, AND(F45="Mouse", BA45="mm3"), (AY45/508.91)*100, AND(F45="Rat", BA45="mm3"), (AY45/1971)*100, AND(F45="Mouse", BA45="ul"), (AY45/508.91)*100, AND(F45="Rat", BA45="ul"), (AY45/1971)*100,  AND(F45="Mouse", BA45="nl"), (AY45/508910)*100, AND(F45="Rat", BA45="nl"), (AY45/1971000)*100, AND(F45="Mouse", BA45="cm3"), (AY45/0.50891)*100, AND(F45="Rat", BA45="cm3"), (AY45/1.971)*100, AND(F45="Mouse", BA45="mL"), (AY45/0.50891)*100, AND(F45="Rat", BA45="mL"), (AY45/1.971)*100, TRUE, "NA")</f>
        <v>NA</v>
      </c>
      <c r="BE45" cm="1">
        <f t="array" ref="BE45">_xlfn.IFS(AX45="NA", "NA", BB45="NR", "NA", BB45="SD", AX45, BB45="SE", AX45*(SQRT(R45)), BB45="SEM", AX45*(SQRT(R45)), TRUE, "NA")</f>
        <v>2.428765118326595</v>
      </c>
      <c r="BF45" cm="1">
        <f t="array" ref="BF45">_xlfn.IFS(BE45="NA", "NA",BA45="Direct rLV % whole brain", BE45, BA45="Indirect rLV % whole brain", BE45, BA45="Direct rLV % hemisphere", BE45/2, BA45="Indirect rLV % hemisphere", BE45/2, AND(F45="Mouse", BA45="mm3"), (BE45/508.91)*100, AND(F45="Rat", BA45="mm3"), (BE45/1971)*100, AND(F45="Mouse", BA45="ul"), (BE45/508.91)*100, AND(F45="Rat", BA45="ul"), (BE45/1971)*100,  AND(F45="Mouse", BA45="nl"), (BE45/508910)*100, AND(F45="Rat", BA45="nl"), (BE45/1971000)*100, AND(F45="Mouse", BA45="cm3"), (BE45/0.50891)*100, AND(F45="Rat", BA45="cm3"), (BE45/1.971)*100, AND(F45="Mouse", BA45="mL"), (BE45/0.50891)*100, AND(F45="Rat", BA45="mL"), (BE45/1.971)*100, TRUE, "NA")</f>
        <v>0.12322501868729553</v>
      </c>
      <c r="BG45" t="str" cm="1">
        <f t="array" ref="BG45">_xlfn.IFS(AZ45="NA", "NA", BB45="NR", "NA", BB45="SD", AZ45, BB45="SE", AZ45*(SQRT(R45)), BB45="SEM", AZ45*(SQRT(R45)), TRUE, "NA")</f>
        <v>NA</v>
      </c>
      <c r="BH45" s="32" t="s">
        <v>154</v>
      </c>
      <c r="BI45" s="31" t="s">
        <v>153</v>
      </c>
      <c r="BJ45" s="31" t="s">
        <v>154</v>
      </c>
    </row>
    <row r="46" spans="1:63" s="31" customFormat="1" x14ac:dyDescent="0.3">
      <c r="A46" s="31" t="s">
        <v>784</v>
      </c>
      <c r="B46" s="31" t="s">
        <v>783</v>
      </c>
      <c r="C46" s="31">
        <v>2002</v>
      </c>
      <c r="D46" s="31" t="s">
        <v>785</v>
      </c>
      <c r="E46" s="31" t="s">
        <v>678</v>
      </c>
      <c r="F46" s="31" t="s">
        <v>23</v>
      </c>
      <c r="G46" s="31" t="s">
        <v>11</v>
      </c>
      <c r="H46" s="31" t="s">
        <v>34</v>
      </c>
      <c r="I46" s="31" t="s">
        <v>12</v>
      </c>
      <c r="J46" s="31" t="s">
        <v>8</v>
      </c>
      <c r="K46" s="31" t="s">
        <v>9</v>
      </c>
      <c r="L46" s="31" t="s">
        <v>9</v>
      </c>
      <c r="M46" s="31" t="s">
        <v>9</v>
      </c>
      <c r="N46" s="31">
        <v>250</v>
      </c>
      <c r="O46" s="31">
        <f t="shared" ref="O46:O48" si="4">AVERAGE(N46,P46)</f>
        <v>300</v>
      </c>
      <c r="P46" s="31">
        <v>350</v>
      </c>
      <c r="Q46" s="31">
        <v>1</v>
      </c>
      <c r="R46" s="31">
        <v>21</v>
      </c>
      <c r="S46" s="31">
        <v>3</v>
      </c>
      <c r="T46" s="31">
        <v>7</v>
      </c>
      <c r="U46" s="32" t="s">
        <v>111</v>
      </c>
      <c r="V46" s="31" t="s">
        <v>8</v>
      </c>
      <c r="W46" s="31" t="s">
        <v>8</v>
      </c>
      <c r="X46" s="31" t="s">
        <v>683</v>
      </c>
      <c r="Y46" s="31" t="s">
        <v>8</v>
      </c>
      <c r="Z46" s="31" t="s">
        <v>8</v>
      </c>
      <c r="AA46" s="31" t="s">
        <v>648</v>
      </c>
      <c r="AB46" s="31" t="s">
        <v>637</v>
      </c>
      <c r="AC46" s="31" t="s">
        <v>154</v>
      </c>
      <c r="AD46" s="31" t="s">
        <v>634</v>
      </c>
      <c r="AE46" s="31">
        <v>96</v>
      </c>
      <c r="AF46" s="31">
        <v>6</v>
      </c>
      <c r="AG46" s="31" t="s">
        <v>650</v>
      </c>
      <c r="AH46" s="31">
        <v>3</v>
      </c>
      <c r="AI46" cm="1">
        <f t="array" ref="AI46">_xlfn.IFS(AF46="NR", "NA", AG46="NR", "NA", AG46="NA","NA", AND(AG46="mg/ml", AH46&lt;&gt;"NR"), ((AF46/2492)*AH46*1000000), AND(AG46="mol/L", AH46&lt;&gt;"NR"), AF46*AH46*1000000, AG46="nmol", AF46*1000, AND(AG46="nmol/uL", AH46&lt;&gt;"NR"), AF46*AH46*1000, AG46="pg", AF46/2492, AG46="pmol", AF46, AND(AG46="pmol/uL", AH46&lt;&gt;"NR"), AF46*AH46, AG46="ug", AF46/2492*1000000, AND(AG46="ug/mL", AH46&lt;&gt;"NR"), (AF46/1000*AH46)/2492*1000000, AND(AG46="ug/uL", AH46&lt;&gt;"NR"), (AF46*AH46)/2492*1000000, AND(AG46="umol/L", AH46&lt;&gt;"NR"), AH46*AF46, TRUE, "NA")</f>
        <v>6</v>
      </c>
      <c r="AJ46" s="31">
        <v>2</v>
      </c>
      <c r="AK46" s="31">
        <v>1</v>
      </c>
      <c r="AL46" s="31" t="s">
        <v>9</v>
      </c>
      <c r="AM46" s="31" t="s">
        <v>8</v>
      </c>
      <c r="AN46" s="31" t="s">
        <v>9</v>
      </c>
      <c r="AO46" s="32" t="s">
        <v>12</v>
      </c>
      <c r="AP46" s="31" t="s">
        <v>8</v>
      </c>
      <c r="AQ46" s="31" t="s">
        <v>8</v>
      </c>
      <c r="AR46" s="31" t="s">
        <v>8</v>
      </c>
      <c r="AS46" s="32">
        <v>72</v>
      </c>
      <c r="AT46" s="31" t="s">
        <v>271</v>
      </c>
      <c r="AU46" s="31" t="s">
        <v>653</v>
      </c>
      <c r="AV46" s="31" t="s">
        <v>679</v>
      </c>
      <c r="AW46" s="31">
        <v>0.7</v>
      </c>
      <c r="AX46" s="31">
        <v>0.21</v>
      </c>
      <c r="AY46" s="31" t="s">
        <v>8</v>
      </c>
      <c r="AZ46" s="31" t="s">
        <v>8</v>
      </c>
      <c r="BA46" s="31" t="s">
        <v>656</v>
      </c>
      <c r="BB46" s="31" t="s">
        <v>123</v>
      </c>
      <c r="BC46" cm="1">
        <f t="array" ref="BC46">_xlfn.IFS(BA46="Direct rLV % whole brain", AW46, BA46="Indirect rLV % whole brain", AW46, BA46="Direct rLV % hemisphere", AW46/2, BA46="Indirect rLV % hemisphere", AW46/2, AND(F46="Mouse", BA46="mm3"), (AW46/508.91)*100, AND(F46="Rat", BA46="mm3"), (AW46/1971)*100, AND(F46="Mouse", BA46="ul"), (AW46/508.91)*100, AND(F46="Rat", BA46="ul"), (AW46/1971)*100,  AND(F46="Mouse", BA46="nl"), (AW46/508910)*100, AND(F46="Rat", BA46="nl"), (AW46/1971000)*100, AND(F46="Mouse", BA46="cm3"), (AW46/0.50891)*100, AND(F46="Rat", BA46="cm3"), (AW46/1.971)*100, AND(F46="Mouse", BA46="mL"), (AW46/0.50891)*100, AND(F46="Rat", BA46="mL"), (AW46/1.971)*100, TRUE, "NA")</f>
        <v>3.5514967021816335E-2</v>
      </c>
      <c r="BD46" t="str" cm="1">
        <f t="array" ref="BD46">_xlfn.IFS(AZ46="NA", "NA",BA46="Direct rLV % whole brain", AY46, BA46="Indirect rLV % whole brain", AY46, BA46="Direct rLV % hemisphere", AY46/2, BA46="Indirect rLV % hemisphere", AY46/2, AND(F46="Mouse", BA46="mm3"), (AY46/508.91)*100, AND(F46="Rat", BA46="mm3"), (AY46/1971)*100, AND(F46="Mouse", BA46="ul"), (AY46/508.91)*100, AND(F46="Rat", BA46="ul"), (AY46/1971)*100,  AND(F46="Mouse", BA46="nl"), (AY46/508910)*100, AND(F46="Rat", BA46="nl"), (AY46/1971000)*100, AND(F46="Mouse", BA46="cm3"), (AY46/0.50891)*100, AND(F46="Rat", BA46="cm3"), (AY46/1.971)*100, AND(F46="Mouse", BA46="mL"), (AY46/0.50891)*100, AND(F46="Rat", BA46="mL"), (AY46/1.971)*100, TRUE, "NA")</f>
        <v>NA</v>
      </c>
      <c r="BE46" cm="1">
        <f t="array" ref="BE46">_xlfn.IFS(AX46="NA", "NA", BB46="NR", "NA", BB46="SD", AX46, BB46="SE", AX46*(SQRT(R46)), BB46="SEM", AX46*(SQRT(R46)), TRUE, "NA")</f>
        <v>0.96234089594072636</v>
      </c>
      <c r="BF46" cm="1">
        <f t="array" ref="BF46">_xlfn.IFS(BE46="NA", "NA",BA46="Direct rLV % whole brain", BE46, BA46="Indirect rLV % whole brain", BE46, BA46="Direct rLV % hemisphere", BE46/2, BA46="Indirect rLV % hemisphere", BE46/2, AND(F46="Mouse", BA46="mm3"), (BE46/508.91)*100, AND(F46="Rat", BA46="mm3"), (BE46/1971)*100, AND(F46="Mouse", BA46="ul"), (BE46/508.91)*100, AND(F46="Rat", BA46="ul"), (BE46/1971)*100,  AND(F46="Mouse", BA46="nl"), (BE46/508910)*100, AND(F46="Rat", BA46="nl"), (BE46/1971000)*100, AND(F46="Mouse", BA46="cm3"), (BE46/0.50891)*100, AND(F46="Rat", BA46="cm3"), (BE46/1.971)*100, AND(F46="Mouse", BA46="mL"), (BE46/0.50891)*100, AND(F46="Rat", BA46="mL"), (BE46/1.971)*100, TRUE, "NA")</f>
        <v>4.8825007404400121E-2</v>
      </c>
      <c r="BG46" t="str" cm="1">
        <f t="array" ref="BG46">_xlfn.IFS(AZ46="NA", "NA", BB46="NR", "NA", BB46="SD", AZ46, BB46="SE", AZ46*(SQRT(R46)), BB46="SEM", AZ46*(SQRT(R46)), TRUE, "NA")</f>
        <v>NA</v>
      </c>
      <c r="BH46" s="32" t="s">
        <v>154</v>
      </c>
      <c r="BI46" s="31" t="s">
        <v>153</v>
      </c>
      <c r="BJ46" s="31" t="s">
        <v>154</v>
      </c>
    </row>
    <row r="47" spans="1:63" x14ac:dyDescent="0.3">
      <c r="A47" t="s">
        <v>787</v>
      </c>
      <c r="B47" t="s">
        <v>786</v>
      </c>
      <c r="C47">
        <v>2005</v>
      </c>
      <c r="D47" t="s">
        <v>788</v>
      </c>
      <c r="E47" t="s">
        <v>647</v>
      </c>
      <c r="F47" t="s">
        <v>23</v>
      </c>
      <c r="G47" t="s">
        <v>73</v>
      </c>
      <c r="H47" t="s">
        <v>34</v>
      </c>
      <c r="I47" t="s">
        <v>12</v>
      </c>
      <c r="J47" t="s">
        <v>8</v>
      </c>
      <c r="K47" t="s">
        <v>9</v>
      </c>
      <c r="L47" t="s">
        <v>9</v>
      </c>
      <c r="M47" t="s">
        <v>9</v>
      </c>
      <c r="N47">
        <v>250</v>
      </c>
      <c r="O47">
        <f t="shared" si="4"/>
        <v>275</v>
      </c>
      <c r="P47">
        <v>300</v>
      </c>
      <c r="Q47">
        <v>1</v>
      </c>
      <c r="R47">
        <v>10</v>
      </c>
      <c r="S47">
        <v>1</v>
      </c>
      <c r="T47">
        <v>10</v>
      </c>
      <c r="U47" s="18" t="s">
        <v>298</v>
      </c>
      <c r="V47" t="s">
        <v>8</v>
      </c>
      <c r="W47" t="s">
        <v>8</v>
      </c>
      <c r="X47" t="s">
        <v>298</v>
      </c>
      <c r="Y47" t="s">
        <v>8</v>
      </c>
      <c r="Z47" t="s">
        <v>8</v>
      </c>
      <c r="AA47" t="s">
        <v>640</v>
      </c>
      <c r="AB47" t="s">
        <v>636</v>
      </c>
      <c r="AC47" t="s">
        <v>154</v>
      </c>
      <c r="AD47" t="s">
        <v>634</v>
      </c>
      <c r="AE47">
        <v>0</v>
      </c>
      <c r="AF47">
        <v>1</v>
      </c>
      <c r="AG47" t="s">
        <v>579</v>
      </c>
      <c r="AH47">
        <v>1</v>
      </c>
      <c r="AI47" cm="1">
        <f t="array" ref="AI47">_xlfn.IFS(AF47="NR", "NA", AG47="NR", "NA", AG47="NA","NA", AND(AG47="mg/ml", AH47&lt;&gt;"NR"), ((AF47/2492)*AH47*1000000), AND(AG47="mol/L", AH47&lt;&gt;"NR"), AF47*AH47*1000000, AG47="nmol", AF47*1000, AND(AG47="nmol/uL", AH47&lt;&gt;"NR"), AF47*AH47*1000, AG47="pg", AF47/2492, AG47="pmol", AF47, AND(AG47="pmol/uL", AH47&lt;&gt;"NR"), AF47*AH47, AG47="ug", AF47/2492*1000000, AND(AG47="ug/mL", AH47&lt;&gt;"NR"), (AF47/1000*AH47)/2492*1000000, AND(AG47="ug/uL", AH47&lt;&gt;"NR"), (AF47*AH47)/2492*1000000, AND(AG47="umol/L", AH47&lt;&gt;"NR"), AH47*AF47, TRUE, "NA")</f>
        <v>0.4012841091492777</v>
      </c>
      <c r="AJ47">
        <v>15</v>
      </c>
      <c r="AK47">
        <v>3</v>
      </c>
      <c r="AL47" t="s">
        <v>9</v>
      </c>
      <c r="AM47" t="s">
        <v>8</v>
      </c>
      <c r="AN47" t="s">
        <v>860</v>
      </c>
      <c r="AO47" s="18" t="s">
        <v>789</v>
      </c>
      <c r="AP47" t="s">
        <v>1228</v>
      </c>
      <c r="AQ47">
        <v>48</v>
      </c>
      <c r="AR47" t="s">
        <v>103</v>
      </c>
      <c r="AS47" s="18">
        <v>768</v>
      </c>
      <c r="AT47" t="s">
        <v>271</v>
      </c>
      <c r="AU47" t="s">
        <v>790</v>
      </c>
      <c r="AV47" t="s">
        <v>674</v>
      </c>
      <c r="AW47">
        <v>8.18</v>
      </c>
      <c r="AX47">
        <v>2.33</v>
      </c>
      <c r="AY47">
        <v>7.96</v>
      </c>
      <c r="AZ47">
        <v>2.2999999999999998</v>
      </c>
      <c r="BA47" t="s">
        <v>656</v>
      </c>
      <c r="BB47" t="s">
        <v>123</v>
      </c>
      <c r="BC47" cm="1">
        <f t="array" ref="BC47">_xlfn.IFS(BA47="Direct rLV % whole brain", AW47, BA47="Indirect rLV % whole brain", AW47, BA47="Direct rLV % hemisphere", AW47/2, BA47="Indirect rLV % hemisphere", AW47/2, AND(F47="Mouse", BA47="mm3"), (AW47/508.91)*100, AND(F47="Rat", BA47="mm3"), (AW47/1971)*100, AND(F47="Mouse", BA47="ul"), (AW47/508.91)*100, AND(F47="Rat", BA47="ul"), (AW47/1971)*100,  AND(F47="Mouse", BA47="nl"), (AW47/508910)*100, AND(F47="Rat", BA47="nl"), (AW47/1971000)*100, AND(F47="Mouse", BA47="cm3"), (AW47/0.50891)*100, AND(F47="Rat", BA47="cm3"), (AW47/1.971)*100, AND(F47="Mouse", BA47="mL"), (AW47/0.50891)*100, AND(F47="Rat", BA47="mL"), (AW47/1.971)*100, TRUE, "NA")</f>
        <v>0.41501775748351089</v>
      </c>
      <c r="BD47" cm="1">
        <f t="array" ref="BD47">_xlfn.IFS(AZ47="NA", "NA",BA47="Direct rLV % whole brain", AY47, BA47="Indirect rLV % whole brain", AY47, BA47="Direct rLV % hemisphere", AY47/2, BA47="Indirect rLV % hemisphere", AY47/2, AND(F47="Mouse", BA47="mm3"), (AY47/508.91)*100, AND(F47="Rat", BA47="mm3"), (AY47/1971)*100, AND(F47="Mouse", BA47="ul"), (AY47/508.91)*100, AND(F47="Rat", BA47="ul"), (AY47/1971)*100,  AND(F47="Mouse", BA47="nl"), (AY47/508910)*100, AND(F47="Rat", BA47="nl"), (AY47/1971000)*100, AND(F47="Mouse", BA47="cm3"), (AY47/0.50891)*100, AND(F47="Rat", BA47="cm3"), (AY47/1.971)*100, AND(F47="Mouse", BA47="mL"), (AY47/0.50891)*100, AND(F47="Rat", BA47="mL"), (AY47/1.971)*100, TRUE, "NA")</f>
        <v>0.40385591070522575</v>
      </c>
      <c r="BE47" cm="1">
        <f t="array" ref="BE47">_xlfn.IFS(AX47="NA", "NA", BB47="NR", "NA", BB47="SD", AX47, BB47="SE", AX47*(SQRT(R47)), BB47="SEM", AX47*(SQRT(R47)), TRUE, "NA")</f>
        <v>7.3681069481923247</v>
      </c>
      <c r="BF47" cm="1">
        <f t="array" ref="BF47">_xlfn.IFS(BE47="NA", "NA",BA47="Direct rLV % whole brain", BE47, BA47="Indirect rLV % whole brain", BE47, BA47="Direct rLV % hemisphere", BE47/2, BA47="Indirect rLV % hemisphere", BE47/2, AND(F47="Mouse", BA47="mm3"), (BE47/508.91)*100, AND(F47="Rat", BA47="mm3"), (BE47/1971)*100, AND(F47="Mouse", BA47="ul"), (BE47/508.91)*100, AND(F47="Rat", BA47="ul"), (BE47/1971)*100,  AND(F47="Mouse", BA47="nl"), (BE47/508910)*100, AND(F47="Rat", BA47="nl"), (BE47/1971000)*100, AND(F47="Mouse", BA47="cm3"), (BE47/0.50891)*100, AND(F47="Rat", BA47="cm3"), (BE47/1.971)*100, AND(F47="Mouse", BA47="mL"), (BE47/0.50891)*100, AND(F47="Rat", BA47="mL"), (BE47/1.971)*100, TRUE, "NA")</f>
        <v>0.37382582182609464</v>
      </c>
      <c r="BG47" cm="1">
        <f t="array" ref="BG47">_xlfn.IFS(AZ47="NA", "NA", BB47="NR", "NA", BB47="SD", AZ47, BB47="SE", AZ47*(SQRT(R47)), BB47="SEM", AZ47*(SQRT(R47)), TRUE, "NA")</f>
        <v>7.2732386183872721</v>
      </c>
      <c r="BH47" s="18" t="s">
        <v>154</v>
      </c>
      <c r="BI47" t="s">
        <v>154</v>
      </c>
      <c r="BJ47" t="s">
        <v>154</v>
      </c>
    </row>
    <row r="48" spans="1:63" s="31" customFormat="1" x14ac:dyDescent="0.3">
      <c r="A48" s="31" t="s">
        <v>792</v>
      </c>
      <c r="B48" s="31" t="s">
        <v>791</v>
      </c>
      <c r="C48" s="31">
        <v>2007</v>
      </c>
      <c r="D48" s="31" t="s">
        <v>793</v>
      </c>
      <c r="E48" s="31" t="s">
        <v>647</v>
      </c>
      <c r="F48" s="31" t="s">
        <v>23</v>
      </c>
      <c r="G48" s="31" t="s">
        <v>11</v>
      </c>
      <c r="H48" s="31" t="s">
        <v>34</v>
      </c>
      <c r="I48" s="31" t="s">
        <v>12</v>
      </c>
      <c r="J48" s="31" t="s">
        <v>8</v>
      </c>
      <c r="K48" s="31" t="s">
        <v>9</v>
      </c>
      <c r="L48" s="31" t="s">
        <v>9</v>
      </c>
      <c r="M48" s="31" t="s">
        <v>9</v>
      </c>
      <c r="N48" s="31">
        <v>210</v>
      </c>
      <c r="O48" s="31">
        <f t="shared" si="4"/>
        <v>220</v>
      </c>
      <c r="P48" s="31">
        <v>230</v>
      </c>
      <c r="Q48" s="31">
        <v>1</v>
      </c>
      <c r="R48" s="31">
        <v>8</v>
      </c>
      <c r="S48" s="31">
        <v>2</v>
      </c>
      <c r="T48" s="31">
        <v>8</v>
      </c>
      <c r="U48" s="32" t="s">
        <v>70</v>
      </c>
      <c r="V48" s="31" t="s">
        <v>8</v>
      </c>
      <c r="W48" s="31" t="s">
        <v>8</v>
      </c>
      <c r="X48" s="31" t="s">
        <v>70</v>
      </c>
      <c r="Y48" s="31" t="s">
        <v>8</v>
      </c>
      <c r="Z48" s="31" t="s">
        <v>8</v>
      </c>
      <c r="AA48" s="31" t="s">
        <v>640</v>
      </c>
      <c r="AB48" s="31" t="s">
        <v>637</v>
      </c>
      <c r="AC48" s="31" t="s">
        <v>154</v>
      </c>
      <c r="AD48" s="31" t="s">
        <v>634</v>
      </c>
      <c r="AE48" s="31">
        <v>0</v>
      </c>
      <c r="AF48" s="31">
        <v>0.43</v>
      </c>
      <c r="AG48" s="31" t="s">
        <v>115</v>
      </c>
      <c r="AH48" s="31">
        <v>1</v>
      </c>
      <c r="AI48" cm="1">
        <f t="array" ref="AI48">_xlfn.IFS(AF48="NR", "NA", AG48="NR", "NA", AG48="NA","NA", AND(AG48="mg/ml", AH48&lt;&gt;"NR"), ((AF48/2492)*AH48*1000000), AND(AG48="mol/L", AH48&lt;&gt;"NR"), AF48*AH48*1000000, AG48="nmol", AF48*1000, AND(AG48="nmol/uL", AH48&lt;&gt;"NR"), AF48*AH48*1000, AG48="pg", AF48/2492, AG48="pmol", AF48, AND(AG48="pmol/uL", AH48&lt;&gt;"NR"), AF48*AH48, AG48="ug", AF48/2492*1000000, AND(AG48="ug/mL", AH48&lt;&gt;"NR"), (AF48/1000*AH48)/2492*1000000, AND(AG48="ug/uL", AH48&lt;&gt;"NR"), (AF48*AH48)/2492*1000000, AND(AG48="umol/L", AH48&lt;&gt;"NR"), AH48*AF48, TRUE, "NA")</f>
        <v>430</v>
      </c>
      <c r="AJ48" s="31">
        <v>10</v>
      </c>
      <c r="AK48" s="31">
        <v>1</v>
      </c>
      <c r="AL48" s="31" t="s">
        <v>9</v>
      </c>
      <c r="AM48" s="31" t="s">
        <v>8</v>
      </c>
      <c r="AN48" s="31" t="s">
        <v>9</v>
      </c>
      <c r="AO48" s="32" t="s">
        <v>794</v>
      </c>
      <c r="AP48" t="s">
        <v>1228</v>
      </c>
      <c r="AQ48" s="31">
        <v>9</v>
      </c>
      <c r="AR48" s="31" t="s">
        <v>103</v>
      </c>
      <c r="AS48" s="32">
        <v>264</v>
      </c>
      <c r="AT48" s="31" t="s">
        <v>271</v>
      </c>
      <c r="AU48" s="31" t="s">
        <v>653</v>
      </c>
      <c r="AV48" s="31" t="s">
        <v>674</v>
      </c>
      <c r="AW48" s="31">
        <v>1.1000000000000001</v>
      </c>
      <c r="AX48" s="31">
        <v>0.03</v>
      </c>
      <c r="AY48" s="31">
        <v>0.99</v>
      </c>
      <c r="AZ48" s="31">
        <v>0.06</v>
      </c>
      <c r="BA48" s="31" t="s">
        <v>656</v>
      </c>
      <c r="BB48" s="31" t="s">
        <v>123</v>
      </c>
      <c r="BC48" cm="1">
        <f t="array" ref="BC48">_xlfn.IFS(BA48="Direct rLV % whole brain", AW48, BA48="Indirect rLV % whole brain", AW48, BA48="Direct rLV % hemisphere", AW48/2, BA48="Indirect rLV % hemisphere", AW48/2, AND(F48="Mouse", BA48="mm3"), (AW48/508.91)*100, AND(F48="Rat", BA48="mm3"), (AW48/1971)*100, AND(F48="Mouse", BA48="ul"), (AW48/508.91)*100, AND(F48="Rat", BA48="ul"), (AW48/1971)*100,  AND(F48="Mouse", BA48="nl"), (AW48/508910)*100, AND(F48="Rat", BA48="nl"), (AW48/1971000)*100, AND(F48="Mouse", BA48="cm3"), (AW48/0.50891)*100, AND(F48="Rat", BA48="cm3"), (AW48/1.971)*100, AND(F48="Mouse", BA48="mL"), (AW48/0.50891)*100, AND(F48="Rat", BA48="mL"), (AW48/1.971)*100, TRUE, "NA")</f>
        <v>5.5809233891425676E-2</v>
      </c>
      <c r="BD48" cm="1">
        <f t="array" ref="BD48">_xlfn.IFS(AZ48="NA", "NA",BA48="Direct rLV % whole brain", AY48, BA48="Indirect rLV % whole brain", AY48, BA48="Direct rLV % hemisphere", AY48/2, BA48="Indirect rLV % hemisphere", AY48/2, AND(F48="Mouse", BA48="mm3"), (AY48/508.91)*100, AND(F48="Rat", BA48="mm3"), (AY48/1971)*100, AND(F48="Mouse", BA48="ul"), (AY48/508.91)*100, AND(F48="Rat", BA48="ul"), (AY48/1971)*100,  AND(F48="Mouse", BA48="nl"), (AY48/508910)*100, AND(F48="Rat", BA48="nl"), (AY48/1971000)*100, AND(F48="Mouse", BA48="cm3"), (AY48/0.50891)*100, AND(F48="Rat", BA48="cm3"), (AY48/1.971)*100, AND(F48="Mouse", BA48="mL"), (AY48/0.50891)*100, AND(F48="Rat", BA48="mL"), (AY48/1.971)*100, TRUE, "NA")</f>
        <v>5.0228310502283102E-2</v>
      </c>
      <c r="BE48" cm="1">
        <f t="array" ref="BE48">_xlfn.IFS(AX48="NA", "NA", BB48="NR", "NA", BB48="SD", AX48, BB48="SE", AX48*(SQRT(R48)), BB48="SEM", AX48*(SQRT(R48)), TRUE, "NA")</f>
        <v>8.4852813742385708E-2</v>
      </c>
      <c r="BF48" cm="1">
        <f t="array" ref="BF48">_xlfn.IFS(BE48="NA", "NA",BA48="Direct rLV % whole brain", BE48, BA48="Indirect rLV % whole brain", BE48, BA48="Direct rLV % hemisphere", BE48/2, BA48="Indirect rLV % hemisphere", BE48/2, AND(F48="Mouse", BA48="mm3"), (BE48/508.91)*100, AND(F48="Rat", BA48="mm3"), (BE48/1971)*100, AND(F48="Mouse", BA48="ul"), (BE48/508.91)*100, AND(F48="Rat", BA48="ul"), (BE48/1971)*100,  AND(F48="Mouse", BA48="nl"), (BE48/508910)*100, AND(F48="Rat", BA48="nl"), (BE48/1971000)*100, AND(F48="Mouse", BA48="cm3"), (BE48/0.50891)*100, AND(F48="Rat", BA48="cm3"), (BE48/1.971)*100, AND(F48="Mouse", BA48="mL"), (BE48/0.50891)*100, AND(F48="Rat", BA48="mL"), (BE48/1.971)*100, TRUE, "NA")</f>
        <v>4.3050641168130748E-3</v>
      </c>
      <c r="BG48" cm="1">
        <f t="array" ref="BG48">_xlfn.IFS(AZ48="NA", "NA", BB48="NR", "NA", BB48="SD", AZ48, BB48="SE", AZ48*(SQRT(R48)), BB48="SEM", AZ48*(SQRT(R48)), TRUE, "NA")</f>
        <v>0.16970562748477142</v>
      </c>
      <c r="BH48" s="32" t="s">
        <v>154</v>
      </c>
      <c r="BI48" s="31" t="s">
        <v>153</v>
      </c>
      <c r="BJ48" s="31" t="s">
        <v>154</v>
      </c>
    </row>
    <row r="49" spans="1:63" x14ac:dyDescent="0.3">
      <c r="A49" t="s">
        <v>796</v>
      </c>
      <c r="B49" t="s">
        <v>795</v>
      </c>
      <c r="C49">
        <v>2018</v>
      </c>
      <c r="D49" t="s">
        <v>797</v>
      </c>
      <c r="E49" t="s">
        <v>647</v>
      </c>
      <c r="F49" t="s">
        <v>23</v>
      </c>
      <c r="G49" t="s">
        <v>10</v>
      </c>
      <c r="H49" t="s">
        <v>34</v>
      </c>
      <c r="I49" t="s">
        <v>12</v>
      </c>
      <c r="J49" t="s">
        <v>8</v>
      </c>
      <c r="K49" t="s">
        <v>8</v>
      </c>
      <c r="L49">
        <v>3</v>
      </c>
      <c r="M49" t="s">
        <v>8</v>
      </c>
      <c r="N49" t="s">
        <v>9</v>
      </c>
      <c r="O49" t="s">
        <v>9</v>
      </c>
      <c r="P49" t="s">
        <v>9</v>
      </c>
      <c r="Q49">
        <v>1</v>
      </c>
      <c r="R49">
        <v>6</v>
      </c>
      <c r="S49">
        <v>2</v>
      </c>
      <c r="T49">
        <v>6</v>
      </c>
      <c r="U49" s="18" t="s">
        <v>68</v>
      </c>
      <c r="V49" t="s">
        <v>8</v>
      </c>
      <c r="W49" t="s">
        <v>8</v>
      </c>
      <c r="X49" t="s">
        <v>68</v>
      </c>
      <c r="Y49" t="s">
        <v>8</v>
      </c>
      <c r="Z49" t="s">
        <v>8</v>
      </c>
      <c r="AA49" t="s">
        <v>640</v>
      </c>
      <c r="AB49" t="s">
        <v>636</v>
      </c>
      <c r="AC49" t="s">
        <v>154</v>
      </c>
      <c r="AD49" t="s">
        <v>634</v>
      </c>
      <c r="AE49">
        <v>0</v>
      </c>
      <c r="AF49">
        <v>400</v>
      </c>
      <c r="AG49" t="s">
        <v>745</v>
      </c>
      <c r="AH49">
        <v>4</v>
      </c>
      <c r="AI49" cm="1">
        <f t="array" ref="AI49">_xlfn.IFS(AF49="NR", "NA", AG49="NR", "NA", AG49="NA","NA", AND(AG49="mg/ml", AH49&lt;&gt;"NR"), ((AF49/2492)*AH49*1000000), AND(AG49="mol/L", AH49&lt;&gt;"NR"), AF49*AH49*1000000, AG49="nmol", AF49*1000, AND(AG49="nmol/uL", AH49&lt;&gt;"NR"), AF49*AH49*1000, AG49="pg", AF49/2492, AG49="pmol", AF49, AND(AG49="pmol/uL", AH49&lt;&gt;"NR"), AF49*AH49, AG49="ug", AF49/2492*1000000, AND(AG49="ug/mL", AH49&lt;&gt;"NR"), (AF49/1000*AH49)/2492*1000000, AND(AG49="ug/uL", AH49&lt;&gt;"NR"), (AF49*AH49)/2492*1000000, AND(AG49="umol/L", AH49&lt;&gt;"NR"), AH49*AF49, TRUE, "NA")</f>
        <v>1600</v>
      </c>
      <c r="AJ49" t="s">
        <v>9</v>
      </c>
      <c r="AK49">
        <v>2</v>
      </c>
      <c r="AL49" t="s">
        <v>665</v>
      </c>
      <c r="AM49" t="s">
        <v>859</v>
      </c>
      <c r="AN49" t="s">
        <v>9</v>
      </c>
      <c r="AO49" s="18" t="s">
        <v>362</v>
      </c>
      <c r="AP49" t="s">
        <v>605</v>
      </c>
      <c r="AQ49">
        <v>-2856</v>
      </c>
      <c r="AR49" t="s">
        <v>101</v>
      </c>
      <c r="AS49" s="18">
        <v>168</v>
      </c>
      <c r="AT49" t="s">
        <v>271</v>
      </c>
      <c r="AU49" t="s">
        <v>653</v>
      </c>
      <c r="AV49" t="s">
        <v>9</v>
      </c>
      <c r="AW49">
        <v>66.53</v>
      </c>
      <c r="AX49">
        <v>14.27</v>
      </c>
      <c r="AY49">
        <v>71.260000000000005</v>
      </c>
      <c r="AZ49">
        <v>10.55</v>
      </c>
      <c r="BA49" t="s">
        <v>656</v>
      </c>
      <c r="BB49" t="s">
        <v>123</v>
      </c>
      <c r="BC49" cm="1">
        <f t="array" ref="BC49">_xlfn.IFS(BA49="Direct rLV % whole brain", AW49, BA49="Indirect rLV % whole brain", AW49, BA49="Direct rLV % hemisphere", AW49/2, BA49="Indirect rLV % hemisphere", AW49/2, AND(F49="Mouse", BA49="mm3"), (AW49/508.91)*100, AND(F49="Rat", BA49="mm3"), (AW49/1971)*100, AND(F49="Mouse", BA49="ul"), (AW49/508.91)*100, AND(F49="Rat", BA49="ul"), (AW49/1971)*100,  AND(F49="Mouse", BA49="nl"), (AW49/508910)*100, AND(F49="Rat", BA49="nl"), (AW49/1971000)*100, AND(F49="Mouse", BA49="cm3"), (AW49/0.50891)*100, AND(F49="Rat", BA49="cm3"), (AW49/1.971)*100, AND(F49="Mouse", BA49="mL"), (AW49/0.50891)*100, AND(F49="Rat", BA49="mL"), (AW49/1.971)*100, TRUE, "NA")</f>
        <v>3.3754439370877729</v>
      </c>
      <c r="BD49" cm="1">
        <f t="array" ref="BD49">_xlfn.IFS(AZ49="NA", "NA",BA49="Direct rLV % whole brain", AY49, BA49="Indirect rLV % whole brain", AY49, BA49="Direct rLV % hemisphere", AY49/2, BA49="Indirect rLV % hemisphere", AY49/2, AND(F49="Mouse", BA49="mm3"), (AY49/508.91)*100, AND(F49="Rat", BA49="mm3"), (AY49/1971)*100, AND(F49="Mouse", BA49="ul"), (AY49/508.91)*100, AND(F49="Rat", BA49="ul"), (AY49/1971)*100,  AND(F49="Mouse", BA49="nl"), (AY49/508910)*100, AND(F49="Rat", BA49="nl"), (AY49/1971000)*100, AND(F49="Mouse", BA49="cm3"), (AY49/0.50891)*100, AND(F49="Rat", BA49="cm3"), (AY49/1.971)*100, AND(F49="Mouse", BA49="mL"), (AY49/0.50891)*100, AND(F49="Rat", BA49="mL"), (AY49/1.971)*100, TRUE, "NA")</f>
        <v>3.6154236428209039</v>
      </c>
      <c r="BE49" cm="1">
        <f t="array" ref="BE49">_xlfn.IFS(AX49="NA", "NA", BB49="NR", "NA", BB49="SD", AX49, BB49="SE", AX49*(SQRT(R49)), BB49="SEM", AX49*(SQRT(R49)), TRUE, "NA")</f>
        <v>34.95421862951595</v>
      </c>
      <c r="BF49" cm="1">
        <f t="array" ref="BF49">_xlfn.IFS(BE49="NA", "NA",BA49="Direct rLV % whole brain", BE49, BA49="Indirect rLV % whole brain", BE49, BA49="Direct rLV % hemisphere", BE49/2, BA49="Indirect rLV % hemisphere", BE49/2, AND(F49="Mouse", BA49="mm3"), (BE49/508.91)*100, AND(F49="Rat", BA49="mm3"), (BE49/1971)*100, AND(F49="Mouse", BA49="ul"), (BE49/508.91)*100, AND(F49="Rat", BA49="ul"), (BE49/1971)*100,  AND(F49="Mouse", BA49="nl"), (BE49/508910)*100, AND(F49="Rat", BA49="nl"), (BE49/1971000)*100, AND(F49="Mouse", BA49="cm3"), (BE49/0.50891)*100, AND(F49="Rat", BA49="cm3"), (BE49/1.971)*100, AND(F49="Mouse", BA49="mL"), (BE49/0.50891)*100, AND(F49="Rat", BA49="mL"), (BE49/1.971)*100, TRUE, "NA")</f>
        <v>1.7734256027151674</v>
      </c>
      <c r="BG49" cm="1">
        <f t="array" ref="BG49">_xlfn.IFS(AZ49="NA", "NA", BB49="NR", "NA", BB49="SD", AZ49, BB49="SE", AZ49*(SQRT(R49)), BB49="SEM", AZ49*(SQRT(R49)), TRUE, "NA")</f>
        <v>25.842116786362528</v>
      </c>
      <c r="BH49" s="18" t="s">
        <v>154</v>
      </c>
      <c r="BI49" t="s">
        <v>153</v>
      </c>
      <c r="BJ49" t="s">
        <v>154</v>
      </c>
    </row>
    <row r="50" spans="1:63" s="31" customFormat="1" x14ac:dyDescent="0.3">
      <c r="A50" s="31" t="s">
        <v>799</v>
      </c>
      <c r="B50" s="31" t="s">
        <v>798</v>
      </c>
      <c r="C50" s="31">
        <v>2006</v>
      </c>
      <c r="D50" s="31" t="s">
        <v>800</v>
      </c>
      <c r="E50" s="31" t="s">
        <v>647</v>
      </c>
      <c r="F50" s="31" t="s">
        <v>23</v>
      </c>
      <c r="G50" s="31" t="s">
        <v>10</v>
      </c>
      <c r="H50" s="31" t="s">
        <v>34</v>
      </c>
      <c r="I50" s="31" t="s">
        <v>12</v>
      </c>
      <c r="J50" s="31" t="s">
        <v>8</v>
      </c>
      <c r="K50" s="31" t="s">
        <v>9</v>
      </c>
      <c r="L50" s="31" t="s">
        <v>9</v>
      </c>
      <c r="M50" s="31" t="s">
        <v>9</v>
      </c>
      <c r="N50" s="31">
        <v>250</v>
      </c>
      <c r="O50" s="31">
        <f>AVERAGE(N50,P50)</f>
        <v>275</v>
      </c>
      <c r="P50" s="31">
        <v>300</v>
      </c>
      <c r="Q50" s="31">
        <v>3</v>
      </c>
      <c r="R50" s="31">
        <v>14</v>
      </c>
      <c r="S50" s="31">
        <v>3</v>
      </c>
      <c r="T50" s="31">
        <v>14</v>
      </c>
      <c r="U50" s="32" t="s">
        <v>111</v>
      </c>
      <c r="V50" s="31" t="s">
        <v>8</v>
      </c>
      <c r="W50" s="31" t="s">
        <v>8</v>
      </c>
      <c r="X50" s="31" t="s">
        <v>12</v>
      </c>
      <c r="Y50" s="31" t="s">
        <v>8</v>
      </c>
      <c r="Z50" s="31" t="s">
        <v>8</v>
      </c>
      <c r="AA50" s="31" t="s">
        <v>648</v>
      </c>
      <c r="AB50" s="31" t="s">
        <v>636</v>
      </c>
      <c r="AC50" s="31" t="s">
        <v>153</v>
      </c>
      <c r="AD50" s="31" t="s">
        <v>610</v>
      </c>
      <c r="AE50" s="31">
        <v>336</v>
      </c>
      <c r="AF50" s="31">
        <v>250</v>
      </c>
      <c r="AG50" s="31" t="s">
        <v>650</v>
      </c>
      <c r="AH50" s="31">
        <v>2</v>
      </c>
      <c r="AI50" cm="1">
        <f t="array" ref="AI50">_xlfn.IFS(AF50="NR", "NA", AG50="NR", "NA", AG50="NA","NA", AND(AG50="mg/ml", AH50&lt;&gt;"NR"), ((AF50/2492)*AH50*1000000), AND(AG50="mol/L", AH50&lt;&gt;"NR"), AF50*AH50*1000000, AG50="nmol", AF50*1000, AND(AG50="nmol/uL", AH50&lt;&gt;"NR"), AF50*AH50*1000, AG50="pg", AF50/2492, AG50="pmol", AF50, AND(AG50="pmol/uL", AH50&lt;&gt;"NR"), AF50*AH50, AG50="ug", AF50/2492*1000000, AND(AG50="ug/mL", AH50&lt;&gt;"NR"), (AF50/1000*AH50)/2492*1000000, AND(AG50="ug/uL", AH50&lt;&gt;"NR"), (AF50*AH50)/2492*1000000, AND(AG50="umol/L", AH50&lt;&gt;"NR"), AH50*AF50, TRUE, "NA")</f>
        <v>250</v>
      </c>
      <c r="AJ50" s="31">
        <v>2</v>
      </c>
      <c r="AK50" s="31">
        <v>1</v>
      </c>
      <c r="AL50" s="31" t="s">
        <v>9</v>
      </c>
      <c r="AM50" s="31" t="s">
        <v>8</v>
      </c>
      <c r="AN50" s="31" t="s">
        <v>9</v>
      </c>
      <c r="AO50" s="32" t="s">
        <v>801</v>
      </c>
      <c r="AP50" t="s">
        <v>1228</v>
      </c>
      <c r="AQ50" s="31">
        <v>-168</v>
      </c>
      <c r="AR50" s="31" t="s">
        <v>101</v>
      </c>
      <c r="AS50" s="32">
        <v>168</v>
      </c>
      <c r="AT50" s="31" t="s">
        <v>271</v>
      </c>
      <c r="AU50" s="31" t="s">
        <v>732</v>
      </c>
      <c r="AV50" s="31" t="s">
        <v>679</v>
      </c>
      <c r="AW50" s="31">
        <v>26.5</v>
      </c>
      <c r="AX50" s="31">
        <v>6.5</v>
      </c>
      <c r="AY50" s="31">
        <v>9.9</v>
      </c>
      <c r="AZ50" s="31">
        <v>2</v>
      </c>
      <c r="BA50" s="31" t="s">
        <v>656</v>
      </c>
      <c r="BB50" s="31" t="s">
        <v>123</v>
      </c>
      <c r="BC50" cm="1">
        <f t="array" ref="BC50">_xlfn.IFS(BA50="Direct rLV % whole brain", AW50, BA50="Indirect rLV % whole brain", AW50, BA50="Direct rLV % hemisphere", AW50/2, BA50="Indirect rLV % hemisphere", AW50/2, AND(F50="Mouse", BA50="mm3"), (AW50/508.91)*100, AND(F50="Rat", BA50="mm3"), (AW50/1971)*100, AND(F50="Mouse", BA50="ul"), (AW50/508.91)*100, AND(F50="Rat", BA50="ul"), (AW50/1971)*100,  AND(F50="Mouse", BA50="nl"), (AW50/508910)*100, AND(F50="Rat", BA50="nl"), (AW50/1971000)*100, AND(F50="Mouse", BA50="cm3"), (AW50/0.50891)*100, AND(F50="Rat", BA50="cm3"), (AW50/1.971)*100, AND(F50="Mouse", BA50="mL"), (AW50/0.50891)*100, AND(F50="Rat", BA50="mL"), (AW50/1.971)*100, TRUE, "NA")</f>
        <v>1.3444951801116183</v>
      </c>
      <c r="BD50" cm="1">
        <f t="array" ref="BD50">_xlfn.IFS(AZ50="NA", "NA",BA50="Direct rLV % whole brain", AY50, BA50="Indirect rLV % whole brain", AY50, BA50="Direct rLV % hemisphere", AY50/2, BA50="Indirect rLV % hemisphere", AY50/2, AND(F50="Mouse", BA50="mm3"), (AY50/508.91)*100, AND(F50="Rat", BA50="mm3"), (AY50/1971)*100, AND(F50="Mouse", BA50="ul"), (AY50/508.91)*100, AND(F50="Rat", BA50="ul"), (AY50/1971)*100,  AND(F50="Mouse", BA50="nl"), (AY50/508910)*100, AND(F50="Rat", BA50="nl"), (AY50/1971000)*100, AND(F50="Mouse", BA50="cm3"), (AY50/0.50891)*100, AND(F50="Rat", BA50="cm3"), (AY50/1.971)*100, AND(F50="Mouse", BA50="mL"), (AY50/0.50891)*100, AND(F50="Rat", BA50="mL"), (AY50/1.971)*100, TRUE, "NA")</f>
        <v>0.50228310502283102</v>
      </c>
      <c r="BE50" cm="1">
        <f t="array" ref="BE50">_xlfn.IFS(AX50="NA", "NA", BB50="NR", "NA", BB50="SD", AX50, BB50="SE", AX50*(SQRT(R50)), BB50="SEM", AX50*(SQRT(R50)), TRUE, "NA")</f>
        <v>24.320773014030618</v>
      </c>
      <c r="BF50" cm="1">
        <f t="array" ref="BF50">_xlfn.IFS(BE50="NA", "NA",BA50="Direct rLV % whole brain", BE50, BA50="Indirect rLV % whole brain", BE50, BA50="Direct rLV % hemisphere", BE50/2, BA50="Indirect rLV % hemisphere", BE50/2, AND(F50="Mouse", BA50="mm3"), (BE50/508.91)*100, AND(F50="Rat", BA50="mm3"), (BE50/1971)*100, AND(F50="Mouse", BA50="ul"), (BE50/508.91)*100, AND(F50="Rat", BA50="ul"), (BE50/1971)*100,  AND(F50="Mouse", BA50="nl"), (BE50/508910)*100, AND(F50="Rat", BA50="nl"), (BE50/1971000)*100, AND(F50="Mouse", BA50="cm3"), (BE50/0.50891)*100, AND(F50="Rat", BA50="cm3"), (BE50/1.971)*100, AND(F50="Mouse", BA50="mL"), (BE50/0.50891)*100, AND(F50="Rat", BA50="mL"), (BE50/1.971)*100, TRUE, "NA")</f>
        <v>1.2339306450548257</v>
      </c>
      <c r="BG50" cm="1">
        <f t="array" ref="BG50">_xlfn.IFS(AZ50="NA", "NA", BB50="NR", "NA", BB50="SD", AZ50, BB50="SE", AZ50*(SQRT(R50)), BB50="SEM", AZ50*(SQRT(R50)), TRUE, "NA")</f>
        <v>7.4833147735478827</v>
      </c>
      <c r="BH50" s="32" t="s">
        <v>154</v>
      </c>
      <c r="BI50" s="31" t="s">
        <v>153</v>
      </c>
      <c r="BJ50" s="31" t="s">
        <v>154</v>
      </c>
    </row>
    <row r="51" spans="1:63" x14ac:dyDescent="0.3">
      <c r="A51" t="s">
        <v>803</v>
      </c>
      <c r="B51" t="s">
        <v>802</v>
      </c>
      <c r="C51">
        <v>1999</v>
      </c>
      <c r="D51" t="s">
        <v>804</v>
      </c>
      <c r="E51" t="s">
        <v>647</v>
      </c>
      <c r="F51" t="s">
        <v>23</v>
      </c>
      <c r="G51" t="s">
        <v>10</v>
      </c>
      <c r="H51" t="s">
        <v>34</v>
      </c>
      <c r="I51" t="s">
        <v>12</v>
      </c>
      <c r="J51" t="s">
        <v>8</v>
      </c>
      <c r="K51" t="s">
        <v>9</v>
      </c>
      <c r="L51" t="s">
        <v>9</v>
      </c>
      <c r="M51" t="s">
        <v>9</v>
      </c>
      <c r="N51">
        <v>280</v>
      </c>
      <c r="O51">
        <f>AVERAGE(N51,P51)</f>
        <v>300</v>
      </c>
      <c r="P51">
        <v>320</v>
      </c>
      <c r="Q51">
        <v>1</v>
      </c>
      <c r="R51">
        <v>9</v>
      </c>
      <c r="S51">
        <v>3</v>
      </c>
      <c r="T51">
        <v>9</v>
      </c>
      <c r="U51" s="18" t="s">
        <v>66</v>
      </c>
      <c r="V51" t="s">
        <v>96</v>
      </c>
      <c r="W51" t="s">
        <v>8</v>
      </c>
      <c r="X51" t="s">
        <v>66</v>
      </c>
      <c r="Y51" t="s">
        <v>96</v>
      </c>
      <c r="Z51" t="s">
        <v>8</v>
      </c>
      <c r="AA51" t="s">
        <v>648</v>
      </c>
      <c r="AB51" t="s">
        <v>636</v>
      </c>
      <c r="AC51" t="s">
        <v>154</v>
      </c>
      <c r="AD51" t="s">
        <v>634</v>
      </c>
      <c r="AE51">
        <v>0</v>
      </c>
      <c r="AF51">
        <v>100</v>
      </c>
      <c r="AG51" t="s">
        <v>650</v>
      </c>
      <c r="AH51">
        <v>2</v>
      </c>
      <c r="AI51" cm="1">
        <f t="array" ref="AI51">_xlfn.IFS(AF51="NR", "NA", AG51="NR", "NA", AG51="NA","NA", AND(AG51="mg/ml", AH51&lt;&gt;"NR"), ((AF51/2492)*AH51*1000000), AND(AG51="mol/L", AH51&lt;&gt;"NR"), AF51*AH51*1000000, AG51="nmol", AF51*1000, AND(AG51="nmol/uL", AH51&lt;&gt;"NR"), AF51*AH51*1000, AG51="pg", AF51/2492, AG51="pmol", AF51, AND(AG51="pmol/uL", AH51&lt;&gt;"NR"), AF51*AH51, AG51="ug", AF51/2492*1000000, AND(AG51="ug/mL", AH51&lt;&gt;"NR"), (AF51/1000*AH51)/2492*1000000, AND(AG51="ug/uL", AH51&lt;&gt;"NR"), (AF51*AH51)/2492*1000000, AND(AG51="umol/L", AH51&lt;&gt;"NR"), AH51*AF51, TRUE, "NA")</f>
        <v>100</v>
      </c>
      <c r="AJ51">
        <v>3</v>
      </c>
      <c r="AK51">
        <v>1</v>
      </c>
      <c r="AL51" t="s">
        <v>9</v>
      </c>
      <c r="AM51" t="s">
        <v>8</v>
      </c>
      <c r="AN51" t="s">
        <v>9</v>
      </c>
      <c r="AO51" s="18" t="s">
        <v>805</v>
      </c>
      <c r="AP51" t="s">
        <v>1228</v>
      </c>
      <c r="AQ51">
        <v>0.16</v>
      </c>
      <c r="AR51" t="s">
        <v>103</v>
      </c>
      <c r="AS51" s="18">
        <v>72</v>
      </c>
      <c r="AT51" t="s">
        <v>271</v>
      </c>
      <c r="AU51" t="s">
        <v>684</v>
      </c>
      <c r="AV51" t="s">
        <v>679</v>
      </c>
      <c r="AW51">
        <v>132.54</v>
      </c>
      <c r="AX51">
        <v>85.62</v>
      </c>
      <c r="AY51">
        <v>12.32</v>
      </c>
      <c r="AZ51">
        <v>8.2200000000000006</v>
      </c>
      <c r="BA51" t="s">
        <v>656</v>
      </c>
      <c r="BB51" t="s">
        <v>122</v>
      </c>
      <c r="BC51" cm="1">
        <f t="array" ref="BC51">_xlfn.IFS(BA51="Direct rLV % whole brain", AW51, BA51="Indirect rLV % whole brain", AW51, BA51="Direct rLV % hemisphere", AW51/2, BA51="Indirect rLV % hemisphere", AW51/2, AND(F51="Mouse", BA51="mm3"), (AW51/508.91)*100, AND(F51="Rat", BA51="mm3"), (AW51/1971)*100, AND(F51="Mouse", BA51="ul"), (AW51/508.91)*100, AND(F51="Rat", BA51="ul"), (AW51/1971)*100,  AND(F51="Mouse", BA51="nl"), (AW51/508910)*100, AND(F51="Rat", BA51="nl"), (AW51/1971000)*100, AND(F51="Mouse", BA51="cm3"), (AW51/0.50891)*100, AND(F51="Rat", BA51="cm3"), (AW51/1.971)*100, AND(F51="Mouse", BA51="mL"), (AW51/0.50891)*100, AND(F51="Rat", BA51="mL"), (AW51/1.971)*100, TRUE, "NA")</f>
        <v>6.724505327245053</v>
      </c>
      <c r="BD51" cm="1">
        <f t="array" ref="BD51">_xlfn.IFS(AZ51="NA", "NA",BA51="Direct rLV % whole brain", AY51, BA51="Indirect rLV % whole brain", AY51, BA51="Direct rLV % hemisphere", AY51/2, BA51="Indirect rLV % hemisphere", AY51/2, AND(F51="Mouse", BA51="mm3"), (AY51/508.91)*100, AND(F51="Rat", BA51="mm3"), (AY51/1971)*100, AND(F51="Mouse", BA51="ul"), (AY51/508.91)*100, AND(F51="Rat", BA51="ul"), (AY51/1971)*100,  AND(F51="Mouse", BA51="nl"), (AY51/508910)*100, AND(F51="Rat", BA51="nl"), (AY51/1971000)*100, AND(F51="Mouse", BA51="cm3"), (AY51/0.50891)*100, AND(F51="Rat", BA51="cm3"), (AY51/1.971)*100, AND(F51="Mouse", BA51="mL"), (AY51/0.50891)*100, AND(F51="Rat", BA51="mL"), (AY51/1.971)*100, TRUE, "NA")</f>
        <v>0.62506341958396761</v>
      </c>
      <c r="BE51" cm="1">
        <f t="array" ref="BE51">_xlfn.IFS(AX51="NA", "NA", BB51="NR", "NA", BB51="SD", AX51, BB51="SE", AX51*(SQRT(R51)), BB51="SEM", AX51*(SQRT(R51)), TRUE, "NA")</f>
        <v>85.62</v>
      </c>
      <c r="BF51" cm="1">
        <f t="array" ref="BF51">_xlfn.IFS(BE51="NA", "NA",BA51="Direct rLV % whole brain", BE51, BA51="Indirect rLV % whole brain", BE51, BA51="Direct rLV % hemisphere", BE51/2, BA51="Indirect rLV % hemisphere", BE51/2, AND(F51="Mouse", BA51="mm3"), (BE51/508.91)*100, AND(F51="Rat", BA51="mm3"), (BE51/1971)*100, AND(F51="Mouse", BA51="ul"), (BE51/508.91)*100, AND(F51="Rat", BA51="ul"), (BE51/1971)*100,  AND(F51="Mouse", BA51="nl"), (BE51/508910)*100, AND(F51="Rat", BA51="nl"), (BE51/1971000)*100, AND(F51="Mouse", BA51="cm3"), (BE51/0.50891)*100, AND(F51="Rat", BA51="cm3"), (BE51/1.971)*100, AND(F51="Mouse", BA51="mL"), (BE51/0.50891)*100, AND(F51="Rat", BA51="mL"), (BE51/1.971)*100, TRUE, "NA")</f>
        <v>4.3439878234398783</v>
      </c>
      <c r="BG51" cm="1">
        <f t="array" ref="BG51">_xlfn.IFS(AZ51="NA", "NA", BB51="NR", "NA", BB51="SD", AZ51, BB51="SE", AZ51*(SQRT(R51)), BB51="SEM", AZ51*(SQRT(R51)), TRUE, "NA")</f>
        <v>8.2200000000000006</v>
      </c>
      <c r="BH51" s="18" t="s">
        <v>154</v>
      </c>
      <c r="BI51" t="s">
        <v>153</v>
      </c>
      <c r="BJ51" t="s">
        <v>154</v>
      </c>
    </row>
    <row r="52" spans="1:63" s="31" customFormat="1" x14ac:dyDescent="0.3">
      <c r="A52" s="31" t="s">
        <v>807</v>
      </c>
      <c r="B52" s="31" t="s">
        <v>806</v>
      </c>
      <c r="C52" s="31">
        <v>2006</v>
      </c>
      <c r="D52" s="31" t="s">
        <v>808</v>
      </c>
      <c r="E52" s="31" t="s">
        <v>647</v>
      </c>
      <c r="F52" s="31" t="s">
        <v>23</v>
      </c>
      <c r="G52" s="31" t="s">
        <v>10</v>
      </c>
      <c r="H52" s="31" t="s">
        <v>34</v>
      </c>
      <c r="I52" s="31" t="s">
        <v>12</v>
      </c>
      <c r="J52" s="31" t="s">
        <v>8</v>
      </c>
      <c r="K52" s="31" t="s">
        <v>9</v>
      </c>
      <c r="L52" s="31" t="s">
        <v>9</v>
      </c>
      <c r="M52" s="31" t="s">
        <v>9</v>
      </c>
      <c r="N52" s="31" t="s">
        <v>8</v>
      </c>
      <c r="O52" s="31">
        <v>300</v>
      </c>
      <c r="P52" s="31" t="s">
        <v>8</v>
      </c>
      <c r="Q52" s="31">
        <v>1</v>
      </c>
      <c r="R52" s="31">
        <v>9</v>
      </c>
      <c r="S52" s="31">
        <v>1</v>
      </c>
      <c r="T52" s="31">
        <v>9</v>
      </c>
      <c r="U52" s="32" t="s">
        <v>68</v>
      </c>
      <c r="V52" s="31" t="s">
        <v>96</v>
      </c>
      <c r="W52" s="31" t="s">
        <v>8</v>
      </c>
      <c r="X52" s="31" t="s">
        <v>68</v>
      </c>
      <c r="Y52" s="31" t="s">
        <v>96</v>
      </c>
      <c r="Z52" s="31" t="s">
        <v>8</v>
      </c>
      <c r="AA52" s="31" t="s">
        <v>640</v>
      </c>
      <c r="AB52" s="31" t="s">
        <v>746</v>
      </c>
      <c r="AC52" s="31" t="s">
        <v>154</v>
      </c>
      <c r="AD52" s="31" t="s">
        <v>634</v>
      </c>
      <c r="AE52" s="31">
        <v>0</v>
      </c>
      <c r="AF52" s="31">
        <v>400</v>
      </c>
      <c r="AG52" s="31" t="s">
        <v>745</v>
      </c>
      <c r="AH52" s="31">
        <v>5</v>
      </c>
      <c r="AI52" cm="1">
        <f t="array" ref="AI52">_xlfn.IFS(AF52="NR", "NA", AG52="NR", "NA", AG52="NA","NA", AND(AG52="mg/ml", AH52&lt;&gt;"NR"), ((AF52/2492)*AH52*1000000), AND(AG52="mol/L", AH52&lt;&gt;"NR"), AF52*AH52*1000000, AG52="nmol", AF52*1000, AND(AG52="nmol/uL", AH52&lt;&gt;"NR"), AF52*AH52*1000, AG52="pg", AF52/2492, AG52="pmol", AF52, AND(AG52="pmol/uL", AH52&lt;&gt;"NR"), AF52*AH52, AG52="ug", AF52/2492*1000000, AND(AG52="ug/mL", AH52&lt;&gt;"NR"), (AF52/1000*AH52)/2492*1000000, AND(AG52="ug/uL", AH52&lt;&gt;"NR"), (AF52*AH52)/2492*1000000, AND(AG52="umol/L", AH52&lt;&gt;"NR"), AH52*AF52, TRUE, "NA")</f>
        <v>2000</v>
      </c>
      <c r="AJ52" s="31" t="s">
        <v>9</v>
      </c>
      <c r="AK52" s="31">
        <v>3</v>
      </c>
      <c r="AL52" s="31" t="s">
        <v>9</v>
      </c>
      <c r="AM52" s="31" t="s">
        <v>8</v>
      </c>
      <c r="AN52" s="31" t="s">
        <v>9</v>
      </c>
      <c r="AO52" s="32" t="s">
        <v>393</v>
      </c>
      <c r="AP52" t="s">
        <v>1228</v>
      </c>
      <c r="AQ52" s="31">
        <v>2</v>
      </c>
      <c r="AR52" s="31" t="s">
        <v>103</v>
      </c>
      <c r="AS52" s="32">
        <v>720</v>
      </c>
      <c r="AT52" s="31" t="s">
        <v>271</v>
      </c>
      <c r="AU52" s="31" t="s">
        <v>653</v>
      </c>
      <c r="AV52" s="31" t="s">
        <v>679</v>
      </c>
      <c r="AW52" s="31">
        <v>78.41</v>
      </c>
      <c r="AX52" s="31">
        <v>10.38</v>
      </c>
      <c r="AY52" s="31">
        <v>47.27</v>
      </c>
      <c r="AZ52" s="31">
        <v>9.5399999999999991</v>
      </c>
      <c r="BA52" s="31" t="s">
        <v>656</v>
      </c>
      <c r="BB52" s="31" t="s">
        <v>123</v>
      </c>
      <c r="BC52" cm="1">
        <f t="array" ref="BC52">_xlfn.IFS(BA52="Direct rLV % whole brain", AW52, BA52="Indirect rLV % whole brain", AW52, BA52="Direct rLV % hemisphere", AW52/2, BA52="Indirect rLV % hemisphere", AW52/2, AND(F52="Mouse", BA52="mm3"), (AW52/508.91)*100, AND(F52="Rat", BA52="mm3"), (AW52/1971)*100, AND(F52="Mouse", BA52="ul"), (AW52/508.91)*100, AND(F52="Rat", BA52="ul"), (AW52/1971)*100,  AND(F52="Mouse", BA52="nl"), (AW52/508910)*100, AND(F52="Rat", BA52="nl"), (AW52/1971000)*100, AND(F52="Mouse", BA52="cm3"), (AW52/0.50891)*100, AND(F52="Rat", BA52="cm3"), (AW52/1.971)*100, AND(F52="Mouse", BA52="mL"), (AW52/0.50891)*100, AND(F52="Rat", BA52="mL"), (AW52/1.971)*100, TRUE, "NA")</f>
        <v>3.9781836631151704</v>
      </c>
      <c r="BD52" cm="1">
        <f t="array" ref="BD52">_xlfn.IFS(AZ52="NA", "NA",BA52="Direct rLV % whole brain", AY52, BA52="Indirect rLV % whole brain", AY52, BA52="Direct rLV % hemisphere", AY52/2, BA52="Indirect rLV % hemisphere", AY52/2, AND(F52="Mouse", BA52="mm3"), (AY52/508.91)*100, AND(F52="Rat", BA52="mm3"), (AY52/1971)*100, AND(F52="Mouse", BA52="ul"), (AY52/508.91)*100, AND(F52="Rat", BA52="ul"), (AY52/1971)*100,  AND(F52="Mouse", BA52="nl"), (AY52/508910)*100, AND(F52="Rat", BA52="nl"), (AY52/1971000)*100, AND(F52="Mouse", BA52="cm3"), (AY52/0.50891)*100, AND(F52="Rat", BA52="cm3"), (AY52/1.971)*100, AND(F52="Mouse", BA52="mL"), (AY52/0.50891)*100, AND(F52="Rat", BA52="mL"), (AY52/1.971)*100, TRUE, "NA")</f>
        <v>2.3982749873160834</v>
      </c>
      <c r="BE52" cm="1">
        <f t="array" ref="BE52">_xlfn.IFS(AX52="NA", "NA", BB52="NR", "NA", BB52="SD", AX52, BB52="SE", AX52*(SQRT(R52)), BB52="SEM", AX52*(SQRT(R52)), TRUE, "NA")</f>
        <v>31.14</v>
      </c>
      <c r="BF52" cm="1">
        <f t="array" ref="BF52">_xlfn.IFS(BE52="NA", "NA",BA52="Direct rLV % whole brain", BE52, BA52="Indirect rLV % whole brain", BE52, BA52="Direct rLV % hemisphere", BE52/2, BA52="Indirect rLV % hemisphere", BE52/2, AND(F52="Mouse", BA52="mm3"), (BE52/508.91)*100, AND(F52="Rat", BA52="mm3"), (BE52/1971)*100, AND(F52="Mouse", BA52="ul"), (BE52/508.91)*100, AND(F52="Rat", BA52="ul"), (BE52/1971)*100,  AND(F52="Mouse", BA52="nl"), (BE52/508910)*100, AND(F52="Rat", BA52="nl"), (BE52/1971000)*100, AND(F52="Mouse", BA52="cm3"), (BE52/0.50891)*100, AND(F52="Rat", BA52="cm3"), (BE52/1.971)*100, AND(F52="Mouse", BA52="mL"), (BE52/0.50891)*100, AND(F52="Rat", BA52="mL"), (BE52/1.971)*100, TRUE, "NA")</f>
        <v>1.5799086757990868</v>
      </c>
      <c r="BG52" cm="1">
        <f t="array" ref="BG52">_xlfn.IFS(AZ52="NA", "NA", BB52="NR", "NA", BB52="SD", AZ52, BB52="SE", AZ52*(SQRT(R52)), BB52="SEM", AZ52*(SQRT(R52)), TRUE, "NA")</f>
        <v>28.619999999999997</v>
      </c>
      <c r="BH52" s="32" t="s">
        <v>154</v>
      </c>
      <c r="BI52" s="31" t="s">
        <v>154</v>
      </c>
      <c r="BJ52" s="31" t="s">
        <v>154</v>
      </c>
    </row>
    <row r="53" spans="1:63" x14ac:dyDescent="0.3">
      <c r="A53" t="s">
        <v>810</v>
      </c>
      <c r="B53" t="s">
        <v>809</v>
      </c>
      <c r="C53">
        <v>2007</v>
      </c>
      <c r="D53" t="s">
        <v>811</v>
      </c>
      <c r="E53" t="s">
        <v>647</v>
      </c>
      <c r="F53" t="s">
        <v>23</v>
      </c>
      <c r="G53" t="s">
        <v>10</v>
      </c>
      <c r="H53" t="s">
        <v>34</v>
      </c>
      <c r="I53" t="s">
        <v>12</v>
      </c>
      <c r="J53" t="s">
        <v>8</v>
      </c>
      <c r="K53" t="s">
        <v>9</v>
      </c>
      <c r="L53" t="s">
        <v>9</v>
      </c>
      <c r="M53" t="s">
        <v>9</v>
      </c>
      <c r="N53">
        <v>300</v>
      </c>
      <c r="O53">
        <f>AVERAGE(N53,P53)</f>
        <v>325</v>
      </c>
      <c r="P53">
        <v>350</v>
      </c>
      <c r="Q53">
        <v>1</v>
      </c>
      <c r="R53">
        <v>24</v>
      </c>
      <c r="S53">
        <v>2</v>
      </c>
      <c r="T53">
        <v>10</v>
      </c>
      <c r="U53" s="18" t="s">
        <v>68</v>
      </c>
      <c r="V53" t="s">
        <v>96</v>
      </c>
      <c r="W53" t="s">
        <v>8</v>
      </c>
      <c r="X53" t="s">
        <v>68</v>
      </c>
      <c r="Y53" t="s">
        <v>96</v>
      </c>
      <c r="Z53" t="s">
        <v>8</v>
      </c>
      <c r="AA53" t="s">
        <v>640</v>
      </c>
      <c r="AB53" t="s">
        <v>636</v>
      </c>
      <c r="AC53" t="s">
        <v>153</v>
      </c>
      <c r="AD53" t="s">
        <v>634</v>
      </c>
      <c r="AE53">
        <v>0</v>
      </c>
      <c r="AF53">
        <v>1200</v>
      </c>
      <c r="AG53" t="s">
        <v>650</v>
      </c>
      <c r="AH53">
        <v>3</v>
      </c>
      <c r="AI53" cm="1">
        <f t="array" ref="AI53">_xlfn.IFS(AF53="NR", "NA", AG53="NR", "NA", AG53="NA","NA", AND(AG53="mg/ml", AH53&lt;&gt;"NR"), ((AF53/2492)*AH53*1000000), AND(AG53="mol/L", AH53&lt;&gt;"NR"), AF53*AH53*1000000, AG53="nmol", AF53*1000, AND(AG53="nmol/uL", AH53&lt;&gt;"NR"), AF53*AH53*1000, AG53="pg", AF53/2492, AG53="pmol", AF53, AND(AG53="pmol/uL", AH53&lt;&gt;"NR"), AF53*AH53, AG53="ug", AF53/2492*1000000, AND(AG53="ug/mL", AH53&lt;&gt;"NR"), (AF53/1000*AH53)/2492*1000000, AND(AG53="ug/uL", AH53&lt;&gt;"NR"), (AF53*AH53)/2492*1000000, AND(AG53="umol/L", AH53&lt;&gt;"NR"), AH53*AF53, TRUE, "NA")</f>
        <v>1200</v>
      </c>
      <c r="AJ53">
        <v>10</v>
      </c>
      <c r="AK53">
        <v>1</v>
      </c>
      <c r="AL53" t="s">
        <v>9</v>
      </c>
      <c r="AM53" t="s">
        <v>8</v>
      </c>
      <c r="AN53" t="s">
        <v>9</v>
      </c>
      <c r="AO53" s="18" t="s">
        <v>304</v>
      </c>
      <c r="AP53" t="s">
        <v>1228</v>
      </c>
      <c r="AQ53">
        <v>168</v>
      </c>
      <c r="AR53" t="s">
        <v>103</v>
      </c>
      <c r="AS53" s="18" t="s">
        <v>9</v>
      </c>
      <c r="AT53" t="s">
        <v>271</v>
      </c>
      <c r="AU53" t="s">
        <v>652</v>
      </c>
      <c r="AV53" t="s">
        <v>674</v>
      </c>
      <c r="AW53">
        <v>82.5</v>
      </c>
      <c r="AX53">
        <v>10</v>
      </c>
      <c r="AY53">
        <v>50.9</v>
      </c>
      <c r="AZ53">
        <v>12.6</v>
      </c>
      <c r="BA53" t="s">
        <v>656</v>
      </c>
      <c r="BB53" t="s">
        <v>123</v>
      </c>
      <c r="BC53" cm="1">
        <f t="array" ref="BC53">_xlfn.IFS(BA53="Direct rLV % whole brain", AW53, BA53="Indirect rLV % whole brain", AW53, BA53="Direct rLV % hemisphere", AW53/2, BA53="Indirect rLV % hemisphere", AW53/2, AND(F53="Mouse", BA53="mm3"), (AW53/508.91)*100, AND(F53="Rat", BA53="mm3"), (AW53/1971)*100, AND(F53="Mouse", BA53="ul"), (AW53/508.91)*100, AND(F53="Rat", BA53="ul"), (AW53/1971)*100,  AND(F53="Mouse", BA53="nl"), (AW53/508910)*100, AND(F53="Rat", BA53="nl"), (AW53/1971000)*100, AND(F53="Mouse", BA53="cm3"), (AW53/0.50891)*100, AND(F53="Rat", BA53="cm3"), (AW53/1.971)*100, AND(F53="Mouse", BA53="mL"), (AW53/0.50891)*100, AND(F53="Rat", BA53="mL"), (AW53/1.971)*100, TRUE, "NA")</f>
        <v>4.1856925418569251</v>
      </c>
      <c r="BD53" cm="1">
        <f t="array" ref="BD53">_xlfn.IFS(AZ53="NA", "NA",BA53="Direct rLV % whole brain", AY53, BA53="Indirect rLV % whole brain", AY53, BA53="Direct rLV % hemisphere", AY53/2, BA53="Indirect rLV % hemisphere", AY53/2, AND(F53="Mouse", BA53="mm3"), (AY53/508.91)*100, AND(F53="Rat", BA53="mm3"), (AY53/1971)*100, AND(F53="Mouse", BA53="ul"), (AY53/508.91)*100, AND(F53="Rat", BA53="ul"), (AY53/1971)*100,  AND(F53="Mouse", BA53="nl"), (AY53/508910)*100, AND(F53="Rat", BA53="nl"), (AY53/1971000)*100, AND(F53="Mouse", BA53="cm3"), (AY53/0.50891)*100, AND(F53="Rat", BA53="cm3"), (AY53/1.971)*100, AND(F53="Mouse", BA53="mL"), (AY53/0.50891)*100, AND(F53="Rat", BA53="mL"), (AY53/1.971)*100, TRUE, "NA")</f>
        <v>2.5824454591577877</v>
      </c>
      <c r="BE53" cm="1">
        <f t="array" ref="BE53">_xlfn.IFS(AX53="NA", "NA", BB53="NR", "NA", BB53="SD", AX53, BB53="SE", AX53*(SQRT(R53)), BB53="SEM", AX53*(SQRT(R53)), TRUE, "NA")</f>
        <v>48.989794855663561</v>
      </c>
      <c r="BF53" cm="1">
        <f t="array" ref="BF53">_xlfn.IFS(BE53="NA", "NA",BA53="Direct rLV % whole brain", BE53, BA53="Indirect rLV % whole brain", BE53, BA53="Direct rLV % hemisphere", BE53/2, BA53="Indirect rLV % hemisphere", BE53/2, AND(F53="Mouse", BA53="mm3"), (BE53/508.91)*100, AND(F53="Rat", BA53="mm3"), (BE53/1971)*100, AND(F53="Mouse", BA53="ul"), (BE53/508.91)*100, AND(F53="Rat", BA53="ul"), (BE53/1971)*100,  AND(F53="Mouse", BA53="nl"), (BE53/508910)*100, AND(F53="Rat", BA53="nl"), (BE53/1971000)*100, AND(F53="Mouse", BA53="cm3"), (BE53/0.50891)*100, AND(F53="Rat", BA53="cm3"), (BE53/1.971)*100, AND(F53="Mouse", BA53="mL"), (BE53/0.50891)*100, AND(F53="Rat", BA53="mL"), (BE53/1.971)*100, TRUE, "NA")</f>
        <v>2.485529926720627</v>
      </c>
      <c r="BG53" cm="1">
        <f t="array" ref="BG53">_xlfn.IFS(AZ53="NA", "NA", BB53="NR", "NA", BB53="SD", AZ53, BB53="SE", AZ53*(SQRT(R53)), BB53="SEM", AZ53*(SQRT(R53)), TRUE, "NA")</f>
        <v>61.727141518136079</v>
      </c>
      <c r="BH53" s="18" t="s">
        <v>153</v>
      </c>
      <c r="BI53" t="s">
        <v>153</v>
      </c>
      <c r="BJ53" t="s">
        <v>154</v>
      </c>
      <c r="BK53" t="s">
        <v>814</v>
      </c>
    </row>
    <row r="54" spans="1:63" s="31" customFormat="1" x14ac:dyDescent="0.3">
      <c r="A54" s="31" t="s">
        <v>812</v>
      </c>
      <c r="B54" s="31" t="s">
        <v>809</v>
      </c>
      <c r="C54" s="31">
        <v>2008</v>
      </c>
      <c r="D54" s="31" t="s">
        <v>813</v>
      </c>
      <c r="E54" s="31" t="s">
        <v>647</v>
      </c>
      <c r="F54" s="31" t="s">
        <v>23</v>
      </c>
      <c r="G54" s="31" t="s">
        <v>10</v>
      </c>
      <c r="H54" s="31" t="s">
        <v>34</v>
      </c>
      <c r="I54" s="31" t="s">
        <v>12</v>
      </c>
      <c r="J54" s="31" t="s">
        <v>8</v>
      </c>
      <c r="K54" s="31" t="s">
        <v>8</v>
      </c>
      <c r="L54" s="31">
        <v>13</v>
      </c>
      <c r="M54" s="31" t="s">
        <v>8</v>
      </c>
      <c r="N54" s="31">
        <v>320</v>
      </c>
      <c r="O54" s="31">
        <f t="shared" ref="O54:O55" si="5">AVERAGE(N54,P54)</f>
        <v>335</v>
      </c>
      <c r="P54" s="31">
        <v>350</v>
      </c>
      <c r="Q54" s="31">
        <v>3</v>
      </c>
      <c r="R54" s="31">
        <v>7</v>
      </c>
      <c r="S54" s="31">
        <v>9</v>
      </c>
      <c r="T54" s="31">
        <v>7</v>
      </c>
      <c r="U54" s="32" t="s">
        <v>68</v>
      </c>
      <c r="V54" s="31" t="s">
        <v>96</v>
      </c>
      <c r="W54" s="31" t="s">
        <v>8</v>
      </c>
      <c r="X54" s="31" t="s">
        <v>68</v>
      </c>
      <c r="Y54" s="31" t="s">
        <v>96</v>
      </c>
      <c r="Z54" s="31" t="s">
        <v>8</v>
      </c>
      <c r="AA54" s="31" t="s">
        <v>640</v>
      </c>
      <c r="AB54" s="31" t="s">
        <v>636</v>
      </c>
      <c r="AC54" s="31" t="s">
        <v>153</v>
      </c>
      <c r="AD54" s="31" t="s">
        <v>634</v>
      </c>
      <c r="AE54" s="31">
        <v>0</v>
      </c>
      <c r="AF54" s="31">
        <v>1200</v>
      </c>
      <c r="AG54" s="31" t="s">
        <v>650</v>
      </c>
      <c r="AH54" s="31">
        <v>3</v>
      </c>
      <c r="AI54" cm="1">
        <f t="array" ref="AI54">_xlfn.IFS(AF54="NR", "NA", AG54="NR", "NA", AG54="NA","NA", AND(AG54="mg/ml", AH54&lt;&gt;"NR"), ((AF54/2492)*AH54*1000000), AND(AG54="mol/L", AH54&lt;&gt;"NR"), AF54*AH54*1000000, AG54="nmol", AF54*1000, AND(AG54="nmol/uL", AH54&lt;&gt;"NR"), AF54*AH54*1000, AG54="pg", AF54/2492, AG54="pmol", AF54, AND(AG54="pmol/uL", AH54&lt;&gt;"NR"), AF54*AH54, AG54="ug", AF54/2492*1000000, AND(AG54="ug/mL", AH54&lt;&gt;"NR"), (AF54/1000*AH54)/2492*1000000, AND(AG54="ug/uL", AH54&lt;&gt;"NR"), (AF54*AH54)/2492*1000000, AND(AG54="umol/L", AH54&lt;&gt;"NR"), AH54*AF54, TRUE, "NA")</f>
        <v>1200</v>
      </c>
      <c r="AJ54" s="31">
        <v>10</v>
      </c>
      <c r="AK54" s="31">
        <v>1</v>
      </c>
      <c r="AL54" s="31" t="s">
        <v>9</v>
      </c>
      <c r="AM54" s="31" t="s">
        <v>8</v>
      </c>
      <c r="AN54" s="31" t="s">
        <v>9</v>
      </c>
      <c r="AO54" s="32" t="s">
        <v>280</v>
      </c>
      <c r="AP54" t="s">
        <v>1228</v>
      </c>
      <c r="AQ54" s="31">
        <v>168</v>
      </c>
      <c r="AR54" s="31" t="s">
        <v>103</v>
      </c>
      <c r="AS54" s="32">
        <v>2184</v>
      </c>
      <c r="AT54" s="31" t="s">
        <v>271</v>
      </c>
      <c r="AU54" s="31" t="s">
        <v>652</v>
      </c>
      <c r="AV54" s="31" t="s">
        <v>674</v>
      </c>
      <c r="AW54" s="31">
        <v>51.52</v>
      </c>
      <c r="AX54" s="31">
        <v>9.3800000000000008</v>
      </c>
      <c r="AY54" s="31">
        <v>31.5</v>
      </c>
      <c r="AZ54" s="31">
        <v>11.93</v>
      </c>
      <c r="BA54" s="31" t="s">
        <v>656</v>
      </c>
      <c r="BB54" s="31" t="s">
        <v>123</v>
      </c>
      <c r="BC54" cm="1">
        <f t="array" ref="BC54">_xlfn.IFS(BA54="Direct rLV % whole brain", AW54, BA54="Indirect rLV % whole brain", AW54, BA54="Direct rLV % hemisphere", AW54/2, BA54="Indirect rLV % hemisphere", AW54/2, AND(F54="Mouse", BA54="mm3"), (AW54/508.91)*100, AND(F54="Rat", BA54="mm3"), (AW54/1971)*100, AND(F54="Mouse", BA54="ul"), (AW54/508.91)*100, AND(F54="Rat", BA54="ul"), (AW54/1971)*100,  AND(F54="Mouse", BA54="nl"), (AW54/508910)*100, AND(F54="Rat", BA54="nl"), (AW54/1971000)*100, AND(F54="Mouse", BA54="cm3"), (AW54/0.50891)*100, AND(F54="Rat", BA54="cm3"), (AW54/1.971)*100, AND(F54="Mouse", BA54="mL"), (AW54/0.50891)*100, AND(F54="Rat", BA54="mL"), (AW54/1.971)*100, TRUE, "NA")</f>
        <v>2.6139015728056822</v>
      </c>
      <c r="BD54" cm="1">
        <f t="array" ref="BD54">_xlfn.IFS(AZ54="NA", "NA",BA54="Direct rLV % whole brain", AY54, BA54="Indirect rLV % whole brain", AY54, BA54="Direct rLV % hemisphere", AY54/2, BA54="Indirect rLV % hemisphere", AY54/2, AND(F54="Mouse", BA54="mm3"), (AY54/508.91)*100, AND(F54="Rat", BA54="mm3"), (AY54/1971)*100, AND(F54="Mouse", BA54="ul"), (AY54/508.91)*100, AND(F54="Rat", BA54="ul"), (AY54/1971)*100,  AND(F54="Mouse", BA54="nl"), (AY54/508910)*100, AND(F54="Rat", BA54="nl"), (AY54/1971000)*100, AND(F54="Mouse", BA54="cm3"), (AY54/0.50891)*100, AND(F54="Rat", BA54="cm3"), (AY54/1.971)*100, AND(F54="Mouse", BA54="mL"), (AY54/0.50891)*100, AND(F54="Rat", BA54="mL"), (AY54/1.971)*100, TRUE, "NA")</f>
        <v>1.5981735159817352</v>
      </c>
      <c r="BE54" cm="1">
        <f t="array" ref="BE54">_xlfn.IFS(AX54="NA", "NA", BB54="NR", "NA", BB54="SD", AX54, BB54="SE", AX54*(SQRT(R54)), BB54="SEM", AX54*(SQRT(R54)), TRUE, "NA")</f>
        <v>24.817147297785862</v>
      </c>
      <c r="BF54" cm="1">
        <f t="array" ref="BF54">_xlfn.IFS(BE54="NA", "NA",BA54="Direct rLV % whole brain", BE54, BA54="Indirect rLV % whole brain", BE54, BA54="Direct rLV % hemisphere", BE54/2, BA54="Indirect rLV % hemisphere", BE54/2, AND(F54="Mouse", BA54="mm3"), (BE54/508.91)*100, AND(F54="Rat", BA54="mm3"), (BE54/1971)*100, AND(F54="Mouse", BA54="ul"), (BE54/508.91)*100, AND(F54="Rat", BA54="ul"), (BE54/1971)*100,  AND(F54="Mouse", BA54="nl"), (BE54/508910)*100, AND(F54="Rat", BA54="nl"), (BE54/1971000)*100, AND(F54="Mouse", BA54="cm3"), (BE54/0.50891)*100, AND(F54="Rat", BA54="cm3"), (BE54/1.971)*100, AND(F54="Mouse", BA54="mL"), (BE54/0.50891)*100, AND(F54="Rat", BA54="mL"), (BE54/1.971)*100, TRUE, "NA")</f>
        <v>1.2591145255091762</v>
      </c>
      <c r="BG54" cm="1">
        <f t="array" ref="BG54">_xlfn.IFS(AZ54="NA", "NA", BB54="NR", "NA", BB54="SD", AZ54, BB54="SE", AZ54*(SQRT(R54)), BB54="SEM", AZ54*(SQRT(R54)), TRUE, "NA")</f>
        <v>31.563813141000566</v>
      </c>
      <c r="BH54" s="32" t="s">
        <v>153</v>
      </c>
      <c r="BI54" s="31" t="s">
        <v>153</v>
      </c>
      <c r="BJ54" s="31" t="s">
        <v>154</v>
      </c>
      <c r="BK54" s="31" t="s">
        <v>814</v>
      </c>
    </row>
    <row r="55" spans="1:63" s="31" customFormat="1" x14ac:dyDescent="0.3">
      <c r="A55" s="31" t="s">
        <v>812</v>
      </c>
      <c r="B55" s="31" t="s">
        <v>809</v>
      </c>
      <c r="C55" s="31">
        <v>2008</v>
      </c>
      <c r="D55" s="31" t="s">
        <v>813</v>
      </c>
      <c r="E55" s="31" t="s">
        <v>678</v>
      </c>
      <c r="F55" s="31" t="s">
        <v>23</v>
      </c>
      <c r="G55" s="31" t="s">
        <v>10</v>
      </c>
      <c r="H55" s="31" t="s">
        <v>34</v>
      </c>
      <c r="I55" s="31" t="s">
        <v>12</v>
      </c>
      <c r="J55" s="31" t="s">
        <v>8</v>
      </c>
      <c r="K55" s="31" t="s">
        <v>8</v>
      </c>
      <c r="L55" s="31">
        <v>13</v>
      </c>
      <c r="M55" s="31" t="s">
        <v>8</v>
      </c>
      <c r="N55" s="31">
        <v>320</v>
      </c>
      <c r="O55" s="31">
        <f t="shared" si="5"/>
        <v>335</v>
      </c>
      <c r="P55" s="31">
        <v>350</v>
      </c>
      <c r="Q55" s="31">
        <v>3</v>
      </c>
      <c r="R55" s="31">
        <v>7</v>
      </c>
      <c r="S55" s="31">
        <v>9</v>
      </c>
      <c r="T55" s="31">
        <v>7</v>
      </c>
      <c r="U55" s="32" t="s">
        <v>68</v>
      </c>
      <c r="V55" s="31" t="s">
        <v>96</v>
      </c>
      <c r="W55" s="31" t="s">
        <v>8</v>
      </c>
      <c r="X55" s="31" t="s">
        <v>68</v>
      </c>
      <c r="Y55" s="31" t="s">
        <v>96</v>
      </c>
      <c r="Z55" s="31" t="s">
        <v>8</v>
      </c>
      <c r="AA55" s="31" t="s">
        <v>640</v>
      </c>
      <c r="AB55" s="31" t="s">
        <v>636</v>
      </c>
      <c r="AC55" s="31" t="s">
        <v>153</v>
      </c>
      <c r="AD55" s="31" t="s">
        <v>634</v>
      </c>
      <c r="AE55" s="31">
        <v>0</v>
      </c>
      <c r="AF55" s="31">
        <v>1200</v>
      </c>
      <c r="AG55" s="31" t="s">
        <v>650</v>
      </c>
      <c r="AH55" s="31">
        <v>3</v>
      </c>
      <c r="AI55" cm="1">
        <f t="array" ref="AI55">_xlfn.IFS(AF55="NR", "NA", AG55="NR", "NA", AG55="NA","NA", AND(AG55="mg/ml", AH55&lt;&gt;"NR"), ((AF55/2492)*AH55*1000000), AND(AG55="mol/L", AH55&lt;&gt;"NR"), AF55*AH55*1000000, AG55="nmol", AF55*1000, AND(AG55="nmol/uL", AH55&lt;&gt;"NR"), AF55*AH55*1000, AG55="pg", AF55/2492, AG55="pmol", AF55, AND(AG55="pmol/uL", AH55&lt;&gt;"NR"), AF55*AH55, AG55="ug", AF55/2492*1000000, AND(AG55="ug/mL", AH55&lt;&gt;"NR"), (AF55/1000*AH55)/2492*1000000, AND(AG55="ug/uL", AH55&lt;&gt;"NR"), (AF55*AH55)/2492*1000000, AND(AG55="umol/L", AH55&lt;&gt;"NR"), AH55*AF55, TRUE, "NA")</f>
        <v>1200</v>
      </c>
      <c r="AJ55" s="31">
        <v>10</v>
      </c>
      <c r="AK55" s="31">
        <v>1</v>
      </c>
      <c r="AL55" s="31" t="s">
        <v>9</v>
      </c>
      <c r="AM55" s="31" t="s">
        <v>8</v>
      </c>
      <c r="AN55" s="31" t="s">
        <v>9</v>
      </c>
      <c r="AO55" s="32" t="s">
        <v>304</v>
      </c>
      <c r="AP55" t="s">
        <v>1228</v>
      </c>
      <c r="AQ55" s="31">
        <v>168</v>
      </c>
      <c r="AR55" s="31" t="s">
        <v>103</v>
      </c>
      <c r="AS55" s="32">
        <v>2184</v>
      </c>
      <c r="AT55" s="31" t="s">
        <v>271</v>
      </c>
      <c r="AU55" s="31" t="s">
        <v>652</v>
      </c>
      <c r="AV55" s="31" t="s">
        <v>674</v>
      </c>
      <c r="AW55" s="31">
        <v>51.52</v>
      </c>
      <c r="AX55" s="31">
        <v>9.3800000000000008</v>
      </c>
      <c r="AY55" s="31">
        <v>29.06</v>
      </c>
      <c r="AZ55" s="31">
        <v>10.53</v>
      </c>
      <c r="BA55" s="31" t="s">
        <v>656</v>
      </c>
      <c r="BB55" s="31" t="s">
        <v>123</v>
      </c>
      <c r="BC55" cm="1">
        <f t="array" ref="BC55">_xlfn.IFS(BA55="Direct rLV % whole brain", AW55, BA55="Indirect rLV % whole brain", AW55, BA55="Direct rLV % hemisphere", AW55/2, BA55="Indirect rLV % hemisphere", AW55/2, AND(F55="Mouse", BA55="mm3"), (AW55/508.91)*100, AND(F55="Rat", BA55="mm3"), (AW55/1971)*100, AND(F55="Mouse", BA55="ul"), (AW55/508.91)*100, AND(F55="Rat", BA55="ul"), (AW55/1971)*100,  AND(F55="Mouse", BA55="nl"), (AW55/508910)*100, AND(F55="Rat", BA55="nl"), (AW55/1971000)*100, AND(F55="Mouse", BA55="cm3"), (AW55/0.50891)*100, AND(F55="Rat", BA55="cm3"), (AW55/1.971)*100, AND(F55="Mouse", BA55="mL"), (AW55/0.50891)*100, AND(F55="Rat", BA55="mL"), (AW55/1.971)*100, TRUE, "NA")</f>
        <v>2.6139015728056822</v>
      </c>
      <c r="BD55" cm="1">
        <f t="array" ref="BD55">_xlfn.IFS(AZ55="NA", "NA",BA55="Direct rLV % whole brain", AY55, BA55="Indirect rLV % whole brain", AY55, BA55="Direct rLV % hemisphere", AY55/2, BA55="Indirect rLV % hemisphere", AY55/2, AND(F55="Mouse", BA55="mm3"), (AY55/508.91)*100, AND(F55="Rat", BA55="mm3"), (AY55/1971)*100, AND(F55="Mouse", BA55="ul"), (AY55/508.91)*100, AND(F55="Rat", BA55="ul"), (AY55/1971)*100,  AND(F55="Mouse", BA55="nl"), (AY55/508910)*100, AND(F55="Rat", BA55="nl"), (AY55/1971000)*100, AND(F55="Mouse", BA55="cm3"), (AY55/0.50891)*100, AND(F55="Rat", BA55="cm3"), (AY55/1.971)*100, AND(F55="Mouse", BA55="mL"), (AY55/0.50891)*100, AND(F55="Rat", BA55="mL"), (AY55/1.971)*100, TRUE, "NA")</f>
        <v>1.474378488077118</v>
      </c>
      <c r="BE55" cm="1">
        <f t="array" ref="BE55">_xlfn.IFS(AX55="NA", "NA", BB55="NR", "NA", BB55="SD", AX55, BB55="SE", AX55*(SQRT(R55)), BB55="SEM", AX55*(SQRT(R55)), TRUE, "NA")</f>
        <v>24.817147297785862</v>
      </c>
      <c r="BF55" cm="1">
        <f t="array" ref="BF55">_xlfn.IFS(BE55="NA", "NA",BA55="Direct rLV % whole brain", BE55, BA55="Indirect rLV % whole brain", BE55, BA55="Direct rLV % hemisphere", BE55/2, BA55="Indirect rLV % hemisphere", BE55/2, AND(F55="Mouse", BA55="mm3"), (BE55/508.91)*100, AND(F55="Rat", BA55="mm3"), (BE55/1971)*100, AND(F55="Mouse", BA55="ul"), (BE55/508.91)*100, AND(F55="Rat", BA55="ul"), (BE55/1971)*100,  AND(F55="Mouse", BA55="nl"), (BE55/508910)*100, AND(F55="Rat", BA55="nl"), (BE55/1971000)*100, AND(F55="Mouse", BA55="cm3"), (BE55/0.50891)*100, AND(F55="Rat", BA55="cm3"), (BE55/1.971)*100, AND(F55="Mouse", BA55="mL"), (BE55/0.50891)*100, AND(F55="Rat", BA55="mL"), (BE55/1.971)*100, TRUE, "NA")</f>
        <v>1.2591145255091762</v>
      </c>
      <c r="BG55" cm="1">
        <f t="array" ref="BG55">_xlfn.IFS(AZ55="NA", "NA", BB55="NR", "NA", BB55="SD", AZ55, BB55="SE", AZ55*(SQRT(R55)), BB55="SEM", AZ55*(SQRT(R55)), TRUE, "NA")</f>
        <v>27.859761305510137</v>
      </c>
      <c r="BH55" s="32" t="s">
        <v>153</v>
      </c>
      <c r="BI55" s="31" t="s">
        <v>153</v>
      </c>
      <c r="BJ55" s="31" t="s">
        <v>154</v>
      </c>
      <c r="BK55" s="31" t="s">
        <v>814</v>
      </c>
    </row>
    <row r="56" spans="1:63" x14ac:dyDescent="0.3">
      <c r="A56" t="s">
        <v>816</v>
      </c>
      <c r="B56" t="s">
        <v>815</v>
      </c>
      <c r="C56">
        <v>2000</v>
      </c>
      <c r="D56" t="s">
        <v>817</v>
      </c>
      <c r="E56" t="s">
        <v>647</v>
      </c>
      <c r="F56" t="s">
        <v>23</v>
      </c>
      <c r="G56" t="s">
        <v>9</v>
      </c>
      <c r="H56" t="s">
        <v>9</v>
      </c>
      <c r="I56" t="s">
        <v>12</v>
      </c>
      <c r="J56" t="s">
        <v>8</v>
      </c>
      <c r="K56" t="s">
        <v>9</v>
      </c>
      <c r="L56" t="s">
        <v>9</v>
      </c>
      <c r="M56" t="s">
        <v>9</v>
      </c>
      <c r="N56" t="s">
        <v>9</v>
      </c>
      <c r="O56" t="s">
        <v>9</v>
      </c>
      <c r="P56" t="s">
        <v>9</v>
      </c>
      <c r="Q56">
        <v>1</v>
      </c>
      <c r="R56">
        <v>12.5</v>
      </c>
      <c r="S56">
        <v>2</v>
      </c>
      <c r="T56">
        <v>12.5</v>
      </c>
      <c r="U56" s="18" t="s">
        <v>9</v>
      </c>
      <c r="V56" t="s">
        <v>8</v>
      </c>
      <c r="W56" t="s">
        <v>8</v>
      </c>
      <c r="X56" t="s">
        <v>9</v>
      </c>
      <c r="Y56" t="s">
        <v>8</v>
      </c>
      <c r="Z56" t="s">
        <v>8</v>
      </c>
      <c r="AA56" t="s">
        <v>648</v>
      </c>
      <c r="AB56" t="s">
        <v>636</v>
      </c>
      <c r="AC56" t="s">
        <v>153</v>
      </c>
      <c r="AD56" t="s">
        <v>634</v>
      </c>
      <c r="AE56">
        <v>0</v>
      </c>
      <c r="AF56">
        <v>200</v>
      </c>
      <c r="AG56" t="s">
        <v>650</v>
      </c>
      <c r="AH56">
        <v>3</v>
      </c>
      <c r="AI56" cm="1">
        <f t="array" ref="AI56">_xlfn.IFS(AF56="NR", "NA", AG56="NR", "NA", AG56="NA","NA", AND(AG56="mg/ml", AH56&lt;&gt;"NR"), ((AF56/2492)*AH56*1000000), AND(AG56="mol/L", AH56&lt;&gt;"NR"), AF56*AH56*1000000, AG56="nmol", AF56*1000, AND(AG56="nmol/uL", AH56&lt;&gt;"NR"), AF56*AH56*1000, AG56="pg", AF56/2492, AG56="pmol", AF56, AND(AG56="pmol/uL", AH56&lt;&gt;"NR"), AF56*AH56, AG56="ug", AF56/2492*1000000, AND(AG56="ug/mL", AH56&lt;&gt;"NR"), (AF56/1000*AH56)/2492*1000000, AND(AG56="ug/uL", AH56&lt;&gt;"NR"), (AF56*AH56)/2492*1000000, AND(AG56="umol/L", AH56&lt;&gt;"NR"), AH56*AF56, TRUE, "NA")</f>
        <v>200</v>
      </c>
      <c r="AJ56">
        <v>3</v>
      </c>
      <c r="AK56">
        <v>1</v>
      </c>
      <c r="AL56" t="s">
        <v>9</v>
      </c>
      <c r="AM56" t="s">
        <v>8</v>
      </c>
      <c r="AN56" t="s">
        <v>9</v>
      </c>
      <c r="AO56" s="18" t="s">
        <v>176</v>
      </c>
      <c r="AP56" t="s">
        <v>1228</v>
      </c>
      <c r="AQ56">
        <v>0</v>
      </c>
      <c r="AR56" t="s">
        <v>102</v>
      </c>
      <c r="AS56" s="18">
        <v>72</v>
      </c>
      <c r="AT56" t="s">
        <v>271</v>
      </c>
      <c r="AU56" t="s">
        <v>652</v>
      </c>
      <c r="AV56" t="s">
        <v>679</v>
      </c>
      <c r="AW56">
        <v>142.59</v>
      </c>
      <c r="AX56">
        <v>9.4</v>
      </c>
      <c r="AY56">
        <v>95.76</v>
      </c>
      <c r="AZ56">
        <v>9.75</v>
      </c>
      <c r="BA56" t="s">
        <v>656</v>
      </c>
      <c r="BB56" t="s">
        <v>123</v>
      </c>
      <c r="BC56" cm="1">
        <f t="array" ref="BC56">_xlfn.IFS(BA56="Direct rLV % whole brain", AW56, BA56="Indirect rLV % whole brain", AW56, BA56="Direct rLV % hemisphere", AW56/2, BA56="Indirect rLV % hemisphere", AW56/2, AND(F56="Mouse", BA56="mm3"), (AW56/508.91)*100, AND(F56="Rat", BA56="mm3"), (AW56/1971)*100, AND(F56="Mouse", BA56="ul"), (AW56/508.91)*100, AND(F56="Rat", BA56="ul"), (AW56/1971)*100,  AND(F56="Mouse", BA56="nl"), (AW56/508910)*100, AND(F56="Rat", BA56="nl"), (AW56/1971000)*100, AND(F56="Mouse", BA56="cm3"), (AW56/0.50891)*100, AND(F56="Rat", BA56="cm3"), (AW56/1.971)*100, AND(F56="Mouse", BA56="mL"), (AW56/0.50891)*100, AND(F56="Rat", BA56="mL"), (AW56/1.971)*100, TRUE, "NA")</f>
        <v>7.2343987823439884</v>
      </c>
      <c r="BD56" cm="1">
        <f t="array" ref="BD56">_xlfn.IFS(AZ56="NA", "NA",BA56="Direct rLV % whole brain", AY56, BA56="Indirect rLV % whole brain", AY56, BA56="Direct rLV % hemisphere", AY56/2, BA56="Indirect rLV % hemisphere", AY56/2, AND(F56="Mouse", BA56="mm3"), (AY56/508.91)*100, AND(F56="Rat", BA56="mm3"), (AY56/1971)*100, AND(F56="Mouse", BA56="ul"), (AY56/508.91)*100, AND(F56="Rat", BA56="ul"), (AY56/1971)*100,  AND(F56="Mouse", BA56="nl"), (AY56/508910)*100, AND(F56="Rat", BA56="nl"), (AY56/1971000)*100, AND(F56="Mouse", BA56="cm3"), (AY56/0.50891)*100, AND(F56="Rat", BA56="cm3"), (AY56/1.971)*100, AND(F56="Mouse", BA56="mL"), (AY56/0.50891)*100, AND(F56="Rat", BA56="mL"), (AY56/1.971)*100, TRUE, "NA")</f>
        <v>4.8584474885844751</v>
      </c>
      <c r="BE56" cm="1">
        <f t="array" ref="BE56">_xlfn.IFS(AX56="NA", "NA", BB56="NR", "NA", BB56="SD", AX56, BB56="SE", AX56*(SQRT(R56)), BB56="SEM", AX56*(SQRT(R56)), TRUE, "NA")</f>
        <v>33.234018715767739</v>
      </c>
      <c r="BF56" cm="1">
        <f t="array" ref="BF56">_xlfn.IFS(BE56="NA", "NA",BA56="Direct rLV % whole brain", BE56, BA56="Indirect rLV % whole brain", BE56, BA56="Direct rLV % hemisphere", BE56/2, BA56="Indirect rLV % hemisphere", BE56/2, AND(F56="Mouse", BA56="mm3"), (BE56/508.91)*100, AND(F56="Rat", BA56="mm3"), (BE56/1971)*100, AND(F56="Mouse", BA56="ul"), (BE56/508.91)*100, AND(F56="Rat", BA56="ul"), (BE56/1971)*100,  AND(F56="Mouse", BA56="nl"), (BE56/508910)*100, AND(F56="Rat", BA56="nl"), (BE56/1971000)*100, AND(F56="Mouse", BA56="cm3"), (BE56/0.50891)*100, AND(F56="Rat", BA56="cm3"), (BE56/1.971)*100, AND(F56="Mouse", BA56="mL"), (BE56/0.50891)*100, AND(F56="Rat", BA56="mL"), (BE56/1.971)*100, TRUE, "NA")</f>
        <v>1.6861501124184546</v>
      </c>
      <c r="BG56" cm="1">
        <f t="array" ref="BG56">_xlfn.IFS(AZ56="NA", "NA", BB56="NR", "NA", BB56="SD", AZ56, BB56="SE", AZ56*(SQRT(R56)), BB56="SEM", AZ56*(SQRT(R56)), TRUE, "NA")</f>
        <v>34.471455582844193</v>
      </c>
      <c r="BH56" s="18" t="s">
        <v>154</v>
      </c>
      <c r="BI56" t="s">
        <v>154</v>
      </c>
      <c r="BJ56" t="s">
        <v>154</v>
      </c>
    </row>
    <row r="57" spans="1:63" x14ac:dyDescent="0.3">
      <c r="A57" t="s">
        <v>816</v>
      </c>
      <c r="B57" t="s">
        <v>815</v>
      </c>
      <c r="C57">
        <v>2000</v>
      </c>
      <c r="D57" t="s">
        <v>817</v>
      </c>
      <c r="E57" t="s">
        <v>678</v>
      </c>
      <c r="F57" t="s">
        <v>23</v>
      </c>
      <c r="G57" t="s">
        <v>9</v>
      </c>
      <c r="H57" t="s">
        <v>9</v>
      </c>
      <c r="I57" t="s">
        <v>12</v>
      </c>
      <c r="J57" t="s">
        <v>8</v>
      </c>
      <c r="K57" t="s">
        <v>9</v>
      </c>
      <c r="L57" t="s">
        <v>9</v>
      </c>
      <c r="M57" t="s">
        <v>9</v>
      </c>
      <c r="N57" t="s">
        <v>9</v>
      </c>
      <c r="O57" t="s">
        <v>9</v>
      </c>
      <c r="P57" t="s">
        <v>9</v>
      </c>
      <c r="Q57">
        <v>1</v>
      </c>
      <c r="R57">
        <v>12.5</v>
      </c>
      <c r="S57">
        <v>2</v>
      </c>
      <c r="T57">
        <v>12.5</v>
      </c>
      <c r="U57" s="18" t="s">
        <v>9</v>
      </c>
      <c r="V57" t="s">
        <v>8</v>
      </c>
      <c r="W57" t="s">
        <v>8</v>
      </c>
      <c r="X57" t="s">
        <v>9</v>
      </c>
      <c r="Y57" t="s">
        <v>8</v>
      </c>
      <c r="Z57" t="s">
        <v>8</v>
      </c>
      <c r="AA57" t="s">
        <v>648</v>
      </c>
      <c r="AB57" t="s">
        <v>636</v>
      </c>
      <c r="AC57" t="s">
        <v>153</v>
      </c>
      <c r="AD57" t="s">
        <v>634</v>
      </c>
      <c r="AE57">
        <v>0</v>
      </c>
      <c r="AF57">
        <v>200</v>
      </c>
      <c r="AG57" t="s">
        <v>650</v>
      </c>
      <c r="AH57">
        <v>3</v>
      </c>
      <c r="AI57" cm="1">
        <f t="array" ref="AI57">_xlfn.IFS(AF57="NR", "NA", AG57="NR", "NA", AG57="NA","NA", AND(AG57="mg/ml", AH57&lt;&gt;"NR"), ((AF57/2492)*AH57*1000000), AND(AG57="mol/L", AH57&lt;&gt;"NR"), AF57*AH57*1000000, AG57="nmol", AF57*1000, AND(AG57="nmol/uL", AH57&lt;&gt;"NR"), AF57*AH57*1000, AG57="pg", AF57/2492, AG57="pmol", AF57, AND(AG57="pmol/uL", AH57&lt;&gt;"NR"), AF57*AH57, AG57="ug", AF57/2492*1000000, AND(AG57="ug/mL", AH57&lt;&gt;"NR"), (AF57/1000*AH57)/2492*1000000, AND(AG57="ug/uL", AH57&lt;&gt;"NR"), (AF57*AH57)/2492*1000000, AND(AG57="umol/L", AH57&lt;&gt;"NR"), AH57*AF57, TRUE, "NA")</f>
        <v>200</v>
      </c>
      <c r="AJ57">
        <v>3</v>
      </c>
      <c r="AK57">
        <v>1</v>
      </c>
      <c r="AL57" t="s">
        <v>9</v>
      </c>
      <c r="AM57" t="s">
        <v>8</v>
      </c>
      <c r="AN57" t="s">
        <v>9</v>
      </c>
      <c r="AO57" s="18" t="s">
        <v>818</v>
      </c>
      <c r="AP57" t="s">
        <v>1228</v>
      </c>
      <c r="AQ57">
        <v>0</v>
      </c>
      <c r="AR57" t="s">
        <v>102</v>
      </c>
      <c r="AS57" s="18">
        <v>72</v>
      </c>
      <c r="AT57" t="s">
        <v>271</v>
      </c>
      <c r="AU57" t="s">
        <v>652</v>
      </c>
      <c r="AV57" t="s">
        <v>679</v>
      </c>
      <c r="AW57">
        <v>142.59</v>
      </c>
      <c r="AX57">
        <v>9.4</v>
      </c>
      <c r="AY57">
        <v>104.6</v>
      </c>
      <c r="AZ57">
        <v>6.84</v>
      </c>
      <c r="BA57" t="s">
        <v>656</v>
      </c>
      <c r="BB57" t="s">
        <v>123</v>
      </c>
      <c r="BC57" cm="1">
        <f t="array" ref="BC57">_xlfn.IFS(BA57="Direct rLV % whole brain", AW57, BA57="Indirect rLV % whole brain", AW57, BA57="Direct rLV % hemisphere", AW57/2, BA57="Indirect rLV % hemisphere", AW57/2, AND(F57="Mouse", BA57="mm3"), (AW57/508.91)*100, AND(F57="Rat", BA57="mm3"), (AW57/1971)*100, AND(F57="Mouse", BA57="ul"), (AW57/508.91)*100, AND(F57="Rat", BA57="ul"), (AW57/1971)*100,  AND(F57="Mouse", BA57="nl"), (AW57/508910)*100, AND(F57="Rat", BA57="nl"), (AW57/1971000)*100, AND(F57="Mouse", BA57="cm3"), (AW57/0.50891)*100, AND(F57="Rat", BA57="cm3"), (AW57/1.971)*100, AND(F57="Mouse", BA57="mL"), (AW57/0.50891)*100, AND(F57="Rat", BA57="mL"), (AW57/1.971)*100, TRUE, "NA")</f>
        <v>7.2343987823439884</v>
      </c>
      <c r="BD57" cm="1">
        <f t="array" ref="BD57">_xlfn.IFS(AZ57="NA", "NA",BA57="Direct rLV % whole brain", AY57, BA57="Indirect rLV % whole brain", AY57, BA57="Direct rLV % hemisphere", AY57/2, BA57="Indirect rLV % hemisphere", AY57/2, AND(F57="Mouse", BA57="mm3"), (AY57/508.91)*100, AND(F57="Rat", BA57="mm3"), (AY57/1971)*100, AND(F57="Mouse", BA57="ul"), (AY57/508.91)*100, AND(F57="Rat", BA57="ul"), (AY57/1971)*100,  AND(F57="Mouse", BA57="nl"), (AY57/508910)*100, AND(F57="Rat", BA57="nl"), (AY57/1971000)*100, AND(F57="Mouse", BA57="cm3"), (AY57/0.50891)*100, AND(F57="Rat", BA57="cm3"), (AY57/1.971)*100, AND(F57="Mouse", BA57="mL"), (AY57/0.50891)*100, AND(F57="Rat", BA57="mL"), (AY57/1.971)*100, TRUE, "NA")</f>
        <v>5.3069507864028402</v>
      </c>
      <c r="BE57" cm="1">
        <f t="array" ref="BE57">_xlfn.IFS(AX57="NA", "NA", BB57="NR", "NA", BB57="SD", AX57, BB57="SE", AX57*(SQRT(R57)), BB57="SEM", AX57*(SQRT(R57)), TRUE, "NA")</f>
        <v>33.234018715767739</v>
      </c>
      <c r="BF57" cm="1">
        <f t="array" ref="BF57">_xlfn.IFS(BE57="NA", "NA",BA57="Direct rLV % whole brain", BE57, BA57="Indirect rLV % whole brain", BE57, BA57="Direct rLV % hemisphere", BE57/2, BA57="Indirect rLV % hemisphere", BE57/2, AND(F57="Mouse", BA57="mm3"), (BE57/508.91)*100, AND(F57="Rat", BA57="mm3"), (BE57/1971)*100, AND(F57="Mouse", BA57="ul"), (BE57/508.91)*100, AND(F57="Rat", BA57="ul"), (BE57/1971)*100,  AND(F57="Mouse", BA57="nl"), (BE57/508910)*100, AND(F57="Rat", BA57="nl"), (BE57/1971000)*100, AND(F57="Mouse", BA57="cm3"), (BE57/0.50891)*100, AND(F57="Rat", BA57="cm3"), (BE57/1.971)*100, AND(F57="Mouse", BA57="mL"), (BE57/0.50891)*100, AND(F57="Rat", BA57="mL"), (BE57/1.971)*100, TRUE, "NA")</f>
        <v>1.6861501124184546</v>
      </c>
      <c r="BG57" cm="1">
        <f t="array" ref="BG57">_xlfn.IFS(AZ57="NA", "NA", BB57="NR", "NA", BB57="SD", AZ57, BB57="SE", AZ57*(SQRT(R57)), BB57="SEM", AZ57*(SQRT(R57)), TRUE, "NA")</f>
        <v>24.183051916579927</v>
      </c>
      <c r="BH57" s="18" t="s">
        <v>154</v>
      </c>
      <c r="BI57" t="s">
        <v>154</v>
      </c>
      <c r="BJ57" t="s">
        <v>154</v>
      </c>
    </row>
    <row r="58" spans="1:63" x14ac:dyDescent="0.3">
      <c r="A58" t="s">
        <v>816</v>
      </c>
      <c r="B58" t="s">
        <v>815</v>
      </c>
      <c r="C58">
        <v>2000</v>
      </c>
      <c r="D58" t="s">
        <v>817</v>
      </c>
      <c r="E58" t="s">
        <v>699</v>
      </c>
      <c r="F58" t="s">
        <v>23</v>
      </c>
      <c r="G58" t="s">
        <v>9</v>
      </c>
      <c r="H58" t="s">
        <v>9</v>
      </c>
      <c r="I58" t="s">
        <v>12</v>
      </c>
      <c r="J58" t="s">
        <v>8</v>
      </c>
      <c r="K58" t="s">
        <v>9</v>
      </c>
      <c r="L58" t="s">
        <v>9</v>
      </c>
      <c r="M58" t="s">
        <v>9</v>
      </c>
      <c r="N58" t="s">
        <v>9</v>
      </c>
      <c r="O58" t="s">
        <v>9</v>
      </c>
      <c r="P58" t="s">
        <v>9</v>
      </c>
      <c r="Q58">
        <v>1</v>
      </c>
      <c r="R58">
        <v>12.5</v>
      </c>
      <c r="S58">
        <v>1</v>
      </c>
      <c r="T58">
        <v>12.5</v>
      </c>
      <c r="U58" s="18" t="s">
        <v>9</v>
      </c>
      <c r="V58" t="s">
        <v>8</v>
      </c>
      <c r="W58" t="s">
        <v>8</v>
      </c>
      <c r="X58" t="s">
        <v>9</v>
      </c>
      <c r="Y58" t="s">
        <v>8</v>
      </c>
      <c r="Z58" t="s">
        <v>8</v>
      </c>
      <c r="AA58" t="s">
        <v>648</v>
      </c>
      <c r="AB58" t="s">
        <v>636</v>
      </c>
      <c r="AC58" t="s">
        <v>153</v>
      </c>
      <c r="AD58" t="s">
        <v>634</v>
      </c>
      <c r="AE58">
        <v>0</v>
      </c>
      <c r="AF58">
        <v>200</v>
      </c>
      <c r="AG58" t="s">
        <v>650</v>
      </c>
      <c r="AH58">
        <v>3</v>
      </c>
      <c r="AI58" cm="1">
        <f t="array" ref="AI58">_xlfn.IFS(AF58="NR", "NA", AG58="NR", "NA", AG58="NA","NA", AND(AG58="mg/ml", AH58&lt;&gt;"NR"), ((AF58/2492)*AH58*1000000), AND(AG58="mol/L", AH58&lt;&gt;"NR"), AF58*AH58*1000000, AG58="nmol", AF58*1000, AND(AG58="nmol/uL", AH58&lt;&gt;"NR"), AF58*AH58*1000, AG58="pg", AF58/2492, AG58="pmol", AF58, AND(AG58="pmol/uL", AH58&lt;&gt;"NR"), AF58*AH58, AG58="ug", AF58/2492*1000000, AND(AG58="ug/mL", AH58&lt;&gt;"NR"), (AF58/1000*AH58)/2492*1000000, AND(AG58="ug/uL", AH58&lt;&gt;"NR"), (AF58*AH58)/2492*1000000, AND(AG58="umol/L", AH58&lt;&gt;"NR"), AH58*AF58, TRUE, "NA")</f>
        <v>200</v>
      </c>
      <c r="AJ58">
        <v>3</v>
      </c>
      <c r="AK58">
        <v>1</v>
      </c>
      <c r="AL58" t="s">
        <v>9</v>
      </c>
      <c r="AM58" t="s">
        <v>8</v>
      </c>
      <c r="AN58" t="s">
        <v>9</v>
      </c>
      <c r="AO58" s="18" t="s">
        <v>819</v>
      </c>
      <c r="AP58" t="s">
        <v>1228</v>
      </c>
      <c r="AQ58">
        <v>0</v>
      </c>
      <c r="AR58" t="s">
        <v>102</v>
      </c>
      <c r="AS58" s="18">
        <v>72</v>
      </c>
      <c r="AT58" t="s">
        <v>271</v>
      </c>
      <c r="AU58" t="s">
        <v>652</v>
      </c>
      <c r="AV58" t="s">
        <v>728</v>
      </c>
      <c r="AW58">
        <v>174.02</v>
      </c>
      <c r="AX58">
        <v>14.1</v>
      </c>
      <c r="AY58">
        <v>112.79</v>
      </c>
      <c r="AZ58">
        <v>14.7</v>
      </c>
      <c r="BA58" t="s">
        <v>656</v>
      </c>
      <c r="BB58" t="s">
        <v>123</v>
      </c>
      <c r="BC58" cm="1">
        <f t="array" ref="BC58">_xlfn.IFS(BA58="Direct rLV % whole brain", AW58, BA58="Indirect rLV % whole brain", AW58, BA58="Direct rLV % hemisphere", AW58/2, BA58="Indirect rLV % hemisphere", AW58/2, AND(F58="Mouse", BA58="mm3"), (AW58/508.91)*100, AND(F58="Rat", BA58="mm3"), (AW58/1971)*100, AND(F58="Mouse", BA58="ul"), (AW58/508.91)*100, AND(F58="Rat", BA58="ul"), (AW58/1971)*100,  AND(F58="Mouse", BA58="nl"), (AW58/508910)*100, AND(F58="Rat", BA58="nl"), (AW58/1971000)*100, AND(F58="Mouse", BA58="cm3"), (AW58/0.50891)*100, AND(F58="Rat", BA58="cm3"), (AW58/1.971)*100, AND(F58="Mouse", BA58="mL"), (AW58/0.50891)*100, AND(F58="Rat", BA58="mL"), (AW58/1.971)*100, TRUE, "NA")</f>
        <v>8.8290208016235425</v>
      </c>
      <c r="BD58" cm="1">
        <f t="array" ref="BD58">_xlfn.IFS(AZ58="NA", "NA",BA58="Direct rLV % whole brain", AY58, BA58="Indirect rLV % whole brain", AY58, BA58="Direct rLV % hemisphere", AY58/2, BA58="Indirect rLV % hemisphere", AY58/2, AND(F58="Mouse", BA58="mm3"), (AY58/508.91)*100, AND(F58="Rat", BA58="mm3"), (AY58/1971)*100, AND(F58="Mouse", BA58="ul"), (AY58/508.91)*100, AND(F58="Rat", BA58="ul"), (AY58/1971)*100,  AND(F58="Mouse", BA58="nl"), (AY58/508910)*100, AND(F58="Rat", BA58="nl"), (AY58/1971000)*100, AND(F58="Mouse", BA58="cm3"), (AY58/0.50891)*100, AND(F58="Rat", BA58="cm3"), (AY58/1.971)*100, AND(F58="Mouse", BA58="mL"), (AY58/0.50891)*100, AND(F58="Rat", BA58="mL"), (AY58/1.971)*100, TRUE, "NA")</f>
        <v>5.7224759005580923</v>
      </c>
      <c r="BE58" cm="1">
        <f t="array" ref="BE58">_xlfn.IFS(AX58="NA", "NA", BB58="NR", "NA", BB58="SD", AX58, BB58="SE", AX58*(SQRT(R58)), BB58="SEM", AX58*(SQRT(R58)), TRUE, "NA")</f>
        <v>49.851028073651598</v>
      </c>
      <c r="BF58" cm="1">
        <f t="array" ref="BF58">_xlfn.IFS(BE58="NA", "NA",BA58="Direct rLV % whole brain", BE58, BA58="Indirect rLV % whole brain", BE58, BA58="Direct rLV % hemisphere", BE58/2, BA58="Indirect rLV % hemisphere", BE58/2, AND(F58="Mouse", BA58="mm3"), (BE58/508.91)*100, AND(F58="Rat", BA58="mm3"), (BE58/1971)*100, AND(F58="Mouse", BA58="ul"), (BE58/508.91)*100, AND(F58="Rat", BA58="ul"), (BE58/1971)*100,  AND(F58="Mouse", BA58="nl"), (BE58/508910)*100, AND(F58="Rat", BA58="nl"), (BE58/1971000)*100, AND(F58="Mouse", BA58="cm3"), (BE58/0.50891)*100, AND(F58="Rat", BA58="cm3"), (BE58/1.971)*100, AND(F58="Mouse", BA58="mL"), (BE58/0.50891)*100, AND(F58="Rat", BA58="mL"), (BE58/1.971)*100, TRUE, "NA")</f>
        <v>2.529225168627681</v>
      </c>
      <c r="BG58" cm="1">
        <f t="array" ref="BG58">_xlfn.IFS(AZ58="NA", "NA", BB58="NR", "NA", BB58="SD", AZ58, BB58="SE", AZ58*(SQRT(R58)), BB58="SEM", AZ58*(SQRT(R58)), TRUE, "NA")</f>
        <v>51.972348417211244</v>
      </c>
      <c r="BH58" s="18" t="s">
        <v>154</v>
      </c>
      <c r="BI58" t="s">
        <v>154</v>
      </c>
      <c r="BJ58" t="s">
        <v>154</v>
      </c>
    </row>
    <row r="59" spans="1:63" s="31" customFormat="1" x14ac:dyDescent="0.3">
      <c r="A59" s="31" t="s">
        <v>821</v>
      </c>
      <c r="B59" s="31" t="s">
        <v>820</v>
      </c>
      <c r="C59" s="31">
        <v>2007</v>
      </c>
      <c r="D59" s="31" t="s">
        <v>822</v>
      </c>
      <c r="E59" s="31" t="s">
        <v>647</v>
      </c>
      <c r="F59" s="31" t="s">
        <v>23</v>
      </c>
      <c r="G59" s="31" t="s">
        <v>10</v>
      </c>
      <c r="H59" s="31" t="s">
        <v>34</v>
      </c>
      <c r="I59" s="31" t="s">
        <v>12</v>
      </c>
      <c r="J59" s="31" t="s">
        <v>8</v>
      </c>
      <c r="K59" s="31" t="s">
        <v>9</v>
      </c>
      <c r="L59" s="31" t="s">
        <v>9</v>
      </c>
      <c r="M59" s="31" t="s">
        <v>9</v>
      </c>
      <c r="N59" s="31">
        <v>280</v>
      </c>
      <c r="O59" s="31">
        <f>AVERAGE(N59,P59)</f>
        <v>300</v>
      </c>
      <c r="P59" s="31">
        <v>320</v>
      </c>
      <c r="Q59" s="31">
        <v>1</v>
      </c>
      <c r="R59" s="31">
        <v>9</v>
      </c>
      <c r="S59" s="31">
        <v>1</v>
      </c>
      <c r="T59" s="31">
        <v>8</v>
      </c>
      <c r="U59" s="32" t="s">
        <v>111</v>
      </c>
      <c r="V59" s="31" t="s">
        <v>8</v>
      </c>
      <c r="W59" s="31" t="s">
        <v>8</v>
      </c>
      <c r="X59" s="31" t="s">
        <v>111</v>
      </c>
      <c r="Y59" s="31" t="s">
        <v>8</v>
      </c>
      <c r="Z59" s="31" t="s">
        <v>8</v>
      </c>
      <c r="AA59" s="31" t="s">
        <v>640</v>
      </c>
      <c r="AB59" s="31" t="s">
        <v>636</v>
      </c>
      <c r="AC59" s="31" t="s">
        <v>154</v>
      </c>
      <c r="AD59" s="31" t="s">
        <v>634</v>
      </c>
      <c r="AE59" s="31">
        <v>0</v>
      </c>
      <c r="AF59" s="31" t="s">
        <v>9</v>
      </c>
      <c r="AG59" s="31" t="s">
        <v>8</v>
      </c>
      <c r="AH59" s="31">
        <v>3</v>
      </c>
      <c r="AI59" t="str" cm="1">
        <f t="array" ref="AI59">_xlfn.IFS(AF59="NR", "NA", AG59="NR", "NA", AG59="NA","NA", AND(AG59="mg/ml", AH59&lt;&gt;"NR"), ((AF59/2492)*AH59*1000000), AND(AG59="mol/L", AH59&lt;&gt;"NR"), AF59*AH59*1000000, AG59="nmol", AF59*1000, AND(AG59="nmol/uL", AH59&lt;&gt;"NR"), AF59*AH59*1000, AG59="pg", AF59/2492, AG59="pmol", AF59, AND(AG59="pmol/uL", AH59&lt;&gt;"NR"), AF59*AH59, AG59="ug", AF59/2492*1000000, AND(AG59="ug/mL", AH59&lt;&gt;"NR"), (AF59/1000*AH59)/2492*1000000, AND(AG59="ug/uL", AH59&lt;&gt;"NR"), (AF59*AH59)/2492*1000000, AND(AG59="umol/L", AH59&lt;&gt;"NR"), AH59*AF59, TRUE, "NA")</f>
        <v>NA</v>
      </c>
      <c r="AJ59" s="31">
        <v>5</v>
      </c>
      <c r="AK59" s="31">
        <v>1</v>
      </c>
      <c r="AL59" s="31" t="s">
        <v>9</v>
      </c>
      <c r="AM59" s="31" t="s">
        <v>8</v>
      </c>
      <c r="AN59" s="31" t="s">
        <v>9</v>
      </c>
      <c r="AO59" s="32" t="s">
        <v>823</v>
      </c>
      <c r="AP59" t="s">
        <v>1228</v>
      </c>
      <c r="AQ59" s="31">
        <v>1</v>
      </c>
      <c r="AR59" s="31" t="s">
        <v>103</v>
      </c>
      <c r="AS59" s="32">
        <v>24</v>
      </c>
      <c r="AT59" s="31" t="s">
        <v>270</v>
      </c>
      <c r="AU59" s="31" t="s">
        <v>8</v>
      </c>
      <c r="AV59" s="31" t="s">
        <v>728</v>
      </c>
      <c r="AW59" s="31">
        <v>13.41</v>
      </c>
      <c r="AX59" s="31">
        <v>2.74</v>
      </c>
      <c r="AY59" s="31">
        <v>5.44</v>
      </c>
      <c r="AZ59" s="31">
        <v>2.08</v>
      </c>
      <c r="BA59" s="31" t="s">
        <v>200</v>
      </c>
      <c r="BB59" s="31" t="s">
        <v>122</v>
      </c>
      <c r="BC59" cm="1">
        <f t="array" ref="BC59">_xlfn.IFS(BA59="Direct rLV % whole brain", AW59, BA59="Indirect rLV % whole brain", AW59, BA59="Direct rLV % hemisphere", AW59/2, BA59="Indirect rLV % hemisphere", AW59/2, AND(F59="Mouse", BA59="mm3"), (AW59/508.91)*100, AND(F59="Rat", BA59="mm3"), (AW59/1971)*100, AND(F59="Mouse", BA59="ul"), (AW59/508.91)*100, AND(F59="Rat", BA59="ul"), (AW59/1971)*100,  AND(F59="Mouse", BA59="nl"), (AW59/508910)*100, AND(F59="Rat", BA59="nl"), (AW59/1971000)*100, AND(F59="Mouse", BA59="cm3"), (AW59/0.50891)*100, AND(F59="Rat", BA59="cm3"), (AW59/1.971)*100, AND(F59="Mouse", BA59="mL"), (AW59/0.50891)*100, AND(F59="Rat", BA59="mL"), (AW59/1.971)*100, TRUE, "NA")</f>
        <v>13.41</v>
      </c>
      <c r="BD59" cm="1">
        <f t="array" ref="BD59">_xlfn.IFS(AZ59="NA", "NA",BA59="Direct rLV % whole brain", AY59, BA59="Indirect rLV % whole brain", AY59, BA59="Direct rLV % hemisphere", AY59/2, BA59="Indirect rLV % hemisphere", AY59/2, AND(F59="Mouse", BA59="mm3"), (AY59/508.91)*100, AND(F59="Rat", BA59="mm3"), (AY59/1971)*100, AND(F59="Mouse", BA59="ul"), (AY59/508.91)*100, AND(F59="Rat", BA59="ul"), (AY59/1971)*100,  AND(F59="Mouse", BA59="nl"), (AY59/508910)*100, AND(F59="Rat", BA59="nl"), (AY59/1971000)*100, AND(F59="Mouse", BA59="cm3"), (AY59/0.50891)*100, AND(F59="Rat", BA59="cm3"), (AY59/1.971)*100, AND(F59="Mouse", BA59="mL"), (AY59/0.50891)*100, AND(F59="Rat", BA59="mL"), (AY59/1.971)*100, TRUE, "NA")</f>
        <v>5.44</v>
      </c>
      <c r="BE59" cm="1">
        <f t="array" ref="BE59">_xlfn.IFS(AX59="NA", "NA", BB59="NR", "NA", BB59="SD", AX59, BB59="SE", AX59*(SQRT(R59)), BB59="SEM", AX59*(SQRT(R59)), TRUE, "NA")</f>
        <v>2.74</v>
      </c>
      <c r="BF59" cm="1">
        <f t="array" ref="BF59">_xlfn.IFS(BE59="NA", "NA",BA59="Direct rLV % whole brain", BE59, BA59="Indirect rLV % whole brain", BE59, BA59="Direct rLV % hemisphere", BE59/2, BA59="Indirect rLV % hemisphere", BE59/2, AND(F59="Mouse", BA59="mm3"), (BE59/508.91)*100, AND(F59="Rat", BA59="mm3"), (BE59/1971)*100, AND(F59="Mouse", BA59="ul"), (BE59/508.91)*100, AND(F59="Rat", BA59="ul"), (BE59/1971)*100,  AND(F59="Mouse", BA59="nl"), (BE59/508910)*100, AND(F59="Rat", BA59="nl"), (BE59/1971000)*100, AND(F59="Mouse", BA59="cm3"), (BE59/0.50891)*100, AND(F59="Rat", BA59="cm3"), (BE59/1.971)*100, AND(F59="Mouse", BA59="mL"), (BE59/0.50891)*100, AND(F59="Rat", BA59="mL"), (BE59/1.971)*100, TRUE, "NA")</f>
        <v>2.74</v>
      </c>
      <c r="BG59" cm="1">
        <f t="array" ref="BG59">_xlfn.IFS(AZ59="NA", "NA", BB59="NR", "NA", BB59="SD", AZ59, BB59="SE", AZ59*(SQRT(R59)), BB59="SEM", AZ59*(SQRT(R59)), TRUE, "NA")</f>
        <v>2.08</v>
      </c>
      <c r="BH59" s="32" t="s">
        <v>154</v>
      </c>
      <c r="BI59" s="31" t="s">
        <v>154</v>
      </c>
      <c r="BJ59" s="31" t="s">
        <v>153</v>
      </c>
    </row>
    <row r="60" spans="1:63" x14ac:dyDescent="0.3">
      <c r="A60" t="s">
        <v>825</v>
      </c>
      <c r="B60" t="s">
        <v>824</v>
      </c>
      <c r="C60">
        <v>2020</v>
      </c>
      <c r="D60" t="s">
        <v>826</v>
      </c>
      <c r="E60" t="s">
        <v>647</v>
      </c>
      <c r="F60" t="s">
        <v>23</v>
      </c>
      <c r="G60" t="s">
        <v>10</v>
      </c>
      <c r="H60" t="s">
        <v>34</v>
      </c>
      <c r="I60" t="s">
        <v>12</v>
      </c>
      <c r="J60" t="s">
        <v>8</v>
      </c>
      <c r="K60" t="s">
        <v>9</v>
      </c>
      <c r="L60" t="s">
        <v>9</v>
      </c>
      <c r="M60" t="s">
        <v>9</v>
      </c>
      <c r="N60" t="s">
        <v>8</v>
      </c>
      <c r="O60">
        <v>300</v>
      </c>
      <c r="P60" t="s">
        <v>8</v>
      </c>
      <c r="Q60">
        <v>1</v>
      </c>
      <c r="R60">
        <v>9</v>
      </c>
      <c r="S60">
        <v>2</v>
      </c>
      <c r="T60">
        <v>8</v>
      </c>
      <c r="U60" s="18" t="s">
        <v>68</v>
      </c>
      <c r="V60" t="s">
        <v>8</v>
      </c>
      <c r="W60" t="s">
        <v>8</v>
      </c>
      <c r="X60" t="s">
        <v>68</v>
      </c>
      <c r="Y60" t="s">
        <v>8</v>
      </c>
      <c r="Z60" t="s">
        <v>8</v>
      </c>
      <c r="AA60" t="s">
        <v>640</v>
      </c>
      <c r="AB60" t="s">
        <v>746</v>
      </c>
      <c r="AC60" t="s">
        <v>154</v>
      </c>
      <c r="AD60" t="s">
        <v>634</v>
      </c>
      <c r="AE60">
        <v>0</v>
      </c>
      <c r="AF60">
        <v>400</v>
      </c>
      <c r="AG60" t="s">
        <v>745</v>
      </c>
      <c r="AH60">
        <v>5</v>
      </c>
      <c r="AI60" cm="1">
        <f t="array" ref="AI60">_xlfn.IFS(AF60="NR", "NA", AG60="NR", "NA", AG60="NA","NA", AND(AG60="mg/ml", AH60&lt;&gt;"NR"), ((AF60/2492)*AH60*1000000), AND(AG60="mol/L", AH60&lt;&gt;"NR"), AF60*AH60*1000000, AG60="nmol", AF60*1000, AND(AG60="nmol/uL", AH60&lt;&gt;"NR"), AF60*AH60*1000, AG60="pg", AF60/2492, AG60="pmol", AF60, AND(AG60="pmol/uL", AH60&lt;&gt;"NR"), AF60*AH60, AG60="ug", AF60/2492*1000000, AND(AG60="ug/mL", AH60&lt;&gt;"NR"), (AF60/1000*AH60)/2492*1000000, AND(AG60="ug/uL", AH60&lt;&gt;"NR"), (AF60*AH60)/2492*1000000, AND(AG60="umol/L", AH60&lt;&gt;"NR"), AH60*AF60, TRUE, "NA")</f>
        <v>2000</v>
      </c>
      <c r="AJ60">
        <v>10</v>
      </c>
      <c r="AK60">
        <v>3</v>
      </c>
      <c r="AL60" t="s">
        <v>9</v>
      </c>
      <c r="AM60" t="s">
        <v>8</v>
      </c>
      <c r="AN60" t="s">
        <v>9</v>
      </c>
      <c r="AO60" s="18" t="s">
        <v>497</v>
      </c>
      <c r="AP60" t="s">
        <v>1228</v>
      </c>
      <c r="AQ60">
        <v>-0.25</v>
      </c>
      <c r="AR60" t="s">
        <v>101</v>
      </c>
      <c r="AS60" s="18">
        <v>360</v>
      </c>
      <c r="AT60" t="s">
        <v>271</v>
      </c>
      <c r="AU60" t="s">
        <v>652</v>
      </c>
      <c r="AV60">
        <v>5.0000000000000001E-3</v>
      </c>
      <c r="AW60">
        <v>39.1</v>
      </c>
      <c r="AX60">
        <v>6.1</v>
      </c>
      <c r="AY60">
        <v>19.100000000000001</v>
      </c>
      <c r="AZ60">
        <v>2.4</v>
      </c>
      <c r="BA60" t="s">
        <v>656</v>
      </c>
      <c r="BB60" t="s">
        <v>123</v>
      </c>
      <c r="BC60" cm="1">
        <f t="array" ref="BC60">_xlfn.IFS(BA60="Direct rLV % whole brain", AW60, BA60="Indirect rLV % whole brain", AW60, BA60="Direct rLV % hemisphere", AW60/2, BA60="Indirect rLV % hemisphere", AW60/2, AND(F60="Mouse", BA60="mm3"), (AW60/508.91)*100, AND(F60="Rat", BA60="mm3"), (AW60/1971)*100, AND(F60="Mouse", BA60="ul"), (AW60/508.91)*100, AND(F60="Rat", BA60="ul"), (AW60/1971)*100,  AND(F60="Mouse", BA60="nl"), (AW60/508910)*100, AND(F60="Rat", BA60="nl"), (AW60/1971000)*100, AND(F60="Mouse", BA60="cm3"), (AW60/0.50891)*100, AND(F60="Rat", BA60="cm3"), (AW60/1.971)*100, AND(F60="Mouse", BA60="mL"), (AW60/0.50891)*100, AND(F60="Rat", BA60="mL"), (AW60/1.971)*100, TRUE, "NA")</f>
        <v>1.9837645865043125</v>
      </c>
      <c r="BD60" cm="1">
        <f t="array" ref="BD60">_xlfn.IFS(AZ60="NA", "NA",BA60="Direct rLV % whole brain", AY60, BA60="Indirect rLV % whole brain", AY60, BA60="Direct rLV % hemisphere", AY60/2, BA60="Indirect rLV % hemisphere", AY60/2, AND(F60="Mouse", BA60="mm3"), (AY60/508.91)*100, AND(F60="Rat", BA60="mm3"), (AY60/1971)*100, AND(F60="Mouse", BA60="ul"), (AY60/508.91)*100, AND(F60="Rat", BA60="ul"), (AY60/1971)*100,  AND(F60="Mouse", BA60="nl"), (AY60/508910)*100, AND(F60="Rat", BA60="nl"), (AY60/1971000)*100, AND(F60="Mouse", BA60="cm3"), (AY60/0.50891)*100, AND(F60="Rat", BA60="cm3"), (AY60/1.971)*100, AND(F60="Mouse", BA60="mL"), (AY60/0.50891)*100, AND(F60="Rat", BA60="mL"), (AY60/1.971)*100, TRUE, "NA")</f>
        <v>0.96905124302384582</v>
      </c>
      <c r="BE60" cm="1">
        <f t="array" ref="BE60">_xlfn.IFS(AX60="NA", "NA", BB60="NR", "NA", BB60="SD", AX60, BB60="SE", AX60*(SQRT(R60)), BB60="SEM", AX60*(SQRT(R60)), TRUE, "NA")</f>
        <v>18.299999999999997</v>
      </c>
      <c r="BF60" cm="1">
        <f t="array" ref="BF60">_xlfn.IFS(BE60="NA", "NA",BA60="Direct rLV % whole brain", BE60, BA60="Indirect rLV % whole brain", BE60, BA60="Direct rLV % hemisphere", BE60/2, BA60="Indirect rLV % hemisphere", BE60/2, AND(F60="Mouse", BA60="mm3"), (BE60/508.91)*100, AND(F60="Rat", BA60="mm3"), (BE60/1971)*100, AND(F60="Mouse", BA60="ul"), (BE60/508.91)*100, AND(F60="Rat", BA60="ul"), (BE60/1971)*100,  AND(F60="Mouse", BA60="nl"), (BE60/508910)*100, AND(F60="Rat", BA60="nl"), (BE60/1971000)*100, AND(F60="Mouse", BA60="cm3"), (BE60/0.50891)*100, AND(F60="Rat", BA60="cm3"), (BE60/1.971)*100, AND(F60="Mouse", BA60="mL"), (BE60/0.50891)*100, AND(F60="Rat", BA60="mL"), (BE60/1.971)*100, TRUE, "NA")</f>
        <v>0.92846270928462693</v>
      </c>
      <c r="BG60" cm="1">
        <f t="array" ref="BG60">_xlfn.IFS(AZ60="NA", "NA", BB60="NR", "NA", BB60="SD", AZ60, BB60="SE", AZ60*(SQRT(R60)), BB60="SEM", AZ60*(SQRT(R60)), TRUE, "NA")</f>
        <v>7.1999999999999993</v>
      </c>
      <c r="BH60" s="18" t="s">
        <v>154</v>
      </c>
      <c r="BI60" t="s">
        <v>154</v>
      </c>
      <c r="BJ60" t="s">
        <v>154</v>
      </c>
    </row>
    <row r="61" spans="1:63" x14ac:dyDescent="0.3">
      <c r="A61" t="s">
        <v>825</v>
      </c>
      <c r="B61" t="s">
        <v>824</v>
      </c>
      <c r="C61">
        <v>2020</v>
      </c>
      <c r="D61" t="s">
        <v>826</v>
      </c>
      <c r="E61" t="s">
        <v>678</v>
      </c>
      <c r="F61" t="s">
        <v>23</v>
      </c>
      <c r="G61" t="s">
        <v>10</v>
      </c>
      <c r="H61" t="s">
        <v>34</v>
      </c>
      <c r="I61" t="s">
        <v>12</v>
      </c>
      <c r="J61" t="s">
        <v>8</v>
      </c>
      <c r="K61" t="s">
        <v>9</v>
      </c>
      <c r="L61" t="s">
        <v>9</v>
      </c>
      <c r="M61" t="s">
        <v>9</v>
      </c>
      <c r="N61" t="s">
        <v>8</v>
      </c>
      <c r="O61">
        <v>300</v>
      </c>
      <c r="P61" t="s">
        <v>8</v>
      </c>
      <c r="Q61">
        <v>1</v>
      </c>
      <c r="R61">
        <v>9</v>
      </c>
      <c r="S61">
        <v>2</v>
      </c>
      <c r="T61">
        <v>8</v>
      </c>
      <c r="U61" s="18" t="s">
        <v>68</v>
      </c>
      <c r="V61" t="s">
        <v>8</v>
      </c>
      <c r="W61" t="s">
        <v>8</v>
      </c>
      <c r="X61" t="s">
        <v>68</v>
      </c>
      <c r="Y61" t="s">
        <v>8</v>
      </c>
      <c r="Z61" t="s">
        <v>8</v>
      </c>
      <c r="AA61" t="s">
        <v>640</v>
      </c>
      <c r="AB61" t="s">
        <v>746</v>
      </c>
      <c r="AC61" t="s">
        <v>154</v>
      </c>
      <c r="AD61" t="s">
        <v>634</v>
      </c>
      <c r="AE61">
        <v>0</v>
      </c>
      <c r="AF61">
        <v>400</v>
      </c>
      <c r="AG61" t="s">
        <v>745</v>
      </c>
      <c r="AH61">
        <v>5</v>
      </c>
      <c r="AI61" cm="1">
        <f t="array" ref="AI61">_xlfn.IFS(AF61="NR", "NA", AG61="NR", "NA", AG61="NA","NA", AND(AG61="mg/ml", AH61&lt;&gt;"NR"), ((AF61/2492)*AH61*1000000), AND(AG61="mol/L", AH61&lt;&gt;"NR"), AF61*AH61*1000000, AG61="nmol", AF61*1000, AND(AG61="nmol/uL", AH61&lt;&gt;"NR"), AF61*AH61*1000, AG61="pg", AF61/2492, AG61="pmol", AF61, AND(AG61="pmol/uL", AH61&lt;&gt;"NR"), AF61*AH61, AG61="ug", AF61/2492*1000000, AND(AG61="ug/mL", AH61&lt;&gt;"NR"), (AF61/1000*AH61)/2492*1000000, AND(AG61="ug/uL", AH61&lt;&gt;"NR"), (AF61*AH61)/2492*1000000, AND(AG61="umol/L", AH61&lt;&gt;"NR"), AH61*AF61, TRUE, "NA")</f>
        <v>2000</v>
      </c>
      <c r="AJ61">
        <v>10</v>
      </c>
      <c r="AK61">
        <v>3</v>
      </c>
      <c r="AL61" t="s">
        <v>9</v>
      </c>
      <c r="AM61" t="s">
        <v>8</v>
      </c>
      <c r="AN61" t="s">
        <v>9</v>
      </c>
      <c r="AO61" s="18" t="s">
        <v>176</v>
      </c>
      <c r="AP61" t="s">
        <v>1228</v>
      </c>
      <c r="AQ61">
        <v>-0.25</v>
      </c>
      <c r="AR61" t="s">
        <v>101</v>
      </c>
      <c r="AS61" s="18">
        <v>360</v>
      </c>
      <c r="AT61" t="s">
        <v>271</v>
      </c>
      <c r="AU61" t="s">
        <v>652</v>
      </c>
      <c r="AV61">
        <v>1.4E-2</v>
      </c>
      <c r="AW61">
        <v>39.1</v>
      </c>
      <c r="AX61">
        <v>6.1</v>
      </c>
      <c r="AY61">
        <v>21.9</v>
      </c>
      <c r="AZ61">
        <v>4</v>
      </c>
      <c r="BA61" t="s">
        <v>656</v>
      </c>
      <c r="BB61" t="s">
        <v>123</v>
      </c>
      <c r="BC61" cm="1">
        <f t="array" ref="BC61">_xlfn.IFS(BA61="Direct rLV % whole brain", AW61, BA61="Indirect rLV % whole brain", AW61, BA61="Direct rLV % hemisphere", AW61/2, BA61="Indirect rLV % hemisphere", AW61/2, AND(F61="Mouse", BA61="mm3"), (AW61/508.91)*100, AND(F61="Rat", BA61="mm3"), (AW61/1971)*100, AND(F61="Mouse", BA61="ul"), (AW61/508.91)*100, AND(F61="Rat", BA61="ul"), (AW61/1971)*100,  AND(F61="Mouse", BA61="nl"), (AW61/508910)*100, AND(F61="Rat", BA61="nl"), (AW61/1971000)*100, AND(F61="Mouse", BA61="cm3"), (AW61/0.50891)*100, AND(F61="Rat", BA61="cm3"), (AW61/1.971)*100, AND(F61="Mouse", BA61="mL"), (AW61/0.50891)*100, AND(F61="Rat", BA61="mL"), (AW61/1.971)*100, TRUE, "NA")</f>
        <v>1.9837645865043125</v>
      </c>
      <c r="BD61" cm="1">
        <f t="array" ref="BD61">_xlfn.IFS(AZ61="NA", "NA",BA61="Direct rLV % whole brain", AY61, BA61="Indirect rLV % whole brain", AY61, BA61="Direct rLV % hemisphere", AY61/2, BA61="Indirect rLV % hemisphere", AY61/2, AND(F61="Mouse", BA61="mm3"), (AY61/508.91)*100, AND(F61="Rat", BA61="mm3"), (AY61/1971)*100, AND(F61="Mouse", BA61="ul"), (AY61/508.91)*100, AND(F61="Rat", BA61="ul"), (AY61/1971)*100,  AND(F61="Mouse", BA61="nl"), (AY61/508910)*100, AND(F61="Rat", BA61="nl"), (AY61/1971000)*100, AND(F61="Mouse", BA61="cm3"), (AY61/0.50891)*100, AND(F61="Rat", BA61="cm3"), (AY61/1.971)*100, AND(F61="Mouse", BA61="mL"), (AY61/0.50891)*100, AND(F61="Rat", BA61="mL"), (AY61/1.971)*100, TRUE, "NA")</f>
        <v>1.1111111111111109</v>
      </c>
      <c r="BE61" cm="1">
        <f t="array" ref="BE61">_xlfn.IFS(AX61="NA", "NA", BB61="NR", "NA", BB61="SD", AX61, BB61="SE", AX61*(SQRT(R61)), BB61="SEM", AX61*(SQRT(R61)), TRUE, "NA")</f>
        <v>18.299999999999997</v>
      </c>
      <c r="BF61" cm="1">
        <f t="array" ref="BF61">_xlfn.IFS(BE61="NA", "NA",BA61="Direct rLV % whole brain", BE61, BA61="Indirect rLV % whole brain", BE61, BA61="Direct rLV % hemisphere", BE61/2, BA61="Indirect rLV % hemisphere", BE61/2, AND(F61="Mouse", BA61="mm3"), (BE61/508.91)*100, AND(F61="Rat", BA61="mm3"), (BE61/1971)*100, AND(F61="Mouse", BA61="ul"), (BE61/508.91)*100, AND(F61="Rat", BA61="ul"), (BE61/1971)*100,  AND(F61="Mouse", BA61="nl"), (BE61/508910)*100, AND(F61="Rat", BA61="nl"), (BE61/1971000)*100, AND(F61="Mouse", BA61="cm3"), (BE61/0.50891)*100, AND(F61="Rat", BA61="cm3"), (BE61/1.971)*100, AND(F61="Mouse", BA61="mL"), (BE61/0.50891)*100, AND(F61="Rat", BA61="mL"), (BE61/1.971)*100, TRUE, "NA")</f>
        <v>0.92846270928462693</v>
      </c>
      <c r="BG61" cm="1">
        <f t="array" ref="BG61">_xlfn.IFS(AZ61="NA", "NA", BB61="NR", "NA", BB61="SD", AZ61, BB61="SE", AZ61*(SQRT(R61)), BB61="SEM", AZ61*(SQRT(R61)), TRUE, "NA")</f>
        <v>12</v>
      </c>
      <c r="BH61" s="18" t="s">
        <v>154</v>
      </c>
      <c r="BI61" t="s">
        <v>154</v>
      </c>
      <c r="BJ61" t="s">
        <v>154</v>
      </c>
    </row>
    <row r="62" spans="1:63" s="31" customFormat="1" x14ac:dyDescent="0.3">
      <c r="A62" s="31" t="s">
        <v>829</v>
      </c>
      <c r="B62" s="31" t="s">
        <v>828</v>
      </c>
      <c r="C62" s="31">
        <v>2016</v>
      </c>
      <c r="D62" s="31" t="s">
        <v>830</v>
      </c>
      <c r="E62" s="31" t="s">
        <v>647</v>
      </c>
      <c r="F62" s="31" t="s">
        <v>24</v>
      </c>
      <c r="G62" s="31" t="s">
        <v>297</v>
      </c>
      <c r="H62" s="31" t="s">
        <v>34</v>
      </c>
      <c r="I62" s="31" t="s">
        <v>12</v>
      </c>
      <c r="J62" s="31" t="s">
        <v>8</v>
      </c>
      <c r="K62" s="31">
        <v>13</v>
      </c>
      <c r="L62" s="31">
        <f>AVERAGE(K62,M62)</f>
        <v>17.5</v>
      </c>
      <c r="M62" s="31">
        <v>22</v>
      </c>
      <c r="N62" s="31" t="s">
        <v>9</v>
      </c>
      <c r="O62" s="31" t="s">
        <v>9</v>
      </c>
      <c r="P62" s="31" t="s">
        <v>9</v>
      </c>
      <c r="Q62" s="31">
        <v>1</v>
      </c>
      <c r="R62" s="31">
        <v>9</v>
      </c>
      <c r="S62" s="31" t="s">
        <v>8</v>
      </c>
      <c r="T62" s="31" t="s">
        <v>8</v>
      </c>
      <c r="U62" s="32" t="s">
        <v>68</v>
      </c>
      <c r="V62" s="31" t="s">
        <v>8</v>
      </c>
      <c r="W62" s="31" t="s">
        <v>8</v>
      </c>
      <c r="X62" s="31" t="s">
        <v>68</v>
      </c>
      <c r="Y62" s="31" t="s">
        <v>8</v>
      </c>
      <c r="Z62" s="31" t="s">
        <v>8</v>
      </c>
      <c r="AA62" s="31" t="s">
        <v>640</v>
      </c>
      <c r="AB62" s="31" t="s">
        <v>637</v>
      </c>
      <c r="AC62" s="31" t="s">
        <v>154</v>
      </c>
      <c r="AD62" s="31" t="s">
        <v>634</v>
      </c>
      <c r="AE62" s="31">
        <v>0</v>
      </c>
      <c r="AF62" s="31">
        <v>1</v>
      </c>
      <c r="AG62" s="31" t="s">
        <v>162</v>
      </c>
      <c r="AH62" s="31">
        <v>1</v>
      </c>
      <c r="AI62" cm="1">
        <f t="array" ref="AI62">_xlfn.IFS(AF62="NR", "NA", AG62="NR", "NA", AG62="NA","NA", AND(AG62="mg/ml", AH62&lt;&gt;"NR"), ((AF62/2492)*AH62*1000000), AND(AG62="mol/L", AH62&lt;&gt;"NR"), AF62*AH62*1000000, AG62="nmol", AF62*1000, AND(AG62="nmol/uL", AH62&lt;&gt;"NR"), AF62*AH62*1000, AG62="pg", AF62/2492, AG62="pmol", AF62, AND(AG62="pmol/uL", AH62&lt;&gt;"NR"), AF62*AH62, AG62="ug", AF62/2492*1000000, AND(AG62="ug/mL", AH62&lt;&gt;"NR"), (AF62/1000*AH62)/2492*1000000, AND(AG62="ug/uL", AH62&lt;&gt;"NR"), (AF62*AH62)/2492*1000000, AND(AG62="umol/L", AH62&lt;&gt;"NR"), AH62*AF62, TRUE, "NA")</f>
        <v>401.2841091492777</v>
      </c>
      <c r="AJ62" s="31">
        <v>10</v>
      </c>
      <c r="AK62" s="31">
        <v>1</v>
      </c>
      <c r="AL62" s="31" t="s">
        <v>9</v>
      </c>
      <c r="AM62" s="31" t="s">
        <v>8</v>
      </c>
      <c r="AN62" s="31" t="s">
        <v>9</v>
      </c>
      <c r="AO62" s="32" t="s">
        <v>12</v>
      </c>
      <c r="AP62" s="31" t="s">
        <v>8</v>
      </c>
      <c r="AQ62" s="31" t="s">
        <v>8</v>
      </c>
      <c r="AR62" s="31" t="s">
        <v>8</v>
      </c>
      <c r="AS62" s="32">
        <v>72</v>
      </c>
      <c r="AT62" s="31" t="s">
        <v>270</v>
      </c>
      <c r="AU62" s="31" t="s">
        <v>8</v>
      </c>
      <c r="AV62" s="31" t="s">
        <v>8</v>
      </c>
      <c r="AW62" s="31">
        <v>1.65</v>
      </c>
      <c r="AX62" s="31">
        <v>0.28000000000000003</v>
      </c>
      <c r="AY62" s="31" t="s">
        <v>8</v>
      </c>
      <c r="AZ62" s="31" t="s">
        <v>8</v>
      </c>
      <c r="BA62" s="31" t="s">
        <v>202</v>
      </c>
      <c r="BB62" s="31" t="s">
        <v>9</v>
      </c>
      <c r="BC62" cm="1">
        <f t="array" ref="BC62">_xlfn.IFS(BA62="Direct rLV % whole brain", AW62, BA62="Indirect rLV % whole brain", AW62, BA62="Direct rLV % hemisphere", AW62/2, BA62="Indirect rLV % hemisphere", AW62/2, AND(F62="Mouse", BA62="mm3"), (AW62/508.91)*100, AND(F62="Rat", BA62="mm3"), (AW62/1971)*100, AND(F62="Mouse", BA62="ul"), (AW62/508.91)*100, AND(F62="Rat", BA62="ul"), (AW62/1971)*100,  AND(F62="Mouse", BA62="nl"), (AW62/508910)*100, AND(F62="Rat", BA62="nl"), (AW62/1971000)*100, AND(F62="Mouse", BA62="cm3"), (AW62/0.50891)*100, AND(F62="Rat", BA62="cm3"), (AW62/1.971)*100, AND(F62="Mouse", BA62="mL"), (AW62/0.50891)*100, AND(F62="Rat", BA62="mL"), (AW62/1.971)*100, TRUE, "NA")</f>
        <v>0.82499999999999996</v>
      </c>
      <c r="BD62" t="str" cm="1">
        <f t="array" ref="BD62">_xlfn.IFS(AZ62="NA", "NA",BA62="Direct rLV % whole brain", AY62, BA62="Indirect rLV % whole brain", AY62, BA62="Direct rLV % hemisphere", AY62/2, BA62="Indirect rLV % hemisphere", AY62/2, AND(F62="Mouse", BA62="mm3"), (AY62/508.91)*100, AND(F62="Rat", BA62="mm3"), (AY62/1971)*100, AND(F62="Mouse", BA62="ul"), (AY62/508.91)*100, AND(F62="Rat", BA62="ul"), (AY62/1971)*100,  AND(F62="Mouse", BA62="nl"), (AY62/508910)*100, AND(F62="Rat", BA62="nl"), (AY62/1971000)*100, AND(F62="Mouse", BA62="cm3"), (AY62/0.50891)*100, AND(F62="Rat", BA62="cm3"), (AY62/1.971)*100, AND(F62="Mouse", BA62="mL"), (AY62/0.50891)*100, AND(F62="Rat", BA62="mL"), (AY62/1.971)*100, TRUE, "NA")</f>
        <v>NA</v>
      </c>
      <c r="BE62" t="str" cm="1">
        <f t="array" ref="BE62">_xlfn.IFS(AX62="NA", "NA", BB62="NR", "NA", BB62="SD", AX62, BB62="SE", AX62*(SQRT(R62)), BB62="SEM", AX62*(SQRT(R62)), TRUE, "NA")</f>
        <v>NA</v>
      </c>
      <c r="BF62" t="str" cm="1">
        <f t="array" ref="BF62">_xlfn.IFS(BE62="NA", "NA",BA62="Direct rLV % whole brain", BE62, BA62="Indirect rLV % whole brain", BE62, BA62="Direct rLV % hemisphere", BE62/2, BA62="Indirect rLV % hemisphere", BE62/2, AND(F62="Mouse", BA62="mm3"), (BE62/508.91)*100, AND(F62="Rat", BA62="mm3"), (BE62/1971)*100, AND(F62="Mouse", BA62="ul"), (BE62/508.91)*100, AND(F62="Rat", BA62="ul"), (BE62/1971)*100,  AND(F62="Mouse", BA62="nl"), (BE62/508910)*100, AND(F62="Rat", BA62="nl"), (BE62/1971000)*100, AND(F62="Mouse", BA62="cm3"), (BE62/0.50891)*100, AND(F62="Rat", BA62="cm3"), (BE62/1.971)*100, AND(F62="Mouse", BA62="mL"), (BE62/0.50891)*100, AND(F62="Rat", BA62="mL"), (BE62/1.971)*100, TRUE, "NA")</f>
        <v>NA</v>
      </c>
      <c r="BG62" t="str" cm="1">
        <f t="array" ref="BG62">_xlfn.IFS(AZ62="NA", "NA", BB62="NR", "NA", BB62="SD", AZ62, BB62="SE", AZ62*(SQRT(R62)), BB62="SEM", AZ62*(SQRT(R62)), TRUE, "NA")</f>
        <v>NA</v>
      </c>
      <c r="BH62" s="32" t="s">
        <v>154</v>
      </c>
      <c r="BI62" s="31" t="s">
        <v>154</v>
      </c>
      <c r="BJ62" s="31" t="s">
        <v>153</v>
      </c>
    </row>
    <row r="63" spans="1:63" s="31" customFormat="1" x14ac:dyDescent="0.3">
      <c r="A63" s="31" t="s">
        <v>829</v>
      </c>
      <c r="B63" s="31" t="s">
        <v>828</v>
      </c>
      <c r="C63" s="31">
        <v>2016</v>
      </c>
      <c r="D63" s="31" t="s">
        <v>830</v>
      </c>
      <c r="E63" s="31" t="s">
        <v>678</v>
      </c>
      <c r="F63" s="31" t="s">
        <v>24</v>
      </c>
      <c r="G63" s="31" t="s">
        <v>831</v>
      </c>
      <c r="H63" s="31" t="s">
        <v>34</v>
      </c>
      <c r="I63" s="31" t="s">
        <v>12</v>
      </c>
      <c r="J63" s="31" t="s">
        <v>8</v>
      </c>
      <c r="K63" s="31">
        <v>13</v>
      </c>
      <c r="L63" s="31">
        <f t="shared" ref="L63:L64" si="6">AVERAGE(K63,M63)</f>
        <v>17.5</v>
      </c>
      <c r="M63" s="31">
        <v>22</v>
      </c>
      <c r="N63" s="31" t="s">
        <v>9</v>
      </c>
      <c r="O63" s="31" t="s">
        <v>9</v>
      </c>
      <c r="P63" s="31" t="s">
        <v>9</v>
      </c>
      <c r="Q63" s="31">
        <v>1</v>
      </c>
      <c r="R63" s="31">
        <v>9</v>
      </c>
      <c r="S63" s="31" t="s">
        <v>8</v>
      </c>
      <c r="T63" s="31" t="s">
        <v>8</v>
      </c>
      <c r="U63" s="32" t="s">
        <v>68</v>
      </c>
      <c r="V63" s="31" t="s">
        <v>8</v>
      </c>
      <c r="W63" s="31" t="s">
        <v>8</v>
      </c>
      <c r="X63" s="31" t="s">
        <v>68</v>
      </c>
      <c r="Y63" s="31" t="s">
        <v>8</v>
      </c>
      <c r="Z63" s="31" t="s">
        <v>8</v>
      </c>
      <c r="AA63" s="31" t="s">
        <v>640</v>
      </c>
      <c r="AB63" s="31" t="s">
        <v>637</v>
      </c>
      <c r="AC63" s="31" t="s">
        <v>154</v>
      </c>
      <c r="AD63" s="31" t="s">
        <v>634</v>
      </c>
      <c r="AE63" s="31">
        <v>0</v>
      </c>
      <c r="AF63" s="31">
        <v>1</v>
      </c>
      <c r="AG63" s="31" t="s">
        <v>162</v>
      </c>
      <c r="AH63" s="31">
        <v>1</v>
      </c>
      <c r="AI63" cm="1">
        <f t="array" ref="AI63">_xlfn.IFS(AF63="NR", "NA", AG63="NR", "NA", AG63="NA","NA", AND(AG63="mg/ml", AH63&lt;&gt;"NR"), ((AF63/2492)*AH63*1000000), AND(AG63="mol/L", AH63&lt;&gt;"NR"), AF63*AH63*1000000, AG63="nmol", AF63*1000, AND(AG63="nmol/uL", AH63&lt;&gt;"NR"), AF63*AH63*1000, AG63="pg", AF63/2492, AG63="pmol", AF63, AND(AG63="pmol/uL", AH63&lt;&gt;"NR"), AF63*AH63, AG63="ug", AF63/2492*1000000, AND(AG63="ug/mL", AH63&lt;&gt;"NR"), (AF63/1000*AH63)/2492*1000000, AND(AG63="ug/uL", AH63&lt;&gt;"NR"), (AF63*AH63)/2492*1000000, AND(AG63="umol/L", AH63&lt;&gt;"NR"), AH63*AF63, TRUE, "NA")</f>
        <v>401.2841091492777</v>
      </c>
      <c r="AJ63" s="31">
        <v>10</v>
      </c>
      <c r="AK63" s="31">
        <v>1</v>
      </c>
      <c r="AL63" s="31" t="s">
        <v>9</v>
      </c>
      <c r="AM63" s="31" t="s">
        <v>8</v>
      </c>
      <c r="AN63" s="31" t="s">
        <v>9</v>
      </c>
      <c r="AO63" s="32" t="s">
        <v>12</v>
      </c>
      <c r="AP63" s="31" t="s">
        <v>8</v>
      </c>
      <c r="AQ63" s="31" t="s">
        <v>8</v>
      </c>
      <c r="AR63" s="31" t="s">
        <v>8</v>
      </c>
      <c r="AS63" s="32">
        <v>72</v>
      </c>
      <c r="AT63" s="31" t="s">
        <v>270</v>
      </c>
      <c r="AU63" s="31" t="s">
        <v>8</v>
      </c>
      <c r="AV63" s="31" t="s">
        <v>679</v>
      </c>
      <c r="AW63" s="31">
        <v>5.8</v>
      </c>
      <c r="AX63" s="31">
        <v>0.32</v>
      </c>
      <c r="AY63" s="31" t="s">
        <v>8</v>
      </c>
      <c r="AZ63" s="31" t="s">
        <v>8</v>
      </c>
      <c r="BA63" s="31" t="s">
        <v>202</v>
      </c>
      <c r="BB63" s="31" t="s">
        <v>9</v>
      </c>
      <c r="BC63" cm="1">
        <f t="array" ref="BC63">_xlfn.IFS(BA63="Direct rLV % whole brain", AW63, BA63="Indirect rLV % whole brain", AW63, BA63="Direct rLV % hemisphere", AW63/2, BA63="Indirect rLV % hemisphere", AW63/2, AND(F63="Mouse", BA63="mm3"), (AW63/508.91)*100, AND(F63="Rat", BA63="mm3"), (AW63/1971)*100, AND(F63="Mouse", BA63="ul"), (AW63/508.91)*100, AND(F63="Rat", BA63="ul"), (AW63/1971)*100,  AND(F63="Mouse", BA63="nl"), (AW63/508910)*100, AND(F63="Rat", BA63="nl"), (AW63/1971000)*100, AND(F63="Mouse", BA63="cm3"), (AW63/0.50891)*100, AND(F63="Rat", BA63="cm3"), (AW63/1.971)*100, AND(F63="Mouse", BA63="mL"), (AW63/0.50891)*100, AND(F63="Rat", BA63="mL"), (AW63/1.971)*100, TRUE, "NA")</f>
        <v>2.9</v>
      </c>
      <c r="BD63" t="str" cm="1">
        <f t="array" ref="BD63">_xlfn.IFS(AZ63="NA", "NA",BA63="Direct rLV % whole brain", AY63, BA63="Indirect rLV % whole brain", AY63, BA63="Direct rLV % hemisphere", AY63/2, BA63="Indirect rLV % hemisphere", AY63/2, AND(F63="Mouse", BA63="mm3"), (AY63/508.91)*100, AND(F63="Rat", BA63="mm3"), (AY63/1971)*100, AND(F63="Mouse", BA63="ul"), (AY63/508.91)*100, AND(F63="Rat", BA63="ul"), (AY63/1971)*100,  AND(F63="Mouse", BA63="nl"), (AY63/508910)*100, AND(F63="Rat", BA63="nl"), (AY63/1971000)*100, AND(F63="Mouse", BA63="cm3"), (AY63/0.50891)*100, AND(F63="Rat", BA63="cm3"), (AY63/1.971)*100, AND(F63="Mouse", BA63="mL"), (AY63/0.50891)*100, AND(F63="Rat", BA63="mL"), (AY63/1.971)*100, TRUE, "NA")</f>
        <v>NA</v>
      </c>
      <c r="BE63" t="str" cm="1">
        <f t="array" ref="BE63">_xlfn.IFS(AX63="NA", "NA", BB63="NR", "NA", BB63="SD", AX63, BB63="SE", AX63*(SQRT(R63)), BB63="SEM", AX63*(SQRT(R63)), TRUE, "NA")</f>
        <v>NA</v>
      </c>
      <c r="BF63" t="str" cm="1">
        <f t="array" ref="BF63">_xlfn.IFS(BE63="NA", "NA",BA63="Direct rLV % whole brain", BE63, BA63="Indirect rLV % whole brain", BE63, BA63="Direct rLV % hemisphere", BE63/2, BA63="Indirect rLV % hemisphere", BE63/2, AND(F63="Mouse", BA63="mm3"), (BE63/508.91)*100, AND(F63="Rat", BA63="mm3"), (BE63/1971)*100, AND(F63="Mouse", BA63="ul"), (BE63/508.91)*100, AND(F63="Rat", BA63="ul"), (BE63/1971)*100,  AND(F63="Mouse", BA63="nl"), (BE63/508910)*100, AND(F63="Rat", BA63="nl"), (BE63/1971000)*100, AND(F63="Mouse", BA63="cm3"), (BE63/0.50891)*100, AND(F63="Rat", BA63="cm3"), (BE63/1.971)*100, AND(F63="Mouse", BA63="mL"), (BE63/0.50891)*100, AND(F63="Rat", BA63="mL"), (BE63/1.971)*100, TRUE, "NA")</f>
        <v>NA</v>
      </c>
      <c r="BG63" t="str" cm="1">
        <f t="array" ref="BG63">_xlfn.IFS(AZ63="NA", "NA", BB63="NR", "NA", BB63="SD", AZ63, BB63="SE", AZ63*(SQRT(R63)), BB63="SEM", AZ63*(SQRT(R63)), TRUE, "NA")</f>
        <v>NA</v>
      </c>
      <c r="BH63" s="32" t="s">
        <v>154</v>
      </c>
      <c r="BI63" s="31" t="s">
        <v>154</v>
      </c>
      <c r="BJ63" s="31" t="s">
        <v>153</v>
      </c>
    </row>
    <row r="64" spans="1:63" s="31" customFormat="1" x14ac:dyDescent="0.3">
      <c r="A64" s="31" t="s">
        <v>829</v>
      </c>
      <c r="B64" s="31" t="s">
        <v>828</v>
      </c>
      <c r="C64" s="31">
        <v>2016</v>
      </c>
      <c r="D64" s="31" t="s">
        <v>830</v>
      </c>
      <c r="E64" s="31" t="s">
        <v>699</v>
      </c>
      <c r="F64" s="31" t="s">
        <v>24</v>
      </c>
      <c r="G64" s="31" t="s">
        <v>832</v>
      </c>
      <c r="H64" s="31" t="s">
        <v>34</v>
      </c>
      <c r="I64" s="31" t="s">
        <v>12</v>
      </c>
      <c r="J64" s="31" t="s">
        <v>8</v>
      </c>
      <c r="K64" s="31">
        <v>13</v>
      </c>
      <c r="L64" s="31">
        <f t="shared" si="6"/>
        <v>17.5</v>
      </c>
      <c r="M64" s="31">
        <v>22</v>
      </c>
      <c r="N64" s="31" t="s">
        <v>9</v>
      </c>
      <c r="O64" s="31" t="s">
        <v>9</v>
      </c>
      <c r="P64" s="31" t="s">
        <v>9</v>
      </c>
      <c r="Q64" s="31">
        <v>1</v>
      </c>
      <c r="R64" s="31">
        <v>9</v>
      </c>
      <c r="S64" s="31" t="s">
        <v>8</v>
      </c>
      <c r="T64" s="31" t="s">
        <v>8</v>
      </c>
      <c r="U64" s="32" t="s">
        <v>68</v>
      </c>
      <c r="V64" s="31" t="s">
        <v>8</v>
      </c>
      <c r="W64" s="31" t="s">
        <v>8</v>
      </c>
      <c r="X64" s="31" t="s">
        <v>68</v>
      </c>
      <c r="Y64" s="31" t="s">
        <v>8</v>
      </c>
      <c r="Z64" s="31" t="s">
        <v>8</v>
      </c>
      <c r="AA64" s="31" t="s">
        <v>640</v>
      </c>
      <c r="AB64" s="31" t="s">
        <v>637</v>
      </c>
      <c r="AC64" s="31" t="s">
        <v>154</v>
      </c>
      <c r="AD64" s="31" t="s">
        <v>634</v>
      </c>
      <c r="AE64" s="31">
        <v>0</v>
      </c>
      <c r="AF64" s="31">
        <v>1</v>
      </c>
      <c r="AG64" s="31" t="s">
        <v>162</v>
      </c>
      <c r="AH64" s="31">
        <v>1</v>
      </c>
      <c r="AI64" cm="1">
        <f t="array" ref="AI64">_xlfn.IFS(AF64="NR", "NA", AG64="NR", "NA", AG64="NA","NA", AND(AG64="mg/ml", AH64&lt;&gt;"NR"), ((AF64/2492)*AH64*1000000), AND(AG64="mol/L", AH64&lt;&gt;"NR"), AF64*AH64*1000000, AG64="nmol", AF64*1000, AND(AG64="nmol/uL", AH64&lt;&gt;"NR"), AF64*AH64*1000, AG64="pg", AF64/2492, AG64="pmol", AF64, AND(AG64="pmol/uL", AH64&lt;&gt;"NR"), AF64*AH64, AG64="ug", AF64/2492*1000000, AND(AG64="ug/mL", AH64&lt;&gt;"NR"), (AF64/1000*AH64)/2492*1000000, AND(AG64="ug/uL", AH64&lt;&gt;"NR"), (AF64*AH64)/2492*1000000, AND(AG64="umol/L", AH64&lt;&gt;"NR"), AH64*AF64, TRUE, "NA")</f>
        <v>401.2841091492777</v>
      </c>
      <c r="AJ64" s="31">
        <v>10</v>
      </c>
      <c r="AK64" s="31">
        <v>1</v>
      </c>
      <c r="AL64" s="31" t="s">
        <v>9</v>
      </c>
      <c r="AM64" s="31" t="s">
        <v>8</v>
      </c>
      <c r="AN64" s="31" t="s">
        <v>9</v>
      </c>
      <c r="AO64" s="32" t="s">
        <v>12</v>
      </c>
      <c r="AP64" s="31" t="s">
        <v>8</v>
      </c>
      <c r="AQ64" s="31" t="s">
        <v>8</v>
      </c>
      <c r="AR64" s="31" t="s">
        <v>8</v>
      </c>
      <c r="AS64" s="32">
        <v>72</v>
      </c>
      <c r="AT64" s="31" t="s">
        <v>270</v>
      </c>
      <c r="AU64" s="31" t="s">
        <v>8</v>
      </c>
      <c r="AV64" s="31" t="s">
        <v>679</v>
      </c>
      <c r="AW64" s="31">
        <v>2.9</v>
      </c>
      <c r="AX64" s="31">
        <v>0.42</v>
      </c>
      <c r="AY64" s="31" t="s">
        <v>8</v>
      </c>
      <c r="AZ64" s="31" t="s">
        <v>8</v>
      </c>
      <c r="BA64" s="31" t="s">
        <v>202</v>
      </c>
      <c r="BB64" s="31" t="s">
        <v>9</v>
      </c>
      <c r="BC64" cm="1">
        <f t="array" ref="BC64">_xlfn.IFS(BA64="Direct rLV % whole brain", AW64, BA64="Indirect rLV % whole brain", AW64, BA64="Direct rLV % hemisphere", AW64/2, BA64="Indirect rLV % hemisphere", AW64/2, AND(F64="Mouse", BA64="mm3"), (AW64/508.91)*100, AND(F64="Rat", BA64="mm3"), (AW64/1971)*100, AND(F64="Mouse", BA64="ul"), (AW64/508.91)*100, AND(F64="Rat", BA64="ul"), (AW64/1971)*100,  AND(F64="Mouse", BA64="nl"), (AW64/508910)*100, AND(F64="Rat", BA64="nl"), (AW64/1971000)*100, AND(F64="Mouse", BA64="cm3"), (AW64/0.50891)*100, AND(F64="Rat", BA64="cm3"), (AW64/1.971)*100, AND(F64="Mouse", BA64="mL"), (AW64/0.50891)*100, AND(F64="Rat", BA64="mL"), (AW64/1.971)*100, TRUE, "NA")</f>
        <v>1.45</v>
      </c>
      <c r="BD64" t="str" cm="1">
        <f t="array" ref="BD64">_xlfn.IFS(AZ64="NA", "NA",BA64="Direct rLV % whole brain", AY64, BA64="Indirect rLV % whole brain", AY64, BA64="Direct rLV % hemisphere", AY64/2, BA64="Indirect rLV % hemisphere", AY64/2, AND(F64="Mouse", BA64="mm3"), (AY64/508.91)*100, AND(F64="Rat", BA64="mm3"), (AY64/1971)*100, AND(F64="Mouse", BA64="ul"), (AY64/508.91)*100, AND(F64="Rat", BA64="ul"), (AY64/1971)*100,  AND(F64="Mouse", BA64="nl"), (AY64/508910)*100, AND(F64="Rat", BA64="nl"), (AY64/1971000)*100, AND(F64="Mouse", BA64="cm3"), (AY64/0.50891)*100, AND(F64="Rat", BA64="cm3"), (AY64/1.971)*100, AND(F64="Mouse", BA64="mL"), (AY64/0.50891)*100, AND(F64="Rat", BA64="mL"), (AY64/1.971)*100, TRUE, "NA")</f>
        <v>NA</v>
      </c>
      <c r="BE64" t="str" cm="1">
        <f t="array" ref="BE64">_xlfn.IFS(AX64="NA", "NA", BB64="NR", "NA", BB64="SD", AX64, BB64="SE", AX64*(SQRT(R64)), BB64="SEM", AX64*(SQRT(R64)), TRUE, "NA")</f>
        <v>NA</v>
      </c>
      <c r="BF64" t="str" cm="1">
        <f t="array" ref="BF64">_xlfn.IFS(BE64="NA", "NA",BA64="Direct rLV % whole brain", BE64, BA64="Indirect rLV % whole brain", BE64, BA64="Direct rLV % hemisphere", BE64/2, BA64="Indirect rLV % hemisphere", BE64/2, AND(F64="Mouse", BA64="mm3"), (BE64/508.91)*100, AND(F64="Rat", BA64="mm3"), (BE64/1971)*100, AND(F64="Mouse", BA64="ul"), (BE64/508.91)*100, AND(F64="Rat", BA64="ul"), (BE64/1971)*100,  AND(F64="Mouse", BA64="nl"), (BE64/508910)*100, AND(F64="Rat", BA64="nl"), (BE64/1971000)*100, AND(F64="Mouse", BA64="cm3"), (BE64/0.50891)*100, AND(F64="Rat", BA64="cm3"), (BE64/1.971)*100, AND(F64="Mouse", BA64="mL"), (BE64/0.50891)*100, AND(F64="Rat", BA64="mL"), (BE64/1.971)*100, TRUE, "NA")</f>
        <v>NA</v>
      </c>
      <c r="BG64" t="str" cm="1">
        <f t="array" ref="BG64">_xlfn.IFS(AZ64="NA", "NA", BB64="NR", "NA", BB64="SD", AZ64, BB64="SE", AZ64*(SQRT(R64)), BB64="SEM", AZ64*(SQRT(R64)), TRUE, "NA")</f>
        <v>NA</v>
      </c>
      <c r="BH64" s="32" t="s">
        <v>154</v>
      </c>
      <c r="BI64" s="31" t="s">
        <v>154</v>
      </c>
      <c r="BJ64" s="31" t="s">
        <v>153</v>
      </c>
    </row>
    <row r="65" spans="1:63" x14ac:dyDescent="0.3">
      <c r="A65" s="37" t="s">
        <v>834</v>
      </c>
      <c r="B65" t="s">
        <v>833</v>
      </c>
      <c r="C65">
        <v>2018</v>
      </c>
      <c r="D65" t="s">
        <v>835</v>
      </c>
      <c r="E65" t="s">
        <v>647</v>
      </c>
      <c r="F65" t="s">
        <v>23</v>
      </c>
      <c r="G65" t="s">
        <v>10</v>
      </c>
      <c r="H65" t="s">
        <v>34</v>
      </c>
      <c r="I65" t="s">
        <v>12</v>
      </c>
      <c r="J65" t="s">
        <v>8</v>
      </c>
      <c r="K65" t="s">
        <v>9</v>
      </c>
      <c r="L65" t="s">
        <v>9</v>
      </c>
      <c r="M65" t="s">
        <v>9</v>
      </c>
      <c r="N65">
        <v>300</v>
      </c>
      <c r="O65">
        <f>AVERAGE(N65,P65)</f>
        <v>335</v>
      </c>
      <c r="P65">
        <v>370</v>
      </c>
      <c r="Q65">
        <v>1</v>
      </c>
      <c r="R65">
        <v>7.5</v>
      </c>
      <c r="S65">
        <v>2</v>
      </c>
      <c r="T65">
        <v>7.5</v>
      </c>
      <c r="U65" s="18" t="s">
        <v>66</v>
      </c>
      <c r="V65" t="s">
        <v>96</v>
      </c>
      <c r="W65" t="s">
        <v>8</v>
      </c>
      <c r="X65" t="s">
        <v>66</v>
      </c>
      <c r="Y65" t="s">
        <v>96</v>
      </c>
      <c r="Z65" t="s">
        <v>8</v>
      </c>
      <c r="AA65" t="s">
        <v>640</v>
      </c>
      <c r="AB65" t="s">
        <v>636</v>
      </c>
      <c r="AC65" t="s">
        <v>153</v>
      </c>
      <c r="AD65" t="s">
        <v>634</v>
      </c>
      <c r="AE65">
        <v>0</v>
      </c>
      <c r="AF65">
        <v>60</v>
      </c>
      <c r="AG65" t="s">
        <v>745</v>
      </c>
      <c r="AH65">
        <v>3</v>
      </c>
      <c r="AI65" cm="1">
        <f t="array" ref="AI65">_xlfn.IFS(AF65="NR", "NA", AG65="NR", "NA", AG65="NA","NA", AND(AG65="mg/ml", AH65&lt;&gt;"NR"), ((AF65/2492)*AH65*1000000), AND(AG65="mol/L", AH65&lt;&gt;"NR"), AF65*AH65*1000000, AG65="nmol", AF65*1000, AND(AG65="nmol/uL", AH65&lt;&gt;"NR"), AF65*AH65*1000, AG65="pg", AF65/2492, AG65="pmol", AF65, AND(AG65="pmol/uL", AH65&lt;&gt;"NR"), AF65*AH65, AG65="ug", AF65/2492*1000000, AND(AG65="ug/mL", AH65&lt;&gt;"NR"), (AF65/1000*AH65)/2492*1000000, AND(AG65="ug/uL", AH65&lt;&gt;"NR"), (AF65*AH65)/2492*1000000, AND(AG65="umol/L", AH65&lt;&gt;"NR"), AH65*AF65, TRUE, "NA")</f>
        <v>180</v>
      </c>
      <c r="AJ65">
        <v>3</v>
      </c>
      <c r="AK65">
        <v>1</v>
      </c>
      <c r="AL65" t="s">
        <v>9</v>
      </c>
      <c r="AM65" t="s">
        <v>8</v>
      </c>
      <c r="AN65" t="s">
        <v>9</v>
      </c>
      <c r="AO65" s="18" t="s">
        <v>280</v>
      </c>
      <c r="AP65" t="s">
        <v>1228</v>
      </c>
      <c r="AQ65">
        <v>-336</v>
      </c>
      <c r="AR65" t="s">
        <v>101</v>
      </c>
      <c r="AS65" s="18">
        <v>1512</v>
      </c>
      <c r="AT65" t="s">
        <v>271</v>
      </c>
      <c r="AU65" t="s">
        <v>652</v>
      </c>
      <c r="AV65" t="s">
        <v>679</v>
      </c>
      <c r="AW65">
        <f>320.99+73.68</f>
        <v>394.67</v>
      </c>
      <c r="AX65">
        <f>SQRT((4.42*SQRT(R65))^2 + (2.11*SQRT(R65))^2)</f>
        <v>13.413193132136733</v>
      </c>
      <c r="AY65">
        <f>120.99+0</f>
        <v>120.99</v>
      </c>
      <c r="AZ65">
        <f>SQRT((17.68*SQRT(T65))^2 + (0*SQRT(T65))^2)</f>
        <v>48.418674083456686</v>
      </c>
      <c r="BA65" t="s">
        <v>656</v>
      </c>
      <c r="BB65" t="s">
        <v>122</v>
      </c>
      <c r="BC65" cm="1">
        <f t="array" ref="BC65">_xlfn.IFS(BA65="Direct rLV % whole brain", AW65, BA65="Indirect rLV % whole brain", AW65, BA65="Direct rLV % hemisphere", AW65/2, BA65="Indirect rLV % hemisphere", AW65/2, AND(F65="Mouse", BA65="mm3"), (AW65/508.91)*100, AND(F65="Rat", BA65="mm3"), (AW65/1971)*100, AND(F65="Mouse", BA65="ul"), (AW65/508.91)*100, AND(F65="Rat", BA65="ul"), (AW65/1971)*100,  AND(F65="Mouse", BA65="nl"), (AW65/508910)*100, AND(F65="Rat", BA65="nl"), (AW65/1971000)*100, AND(F65="Mouse", BA65="cm3"), (AW65/0.50891)*100, AND(F65="Rat", BA65="cm3"), (AW65/1.971)*100, AND(F65="Mouse", BA65="mL"), (AW65/0.50891)*100, AND(F65="Rat", BA65="mL"), (AW65/1.971)*100, TRUE, "NA")</f>
        <v>20.023845763571792</v>
      </c>
      <c r="BD65" cm="1">
        <f t="array" ref="BD65">_xlfn.IFS(AZ65="NA", "NA",BA65="Direct rLV % whole brain", AY65, BA65="Indirect rLV % whole brain", AY65, BA65="Direct rLV % hemisphere", AY65/2, BA65="Indirect rLV % hemisphere", AY65/2, AND(F65="Mouse", BA65="mm3"), (AY65/508.91)*100, AND(F65="Rat", BA65="mm3"), (AY65/1971)*100, AND(F65="Mouse", BA65="ul"), (AY65/508.91)*100, AND(F65="Rat", BA65="ul"), (AY65/1971)*100,  AND(F65="Mouse", BA65="nl"), (AY65/508910)*100, AND(F65="Rat", BA65="nl"), (AY65/1971000)*100, AND(F65="Mouse", BA65="cm3"), (AY65/0.50891)*100, AND(F65="Rat", BA65="cm3"), (AY65/1.971)*100, AND(F65="Mouse", BA65="mL"), (AY65/0.50891)*100, AND(F65="Rat", BA65="mL"), (AY65/1.971)*100, TRUE, "NA")</f>
        <v>6.1385083713850834</v>
      </c>
      <c r="BE65" cm="1">
        <f t="array" ref="BE65">_xlfn.IFS(AX65="NA", "NA", BB65="NR", "NA", BB65="SD", AX65, BB65="SE", AX65*(SQRT(R65)), BB65="SEM", AX65*(SQRT(R65)), TRUE, "NA")</f>
        <v>13.413193132136733</v>
      </c>
      <c r="BF65" cm="1">
        <f t="array" ref="BF65">_xlfn.IFS(BE65="NA", "NA",BA65="Direct rLV % whole brain", BE65, BA65="Indirect rLV % whole brain", BE65, BA65="Direct rLV % hemisphere", BE65/2, BA65="Indirect rLV % hemisphere", BE65/2, AND(F65="Mouse", BA65="mm3"), (BE65/508.91)*100, AND(F65="Rat", BA65="mm3"), (BE65/1971)*100, AND(F65="Mouse", BA65="ul"), (BE65/508.91)*100, AND(F65="Rat", BA65="ul"), (BE65/1971)*100,  AND(F65="Mouse", BA65="nl"), (BE65/508910)*100, AND(F65="Rat", BA65="nl"), (BE65/1971000)*100, AND(F65="Mouse", BA65="cm3"), (BE65/0.50891)*100, AND(F65="Rat", BA65="cm3"), (BE65/1.971)*100, AND(F65="Mouse", BA65="mL"), (BE65/0.50891)*100, AND(F65="Rat", BA65="mL"), (BE65/1.971)*100, TRUE, "NA")</f>
        <v>0.68052730249298499</v>
      </c>
      <c r="BG65" cm="1">
        <f t="array" ref="BG65">_xlfn.IFS(AZ65="NA", "NA", BB65="NR", "NA", BB65="SD", AZ65, BB65="SE", AZ65*(SQRT(R65)), BB65="SEM", AZ65*(SQRT(R65)), TRUE, "NA")</f>
        <v>48.418674083456686</v>
      </c>
      <c r="BH65" s="18" t="s">
        <v>154</v>
      </c>
      <c r="BI65" t="s">
        <v>154</v>
      </c>
      <c r="BJ65" t="s">
        <v>154</v>
      </c>
    </row>
    <row r="66" spans="1:63" x14ac:dyDescent="0.3">
      <c r="A66" s="37" t="s">
        <v>834</v>
      </c>
      <c r="B66" t="s">
        <v>833</v>
      </c>
      <c r="C66">
        <v>2018</v>
      </c>
      <c r="D66" t="s">
        <v>835</v>
      </c>
      <c r="E66" t="s">
        <v>678</v>
      </c>
      <c r="F66" t="s">
        <v>23</v>
      </c>
      <c r="G66" t="s">
        <v>10</v>
      </c>
      <c r="H66" t="s">
        <v>34</v>
      </c>
      <c r="I66" t="s">
        <v>12</v>
      </c>
      <c r="J66" t="s">
        <v>8</v>
      </c>
      <c r="K66" t="s">
        <v>9</v>
      </c>
      <c r="L66" t="s">
        <v>9</v>
      </c>
      <c r="M66" t="s">
        <v>9</v>
      </c>
      <c r="N66">
        <v>300</v>
      </c>
      <c r="O66">
        <f t="shared" ref="O66:O67" si="7">AVERAGE(N66,P66)</f>
        <v>335</v>
      </c>
      <c r="P66">
        <v>370</v>
      </c>
      <c r="Q66">
        <v>1</v>
      </c>
      <c r="R66">
        <v>7.5</v>
      </c>
      <c r="S66">
        <v>2</v>
      </c>
      <c r="T66">
        <v>7.5</v>
      </c>
      <c r="U66" s="18" t="s">
        <v>66</v>
      </c>
      <c r="V66" t="s">
        <v>96</v>
      </c>
      <c r="W66" t="s">
        <v>8</v>
      </c>
      <c r="X66" t="s">
        <v>66</v>
      </c>
      <c r="Y66" t="s">
        <v>96</v>
      </c>
      <c r="Z66" t="s">
        <v>8</v>
      </c>
      <c r="AA66" t="s">
        <v>640</v>
      </c>
      <c r="AB66" t="s">
        <v>636</v>
      </c>
      <c r="AC66" t="s">
        <v>153</v>
      </c>
      <c r="AD66" t="s">
        <v>634</v>
      </c>
      <c r="AE66">
        <v>0</v>
      </c>
      <c r="AF66">
        <v>60</v>
      </c>
      <c r="AG66" t="s">
        <v>745</v>
      </c>
      <c r="AH66">
        <v>3</v>
      </c>
      <c r="AI66" cm="1">
        <f t="array" ref="AI66">_xlfn.IFS(AF66="NR", "NA", AG66="NR", "NA", AG66="NA","NA", AND(AG66="mg/ml", AH66&lt;&gt;"NR"), ((AF66/2492)*AH66*1000000), AND(AG66="mol/L", AH66&lt;&gt;"NR"), AF66*AH66*1000000, AG66="nmol", AF66*1000, AND(AG66="nmol/uL", AH66&lt;&gt;"NR"), AF66*AH66*1000, AG66="pg", AF66/2492, AG66="pmol", AF66, AND(AG66="pmol/uL", AH66&lt;&gt;"NR"), AF66*AH66, AG66="ug", AF66/2492*1000000, AND(AG66="ug/mL", AH66&lt;&gt;"NR"), (AF66/1000*AH66)/2492*1000000, AND(AG66="ug/uL", AH66&lt;&gt;"NR"), (AF66*AH66)/2492*1000000, AND(AG66="umol/L", AH66&lt;&gt;"NR"), AH66*AF66, TRUE, "NA")</f>
        <v>180</v>
      </c>
      <c r="AJ66">
        <v>3</v>
      </c>
      <c r="AK66">
        <v>1</v>
      </c>
      <c r="AL66" t="s">
        <v>9</v>
      </c>
      <c r="AM66" t="s">
        <v>8</v>
      </c>
      <c r="AN66" t="s">
        <v>9</v>
      </c>
      <c r="AO66" s="18" t="s">
        <v>773</v>
      </c>
      <c r="AP66" t="s">
        <v>1228</v>
      </c>
      <c r="AQ66">
        <v>-336</v>
      </c>
      <c r="AR66" t="s">
        <v>101</v>
      </c>
      <c r="AS66" s="18">
        <v>1512</v>
      </c>
      <c r="AT66" t="s">
        <v>271</v>
      </c>
      <c r="AU66" t="s">
        <v>652</v>
      </c>
      <c r="AV66" t="s">
        <v>679</v>
      </c>
      <c r="AW66">
        <f>320.99+73.68</f>
        <v>394.67</v>
      </c>
      <c r="AX66">
        <f>SQRT((4.42*SQRT(R66))^2 + (2.11*SQRT(R66))^2)</f>
        <v>13.413193132136733</v>
      </c>
      <c r="AY66">
        <f>117.68+ 3.16</f>
        <v>120.84</v>
      </c>
      <c r="AZ66">
        <f>SQRT((24.86*SQRT(T66))^2 + (3.16*SQRT(T66))^2)</f>
        <v>68.629723881128939</v>
      </c>
      <c r="BA66" t="s">
        <v>656</v>
      </c>
      <c r="BB66" t="s">
        <v>122</v>
      </c>
      <c r="BC66" cm="1">
        <f t="array" ref="BC66">_xlfn.IFS(BA66="Direct rLV % whole brain", AW66, BA66="Indirect rLV % whole brain", AW66, BA66="Direct rLV % hemisphere", AW66/2, BA66="Indirect rLV % hemisphere", AW66/2, AND(F66="Mouse", BA66="mm3"), (AW66/508.91)*100, AND(F66="Rat", BA66="mm3"), (AW66/1971)*100, AND(F66="Mouse", BA66="ul"), (AW66/508.91)*100, AND(F66="Rat", BA66="ul"), (AW66/1971)*100,  AND(F66="Mouse", BA66="nl"), (AW66/508910)*100, AND(F66="Rat", BA66="nl"), (AW66/1971000)*100, AND(F66="Mouse", BA66="cm3"), (AW66/0.50891)*100, AND(F66="Rat", BA66="cm3"), (AW66/1.971)*100, AND(F66="Mouse", BA66="mL"), (AW66/0.50891)*100, AND(F66="Rat", BA66="mL"), (AW66/1.971)*100, TRUE, "NA")</f>
        <v>20.023845763571792</v>
      </c>
      <c r="BD66" cm="1">
        <f t="array" ref="BD66">_xlfn.IFS(AZ66="NA", "NA",BA66="Direct rLV % whole brain", AY66, BA66="Indirect rLV % whole brain", AY66, BA66="Direct rLV % hemisphere", AY66/2, BA66="Indirect rLV % hemisphere", AY66/2, AND(F66="Mouse", BA66="mm3"), (AY66/508.91)*100, AND(F66="Rat", BA66="mm3"), (AY66/1971)*100, AND(F66="Mouse", BA66="ul"), (AY66/508.91)*100, AND(F66="Rat", BA66="ul"), (AY66/1971)*100,  AND(F66="Mouse", BA66="nl"), (AY66/508910)*100, AND(F66="Rat", BA66="nl"), (AY66/1971000)*100, AND(F66="Mouse", BA66="cm3"), (AY66/0.50891)*100, AND(F66="Rat", BA66="cm3"), (AY66/1.971)*100, AND(F66="Mouse", BA66="mL"), (AY66/0.50891)*100, AND(F66="Rat", BA66="mL"), (AY66/1.971)*100, TRUE, "NA")</f>
        <v>6.1308980213089805</v>
      </c>
      <c r="BE66" cm="1">
        <f t="array" ref="BE66">_xlfn.IFS(AX66="NA", "NA", BB66="NR", "NA", BB66="SD", AX66, BB66="SE", AX66*(SQRT(R66)), BB66="SEM", AX66*(SQRT(R66)), TRUE, "NA")</f>
        <v>13.413193132136733</v>
      </c>
      <c r="BF66" cm="1">
        <f t="array" ref="BF66">_xlfn.IFS(BE66="NA", "NA",BA66="Direct rLV % whole brain", BE66, BA66="Indirect rLV % whole brain", BE66, BA66="Direct rLV % hemisphere", BE66/2, BA66="Indirect rLV % hemisphere", BE66/2, AND(F66="Mouse", BA66="mm3"), (BE66/508.91)*100, AND(F66="Rat", BA66="mm3"), (BE66/1971)*100, AND(F66="Mouse", BA66="ul"), (BE66/508.91)*100, AND(F66="Rat", BA66="ul"), (BE66/1971)*100,  AND(F66="Mouse", BA66="nl"), (BE66/508910)*100, AND(F66="Rat", BA66="nl"), (BE66/1971000)*100, AND(F66="Mouse", BA66="cm3"), (BE66/0.50891)*100, AND(F66="Rat", BA66="cm3"), (BE66/1.971)*100, AND(F66="Mouse", BA66="mL"), (BE66/0.50891)*100, AND(F66="Rat", BA66="mL"), (BE66/1.971)*100, TRUE, "NA")</f>
        <v>0.68052730249298499</v>
      </c>
      <c r="BG66" cm="1">
        <f t="array" ref="BG66">_xlfn.IFS(AZ66="NA", "NA", BB66="NR", "NA", BB66="SD", AZ66, BB66="SE", AZ66*(SQRT(R66)), BB66="SEM", AZ66*(SQRT(R66)), TRUE, "NA")</f>
        <v>68.629723881128939</v>
      </c>
      <c r="BH66" s="18" t="s">
        <v>154</v>
      </c>
      <c r="BI66" t="s">
        <v>154</v>
      </c>
      <c r="BJ66" t="s">
        <v>154</v>
      </c>
    </row>
    <row r="67" spans="1:63" s="31" customFormat="1" x14ac:dyDescent="0.3">
      <c r="A67" s="31" t="s">
        <v>837</v>
      </c>
      <c r="B67" s="31" t="s">
        <v>836</v>
      </c>
      <c r="C67" s="31">
        <v>2012</v>
      </c>
      <c r="D67" s="31" t="s">
        <v>838</v>
      </c>
      <c r="E67" s="31" t="s">
        <v>647</v>
      </c>
      <c r="F67" s="31" t="s">
        <v>23</v>
      </c>
      <c r="G67" s="31" t="s">
        <v>10</v>
      </c>
      <c r="H67" s="31" t="s">
        <v>34</v>
      </c>
      <c r="I67" s="31" t="s">
        <v>12</v>
      </c>
      <c r="J67" s="31" t="s">
        <v>8</v>
      </c>
      <c r="K67" s="31" t="s">
        <v>9</v>
      </c>
      <c r="L67" s="31" t="s">
        <v>9</v>
      </c>
      <c r="M67" s="31" t="s">
        <v>9</v>
      </c>
      <c r="N67" s="31">
        <v>250</v>
      </c>
      <c r="O67" s="31">
        <f t="shared" si="7"/>
        <v>300</v>
      </c>
      <c r="P67" s="31">
        <v>350</v>
      </c>
      <c r="Q67" s="31">
        <v>1</v>
      </c>
      <c r="R67" s="31">
        <v>10</v>
      </c>
      <c r="S67" s="31">
        <v>1</v>
      </c>
      <c r="T67" s="31">
        <v>10</v>
      </c>
      <c r="U67" s="32" t="s">
        <v>839</v>
      </c>
      <c r="V67" s="31" t="s">
        <v>288</v>
      </c>
      <c r="W67" s="31" t="s">
        <v>8</v>
      </c>
      <c r="X67" s="31" t="s">
        <v>839</v>
      </c>
      <c r="Y67" s="31" t="s">
        <v>288</v>
      </c>
      <c r="Z67" s="31" t="s">
        <v>8</v>
      </c>
      <c r="AA67" s="31" t="s">
        <v>640</v>
      </c>
      <c r="AB67" s="31" t="s">
        <v>636</v>
      </c>
      <c r="AC67" s="31" t="s">
        <v>154</v>
      </c>
      <c r="AD67" s="31" t="s">
        <v>634</v>
      </c>
      <c r="AE67" s="31">
        <v>0</v>
      </c>
      <c r="AF67" s="31">
        <v>1</v>
      </c>
      <c r="AG67" s="31" t="s">
        <v>580</v>
      </c>
      <c r="AH67" s="31">
        <v>8</v>
      </c>
      <c r="AI67" cm="1">
        <f t="array" ref="AI67">_xlfn.IFS(AF67="NR", "NA", AG67="NR", "NA", AG67="NA","NA", AND(AG67="mg/ml", AH67&lt;&gt;"NR"), ((AF67/2492)*AH67*1000000), AND(AG67="mol/L", AH67&lt;&gt;"NR"), AF67*AH67*1000000, AG67="nmol", AF67*1000, AND(AG67="nmol/uL", AH67&lt;&gt;"NR"), AF67*AH67*1000, AG67="pg", AF67/2492, AG67="pmol", AF67, AND(AG67="pmol/uL", AH67&lt;&gt;"NR"), AF67*AH67, AG67="ug", AF67/2492*1000000, AND(AG67="ug/mL", AH67&lt;&gt;"NR"), (AF67/1000*AH67)/2492*1000000, AND(AG67="ug/uL", AH67&lt;&gt;"NR"), (AF67*AH67)/2492*1000000, AND(AG67="umol/L", AH67&lt;&gt;"NR"), AH67*AF67, TRUE, "NA")</f>
        <v>3210.2728731942216</v>
      </c>
      <c r="AJ67" s="31">
        <v>16</v>
      </c>
      <c r="AK67" s="31">
        <v>1</v>
      </c>
      <c r="AL67" s="31" t="s">
        <v>9</v>
      </c>
      <c r="AM67" s="31" t="s">
        <v>8</v>
      </c>
      <c r="AN67" s="31" t="s">
        <v>858</v>
      </c>
      <c r="AO67" s="32" t="s">
        <v>237</v>
      </c>
      <c r="AP67" t="s">
        <v>1228</v>
      </c>
      <c r="AQ67" s="31">
        <v>24</v>
      </c>
      <c r="AR67" s="31" t="s">
        <v>103</v>
      </c>
      <c r="AS67" s="32">
        <v>672</v>
      </c>
      <c r="AT67" s="31" t="s">
        <v>271</v>
      </c>
      <c r="AU67" s="31" t="s">
        <v>652</v>
      </c>
      <c r="AV67" s="31" t="s">
        <v>674</v>
      </c>
      <c r="AW67" s="31">
        <v>2.02</v>
      </c>
      <c r="AX67" s="31">
        <v>0.95</v>
      </c>
      <c r="AY67" s="31">
        <v>1.33</v>
      </c>
      <c r="AZ67" s="31">
        <v>0.44</v>
      </c>
      <c r="BA67" s="31" t="s">
        <v>656</v>
      </c>
      <c r="BB67" s="31" t="s">
        <v>122</v>
      </c>
      <c r="BC67" cm="1">
        <f t="array" ref="BC67">_xlfn.IFS(BA67="Direct rLV % whole brain", AW67, BA67="Indirect rLV % whole brain", AW67, BA67="Direct rLV % hemisphere", AW67/2, BA67="Indirect rLV % hemisphere", AW67/2, AND(F67="Mouse", BA67="mm3"), (AW67/508.91)*100, AND(F67="Rat", BA67="mm3"), (AW67/1971)*100, AND(F67="Mouse", BA67="ul"), (AW67/508.91)*100, AND(F67="Rat", BA67="ul"), (AW67/1971)*100,  AND(F67="Mouse", BA67="nl"), (AW67/508910)*100, AND(F67="Rat", BA67="nl"), (AW67/1971000)*100, AND(F67="Mouse", BA67="cm3"), (AW67/0.50891)*100, AND(F67="Rat", BA67="cm3"), (AW67/1.971)*100, AND(F67="Mouse", BA67="mL"), (AW67/0.50891)*100, AND(F67="Rat", BA67="mL"), (AW67/1.971)*100, TRUE, "NA")</f>
        <v>0.10248604769152714</v>
      </c>
      <c r="BD67" cm="1">
        <f t="array" ref="BD67">_xlfn.IFS(AZ67="NA", "NA",BA67="Direct rLV % whole brain", AY67, BA67="Indirect rLV % whole brain", AY67, BA67="Direct rLV % hemisphere", AY67/2, BA67="Indirect rLV % hemisphere", AY67/2, AND(F67="Mouse", BA67="mm3"), (AY67/508.91)*100, AND(F67="Rat", BA67="mm3"), (AY67/1971)*100, AND(F67="Mouse", BA67="ul"), (AY67/508.91)*100, AND(F67="Rat", BA67="ul"), (AY67/1971)*100,  AND(F67="Mouse", BA67="nl"), (AY67/508910)*100, AND(F67="Rat", BA67="nl"), (AY67/1971000)*100, AND(F67="Mouse", BA67="cm3"), (AY67/0.50891)*100, AND(F67="Rat", BA67="cm3"), (AY67/1.971)*100, AND(F67="Mouse", BA67="mL"), (AY67/0.50891)*100, AND(F67="Rat", BA67="mL"), (AY67/1.971)*100, TRUE, "NA")</f>
        <v>6.747843734145105E-2</v>
      </c>
      <c r="BE67" cm="1">
        <f t="array" ref="BE67">_xlfn.IFS(AX67="NA", "NA", BB67="NR", "NA", BB67="SD", AX67, BB67="SE", AX67*(SQRT(R67)), BB67="SEM", AX67*(SQRT(R67)), TRUE, "NA")</f>
        <v>0.95</v>
      </c>
      <c r="BF67" cm="1">
        <f t="array" ref="BF67">_xlfn.IFS(BE67="NA", "NA",BA67="Direct rLV % whole brain", BE67, BA67="Indirect rLV % whole brain", BE67, BA67="Direct rLV % hemisphere", BE67/2, BA67="Indirect rLV % hemisphere", BE67/2, AND(F67="Mouse", BA67="mm3"), (BE67/508.91)*100, AND(F67="Rat", BA67="mm3"), (BE67/1971)*100, AND(F67="Mouse", BA67="ul"), (BE67/508.91)*100, AND(F67="Rat", BA67="ul"), (BE67/1971)*100,  AND(F67="Mouse", BA67="nl"), (BE67/508910)*100, AND(F67="Rat", BA67="nl"), (BE67/1971000)*100, AND(F67="Mouse", BA67="cm3"), (BE67/0.50891)*100, AND(F67="Rat", BA67="cm3"), (BE67/1.971)*100, AND(F67="Mouse", BA67="mL"), (BE67/0.50891)*100, AND(F67="Rat", BA67="mL"), (BE67/1.971)*100, TRUE, "NA")</f>
        <v>4.8198883815322169E-2</v>
      </c>
      <c r="BG67" cm="1">
        <f t="array" ref="BG67">_xlfn.IFS(AZ67="NA", "NA", BB67="NR", "NA", BB67="SD", AZ67, BB67="SE", AZ67*(SQRT(R67)), BB67="SEM", AZ67*(SQRT(R67)), TRUE, "NA")</f>
        <v>0.44</v>
      </c>
      <c r="BH67" s="32" t="s">
        <v>154</v>
      </c>
      <c r="BI67" s="31" t="s">
        <v>154</v>
      </c>
      <c r="BJ67" s="31" t="s">
        <v>154</v>
      </c>
    </row>
    <row r="68" spans="1:63" x14ac:dyDescent="0.3">
      <c r="A68" t="s">
        <v>841</v>
      </c>
      <c r="B68" t="s">
        <v>840</v>
      </c>
      <c r="C68">
        <v>2018</v>
      </c>
      <c r="D68" t="s">
        <v>842</v>
      </c>
      <c r="E68" t="s">
        <v>647</v>
      </c>
      <c r="F68" t="s">
        <v>24</v>
      </c>
      <c r="G68" t="s">
        <v>297</v>
      </c>
      <c r="H68" t="s">
        <v>34</v>
      </c>
      <c r="I68" t="s">
        <v>12</v>
      </c>
      <c r="J68" t="s">
        <v>8</v>
      </c>
      <c r="K68" t="s">
        <v>8</v>
      </c>
      <c r="L68">
        <v>17</v>
      </c>
      <c r="M68" t="s">
        <v>8</v>
      </c>
      <c r="N68" t="s">
        <v>9</v>
      </c>
      <c r="O68" t="s">
        <v>9</v>
      </c>
      <c r="P68" t="s">
        <v>9</v>
      </c>
      <c r="Q68">
        <v>1</v>
      </c>
      <c r="R68">
        <v>12</v>
      </c>
      <c r="S68">
        <v>2</v>
      </c>
      <c r="T68">
        <v>12</v>
      </c>
      <c r="U68" s="18" t="s">
        <v>71</v>
      </c>
      <c r="V68" t="s">
        <v>288</v>
      </c>
      <c r="W68" t="s">
        <v>8</v>
      </c>
      <c r="X68" t="s">
        <v>71</v>
      </c>
      <c r="Y68" t="s">
        <v>288</v>
      </c>
      <c r="Z68" t="s">
        <v>8</v>
      </c>
      <c r="AA68" t="s">
        <v>640</v>
      </c>
      <c r="AB68" t="s">
        <v>636</v>
      </c>
      <c r="AC68" t="s">
        <v>154</v>
      </c>
      <c r="AD68" t="s">
        <v>634</v>
      </c>
      <c r="AE68">
        <v>0</v>
      </c>
      <c r="AF68">
        <v>0.2</v>
      </c>
      <c r="AG68" t="s">
        <v>580</v>
      </c>
      <c r="AH68">
        <v>4</v>
      </c>
      <c r="AI68" cm="1">
        <f t="array" ref="AI68">_xlfn.IFS(AF68="NR", "NA", AG68="NR", "NA", AG68="NA","NA", AND(AG68="mg/ml", AH68&lt;&gt;"NR"), ((AF68/2492)*AH68*1000000), AND(AG68="mol/L", AH68&lt;&gt;"NR"), AF68*AH68*1000000, AG68="nmol", AF68*1000, AND(AG68="nmol/uL", AH68&lt;&gt;"NR"), AF68*AH68*1000, AG68="pg", AF68/2492, AG68="pmol", AF68, AND(AG68="pmol/uL", AH68&lt;&gt;"NR"), AF68*AH68, AG68="ug", AF68/2492*1000000, AND(AG68="ug/mL", AH68&lt;&gt;"NR"), (AF68/1000*AH68)/2492*1000000, AND(AG68="ug/uL", AH68&lt;&gt;"NR"), (AF68*AH68)/2492*1000000, AND(AG68="umol/L", AH68&lt;&gt;"NR"), AH68*AF68, TRUE, "NA")</f>
        <v>321.02728731942216</v>
      </c>
      <c r="AJ68">
        <v>10</v>
      </c>
      <c r="AK68">
        <v>1</v>
      </c>
      <c r="AL68" t="s">
        <v>665</v>
      </c>
      <c r="AM68" t="s">
        <v>8</v>
      </c>
      <c r="AN68" t="s">
        <v>9</v>
      </c>
      <c r="AO68" s="18" t="s">
        <v>773</v>
      </c>
      <c r="AP68" t="s">
        <v>1228</v>
      </c>
      <c r="AQ68">
        <v>120</v>
      </c>
      <c r="AR68" t="s">
        <v>103</v>
      </c>
      <c r="AS68" s="18">
        <v>432</v>
      </c>
      <c r="AT68" t="s">
        <v>271</v>
      </c>
      <c r="AU68" t="s">
        <v>663</v>
      </c>
      <c r="AV68" t="s">
        <v>9</v>
      </c>
      <c r="AW68">
        <v>0.72</v>
      </c>
      <c r="AX68">
        <v>0.09</v>
      </c>
      <c r="AY68">
        <v>0.66</v>
      </c>
      <c r="AZ68">
        <v>0.05</v>
      </c>
      <c r="BA68" t="s">
        <v>656</v>
      </c>
      <c r="BB68" t="s">
        <v>123</v>
      </c>
      <c r="BC68" cm="1">
        <f t="array" ref="BC68">_xlfn.IFS(BA68="Direct rLV % whole brain", AW68, BA68="Indirect rLV % whole brain", AW68, BA68="Direct rLV % hemisphere", AW68/2, BA68="Indirect rLV % hemisphere", AW68/2, AND(F68="Mouse", BA68="mm3"), (AW68/508.91)*100, AND(F68="Rat", BA68="mm3"), (AW68/1971)*100, AND(F68="Mouse", BA68="ul"), (AW68/508.91)*100, AND(F68="Rat", BA68="ul"), (AW68/1971)*100,  AND(F68="Mouse", BA68="nl"), (AW68/508910)*100, AND(F68="Rat", BA68="nl"), (AW68/1971000)*100, AND(F68="Mouse", BA68="cm3"), (AW68/0.50891)*100, AND(F68="Rat", BA68="cm3"), (AW68/1.971)*100, AND(F68="Mouse", BA68="mL"), (AW68/0.50891)*100, AND(F68="Rat", BA68="mL"), (AW68/1.971)*100, TRUE, "NA")</f>
        <v>0.14147884694739737</v>
      </c>
      <c r="BD68" cm="1">
        <f t="array" ref="BD68">_xlfn.IFS(AZ68="NA", "NA",BA68="Direct rLV % whole brain", AY68, BA68="Indirect rLV % whole brain", AY68, BA68="Direct rLV % hemisphere", AY68/2, BA68="Indirect rLV % hemisphere", AY68/2, AND(F68="Mouse", BA68="mm3"), (AY68/508.91)*100, AND(F68="Rat", BA68="mm3"), (AY68/1971)*100, AND(F68="Mouse", BA68="ul"), (AY68/508.91)*100, AND(F68="Rat", BA68="ul"), (AY68/1971)*100,  AND(F68="Mouse", BA68="nl"), (AY68/508910)*100, AND(F68="Rat", BA68="nl"), (AY68/1971000)*100, AND(F68="Mouse", BA68="cm3"), (AY68/0.50891)*100, AND(F68="Rat", BA68="cm3"), (AY68/1.971)*100, AND(F68="Mouse", BA68="mL"), (AY68/0.50891)*100, AND(F68="Rat", BA68="mL"), (AY68/1.971)*100, TRUE, "NA")</f>
        <v>0.12968894303511425</v>
      </c>
      <c r="BE68" cm="1">
        <f t="array" ref="BE68">_xlfn.IFS(AX68="NA", "NA", BB68="NR", "NA", BB68="SD", AX68, BB68="SE", AX68*(SQRT(R68)), BB68="SEM", AX68*(SQRT(R68)), TRUE, "NA")</f>
        <v>0.31176914536239786</v>
      </c>
      <c r="BF68" cm="1">
        <f t="array" ref="BF68">_xlfn.IFS(BE68="NA", "NA",BA68="Direct rLV % whole brain", BE68, BA68="Indirect rLV % whole brain", BE68, BA68="Direct rLV % hemisphere", BE68/2, BA68="Indirect rLV % hemisphere", BE68/2, AND(F68="Mouse", BA68="mm3"), (BE68/508.91)*100, AND(F68="Rat", BA68="mm3"), (BE68/1971)*100, AND(F68="Mouse", BA68="ul"), (BE68/508.91)*100, AND(F68="Rat", BA68="ul"), (BE68/1971)*100,  AND(F68="Mouse", BA68="nl"), (BE68/508910)*100, AND(F68="Rat", BA68="nl"), (BE68/1971000)*100, AND(F68="Mouse", BA68="cm3"), (BE68/0.50891)*100, AND(F68="Rat", BA68="cm3"), (BE68/1.971)*100, AND(F68="Mouse", BA68="mL"), (BE68/0.50891)*100, AND(F68="Rat", BA68="mL"), (BE68/1.971)*100, TRUE, "NA")</f>
        <v>6.1262137777288291E-2</v>
      </c>
      <c r="BG68" cm="1">
        <f t="array" ref="BG68">_xlfn.IFS(AZ68="NA", "NA", BB68="NR", "NA", BB68="SD", AZ68, BB68="SE", AZ68*(SQRT(R68)), BB68="SEM", AZ68*(SQRT(R68)), TRUE, "NA")</f>
        <v>0.17320508075688773</v>
      </c>
      <c r="BH68" s="18" t="s">
        <v>154</v>
      </c>
      <c r="BI68" t="s">
        <v>154</v>
      </c>
      <c r="BJ68" t="s">
        <v>154</v>
      </c>
    </row>
    <row r="69" spans="1:63" x14ac:dyDescent="0.3">
      <c r="A69" t="s">
        <v>841</v>
      </c>
      <c r="B69" t="s">
        <v>840</v>
      </c>
      <c r="C69">
        <v>2018</v>
      </c>
      <c r="D69" t="s">
        <v>842</v>
      </c>
      <c r="E69" t="s">
        <v>678</v>
      </c>
      <c r="F69" t="s">
        <v>24</v>
      </c>
      <c r="G69" t="s">
        <v>297</v>
      </c>
      <c r="H69" t="s">
        <v>34</v>
      </c>
      <c r="I69" t="s">
        <v>12</v>
      </c>
      <c r="J69" t="s">
        <v>8</v>
      </c>
      <c r="K69" t="s">
        <v>8</v>
      </c>
      <c r="L69">
        <v>17</v>
      </c>
      <c r="M69" t="s">
        <v>8</v>
      </c>
      <c r="N69" t="s">
        <v>9</v>
      </c>
      <c r="O69" t="s">
        <v>9</v>
      </c>
      <c r="P69" t="s">
        <v>9</v>
      </c>
      <c r="Q69">
        <v>1</v>
      </c>
      <c r="R69">
        <v>12</v>
      </c>
      <c r="S69">
        <v>2</v>
      </c>
      <c r="T69">
        <v>14</v>
      </c>
      <c r="U69" s="18" t="s">
        <v>71</v>
      </c>
      <c r="V69" t="s">
        <v>288</v>
      </c>
      <c r="W69" t="s">
        <v>8</v>
      </c>
      <c r="X69" t="s">
        <v>71</v>
      </c>
      <c r="Y69" t="s">
        <v>288</v>
      </c>
      <c r="Z69" t="s">
        <v>8</v>
      </c>
      <c r="AA69" t="s">
        <v>640</v>
      </c>
      <c r="AB69" t="s">
        <v>636</v>
      </c>
      <c r="AC69" t="s">
        <v>154</v>
      </c>
      <c r="AD69" t="s">
        <v>634</v>
      </c>
      <c r="AE69">
        <v>0</v>
      </c>
      <c r="AF69">
        <v>0.2</v>
      </c>
      <c r="AG69" t="s">
        <v>580</v>
      </c>
      <c r="AH69">
        <v>4</v>
      </c>
      <c r="AI69" cm="1">
        <f t="array" ref="AI69">_xlfn.IFS(AF69="NR", "NA", AG69="NR", "NA", AG69="NA","NA", AND(AG69="mg/ml", AH69&lt;&gt;"NR"), ((AF69/2492)*AH69*1000000), AND(AG69="mol/L", AH69&lt;&gt;"NR"), AF69*AH69*1000000, AG69="nmol", AF69*1000, AND(AG69="nmol/uL", AH69&lt;&gt;"NR"), AF69*AH69*1000, AG69="pg", AF69/2492, AG69="pmol", AF69, AND(AG69="pmol/uL", AH69&lt;&gt;"NR"), AF69*AH69, AG69="ug", AF69/2492*1000000, AND(AG69="ug/mL", AH69&lt;&gt;"NR"), (AF69/1000*AH69)/2492*1000000, AND(AG69="ug/uL", AH69&lt;&gt;"NR"), (AF69*AH69)/2492*1000000, AND(AG69="umol/L", AH69&lt;&gt;"NR"), AH69*AF69, TRUE, "NA")</f>
        <v>321.02728731942216</v>
      </c>
      <c r="AJ69">
        <v>10</v>
      </c>
      <c r="AK69">
        <v>1</v>
      </c>
      <c r="AL69" t="s">
        <v>665</v>
      </c>
      <c r="AM69" t="s">
        <v>8</v>
      </c>
      <c r="AN69" t="s">
        <v>9</v>
      </c>
      <c r="AO69" s="18" t="s">
        <v>843</v>
      </c>
      <c r="AP69" t="s">
        <v>1228</v>
      </c>
      <c r="AQ69">
        <v>120</v>
      </c>
      <c r="AR69" t="s">
        <v>103</v>
      </c>
      <c r="AS69" s="18">
        <v>432</v>
      </c>
      <c r="AT69" t="s">
        <v>271</v>
      </c>
      <c r="AU69" t="s">
        <v>663</v>
      </c>
      <c r="AV69" t="s">
        <v>9</v>
      </c>
      <c r="AW69">
        <v>0.72</v>
      </c>
      <c r="AX69">
        <v>0.09</v>
      </c>
      <c r="AY69">
        <v>0.67</v>
      </c>
      <c r="AZ69">
        <v>0.06</v>
      </c>
      <c r="BA69" t="s">
        <v>656</v>
      </c>
      <c r="BB69" t="s">
        <v>123</v>
      </c>
      <c r="BC69" cm="1">
        <f t="array" ref="BC69">_xlfn.IFS(BA69="Direct rLV % whole brain", AW69, BA69="Indirect rLV % whole brain", AW69, BA69="Direct rLV % hemisphere", AW69/2, BA69="Indirect rLV % hemisphere", AW69/2, AND(F69="Mouse", BA69="mm3"), (AW69/508.91)*100, AND(F69="Rat", BA69="mm3"), (AW69/1971)*100, AND(F69="Mouse", BA69="ul"), (AW69/508.91)*100, AND(F69="Rat", BA69="ul"), (AW69/1971)*100,  AND(F69="Mouse", BA69="nl"), (AW69/508910)*100, AND(F69="Rat", BA69="nl"), (AW69/1971000)*100, AND(F69="Mouse", BA69="cm3"), (AW69/0.50891)*100, AND(F69="Rat", BA69="cm3"), (AW69/1.971)*100, AND(F69="Mouse", BA69="mL"), (AW69/0.50891)*100, AND(F69="Rat", BA69="mL"), (AW69/1.971)*100, TRUE, "NA")</f>
        <v>0.14147884694739737</v>
      </c>
      <c r="BD69" cm="1">
        <f t="array" ref="BD69">_xlfn.IFS(AZ69="NA", "NA",BA69="Direct rLV % whole brain", AY69, BA69="Indirect rLV % whole brain", AY69, BA69="Direct rLV % hemisphere", AY69/2, BA69="Indirect rLV % hemisphere", AY69/2, AND(F69="Mouse", BA69="mm3"), (AY69/508.91)*100, AND(F69="Rat", BA69="mm3"), (AY69/1971)*100, AND(F69="Mouse", BA69="ul"), (AY69/508.91)*100, AND(F69="Rat", BA69="ul"), (AY69/1971)*100,  AND(F69="Mouse", BA69="nl"), (AY69/508910)*100, AND(F69="Rat", BA69="nl"), (AY69/1971000)*100, AND(F69="Mouse", BA69="cm3"), (AY69/0.50891)*100, AND(F69="Rat", BA69="cm3"), (AY69/1.971)*100, AND(F69="Mouse", BA69="mL"), (AY69/0.50891)*100, AND(F69="Rat", BA69="mL"), (AY69/1.971)*100, TRUE, "NA")</f>
        <v>0.13165392702049478</v>
      </c>
      <c r="BE69" cm="1">
        <f t="array" ref="BE69">_xlfn.IFS(AX69="NA", "NA", BB69="NR", "NA", BB69="SD", AX69, BB69="SE", AX69*(SQRT(R69)), BB69="SEM", AX69*(SQRT(R69)), TRUE, "NA")</f>
        <v>0.31176914536239786</v>
      </c>
      <c r="BF69" cm="1">
        <f t="array" ref="BF69">_xlfn.IFS(BE69="NA", "NA",BA69="Direct rLV % whole brain", BE69, BA69="Indirect rLV % whole brain", BE69, BA69="Direct rLV % hemisphere", BE69/2, BA69="Indirect rLV % hemisphere", BE69/2, AND(F69="Mouse", BA69="mm3"), (BE69/508.91)*100, AND(F69="Rat", BA69="mm3"), (BE69/1971)*100, AND(F69="Mouse", BA69="ul"), (BE69/508.91)*100, AND(F69="Rat", BA69="ul"), (BE69/1971)*100,  AND(F69="Mouse", BA69="nl"), (BE69/508910)*100, AND(F69="Rat", BA69="nl"), (BE69/1971000)*100, AND(F69="Mouse", BA69="cm3"), (BE69/0.50891)*100, AND(F69="Rat", BA69="cm3"), (BE69/1.971)*100, AND(F69="Mouse", BA69="mL"), (BE69/0.50891)*100, AND(F69="Rat", BA69="mL"), (BE69/1.971)*100, TRUE, "NA")</f>
        <v>6.1262137777288291E-2</v>
      </c>
      <c r="BG69" cm="1">
        <f t="array" ref="BG69">_xlfn.IFS(AZ69="NA", "NA", BB69="NR", "NA", BB69="SD", AZ69, BB69="SE", AZ69*(SQRT(R69)), BB69="SEM", AZ69*(SQRT(R69)), TRUE, "NA")</f>
        <v>0.20784609690826525</v>
      </c>
      <c r="BH69" s="18" t="s">
        <v>154</v>
      </c>
      <c r="BI69" t="s">
        <v>154</v>
      </c>
      <c r="BJ69" t="s">
        <v>154</v>
      </c>
    </row>
    <row r="70" spans="1:63" x14ac:dyDescent="0.3">
      <c r="A70" t="s">
        <v>841</v>
      </c>
      <c r="B70" t="s">
        <v>840</v>
      </c>
      <c r="C70">
        <v>2018</v>
      </c>
      <c r="D70" t="s">
        <v>842</v>
      </c>
      <c r="E70" t="s">
        <v>699</v>
      </c>
      <c r="F70" t="s">
        <v>24</v>
      </c>
      <c r="G70" t="s">
        <v>297</v>
      </c>
      <c r="H70" t="s">
        <v>34</v>
      </c>
      <c r="I70" t="s">
        <v>168</v>
      </c>
      <c r="J70" t="s">
        <v>8</v>
      </c>
      <c r="K70">
        <v>70</v>
      </c>
      <c r="L70">
        <f>AVERAGE(K70,M70)</f>
        <v>74</v>
      </c>
      <c r="M70">
        <v>78</v>
      </c>
      <c r="N70" t="s">
        <v>9</v>
      </c>
      <c r="O70" t="s">
        <v>9</v>
      </c>
      <c r="P70" t="s">
        <v>9</v>
      </c>
      <c r="Q70">
        <v>1</v>
      </c>
      <c r="R70">
        <v>8</v>
      </c>
      <c r="S70">
        <v>2</v>
      </c>
      <c r="T70">
        <v>8</v>
      </c>
      <c r="U70" s="18" t="s">
        <v>71</v>
      </c>
      <c r="V70" t="s">
        <v>288</v>
      </c>
      <c r="W70" t="s">
        <v>8</v>
      </c>
      <c r="X70" t="s">
        <v>71</v>
      </c>
      <c r="Y70" t="s">
        <v>288</v>
      </c>
      <c r="Z70" t="s">
        <v>8</v>
      </c>
      <c r="AA70" t="s">
        <v>640</v>
      </c>
      <c r="AB70" t="s">
        <v>636</v>
      </c>
      <c r="AC70" t="s">
        <v>154</v>
      </c>
      <c r="AD70" t="s">
        <v>634</v>
      </c>
      <c r="AE70">
        <v>0</v>
      </c>
      <c r="AF70">
        <v>0.2</v>
      </c>
      <c r="AG70" t="s">
        <v>580</v>
      </c>
      <c r="AH70">
        <v>3</v>
      </c>
      <c r="AI70" cm="1">
        <f t="array" ref="AI70">_xlfn.IFS(AF70="NR", "NA", AG70="NR", "NA", AG70="NA","NA", AND(AG70="mg/ml", AH70&lt;&gt;"NR"), ((AF70/2492)*AH70*1000000), AND(AG70="mol/L", AH70&lt;&gt;"NR"), AF70*AH70*1000000, AG70="nmol", AF70*1000, AND(AG70="nmol/uL", AH70&lt;&gt;"NR"), AF70*AH70*1000, AG70="pg", AF70/2492, AG70="pmol", AF70, AND(AG70="pmol/uL", AH70&lt;&gt;"NR"), AF70*AH70, AG70="ug", AF70/2492*1000000, AND(AG70="ug/mL", AH70&lt;&gt;"NR"), (AF70/1000*AH70)/2492*1000000, AND(AG70="ug/uL", AH70&lt;&gt;"NR"), (AF70*AH70)/2492*1000000, AND(AG70="umol/L", AH70&lt;&gt;"NR"), AH70*AF70, TRUE, "NA")</f>
        <v>240.77046548956665</v>
      </c>
      <c r="AJ70">
        <v>10</v>
      </c>
      <c r="AK70">
        <v>1</v>
      </c>
      <c r="AL70" t="s">
        <v>665</v>
      </c>
      <c r="AM70" t="s">
        <v>8</v>
      </c>
      <c r="AN70" t="s">
        <v>9</v>
      </c>
      <c r="AO70" s="18" t="s">
        <v>773</v>
      </c>
      <c r="AP70" t="s">
        <v>1228</v>
      </c>
      <c r="AQ70">
        <v>120</v>
      </c>
      <c r="AR70" t="s">
        <v>103</v>
      </c>
      <c r="AS70" s="18">
        <v>432</v>
      </c>
      <c r="AT70" t="s">
        <v>271</v>
      </c>
      <c r="AU70" t="s">
        <v>663</v>
      </c>
      <c r="AV70" t="s">
        <v>9</v>
      </c>
      <c r="AW70">
        <v>0.85</v>
      </c>
      <c r="AX70">
        <v>0.09</v>
      </c>
      <c r="AY70">
        <v>0.7</v>
      </c>
      <c r="AZ70">
        <v>0.04</v>
      </c>
      <c r="BA70" t="s">
        <v>656</v>
      </c>
      <c r="BB70" t="s">
        <v>123</v>
      </c>
      <c r="BC70" cm="1">
        <f t="array" ref="BC70">_xlfn.IFS(BA70="Direct rLV % whole brain", AW70, BA70="Indirect rLV % whole brain", AW70, BA70="Direct rLV % hemisphere", AW70/2, BA70="Indirect rLV % hemisphere", AW70/2, AND(F70="Mouse", BA70="mm3"), (AW70/508.91)*100, AND(F70="Rat", BA70="mm3"), (AW70/1971)*100, AND(F70="Mouse", BA70="ul"), (AW70/508.91)*100, AND(F70="Rat", BA70="ul"), (AW70/1971)*100,  AND(F70="Mouse", BA70="nl"), (AW70/508910)*100, AND(F70="Rat", BA70="nl"), (AW70/1971000)*100, AND(F70="Mouse", BA70="cm3"), (AW70/0.50891)*100, AND(F70="Rat", BA70="cm3"), (AW70/1.971)*100, AND(F70="Mouse", BA70="mL"), (AW70/0.50891)*100, AND(F70="Rat", BA70="mL"), (AW70/1.971)*100, TRUE, "NA")</f>
        <v>0.16702363875734411</v>
      </c>
      <c r="BD70" cm="1">
        <f t="array" ref="BD70">_xlfn.IFS(AZ70="NA", "NA",BA70="Direct rLV % whole brain", AY70, BA70="Indirect rLV % whole brain", AY70, BA70="Direct rLV % hemisphere", AY70/2, BA70="Indirect rLV % hemisphere", AY70/2, AND(F70="Mouse", BA70="mm3"), (AY70/508.91)*100, AND(F70="Rat", BA70="mm3"), (AY70/1971)*100, AND(F70="Mouse", BA70="ul"), (AY70/508.91)*100, AND(F70="Rat", BA70="ul"), (AY70/1971)*100,  AND(F70="Mouse", BA70="nl"), (AY70/508910)*100, AND(F70="Rat", BA70="nl"), (AY70/1971000)*100, AND(F70="Mouse", BA70="cm3"), (AY70/0.50891)*100, AND(F70="Rat", BA70="cm3"), (AY70/1.971)*100, AND(F70="Mouse", BA70="mL"), (AY70/0.50891)*100, AND(F70="Rat", BA70="mL"), (AY70/1.971)*100, TRUE, "NA")</f>
        <v>0.13754887897663631</v>
      </c>
      <c r="BE70" cm="1">
        <f t="array" ref="BE70">_xlfn.IFS(AX70="NA", "NA", BB70="NR", "NA", BB70="SD", AX70, BB70="SE", AX70*(SQRT(R70)), BB70="SEM", AX70*(SQRT(R70)), TRUE, "NA")</f>
        <v>0.2545584412271571</v>
      </c>
      <c r="BF70" cm="1">
        <f t="array" ref="BF70">_xlfn.IFS(BE70="NA", "NA",BA70="Direct rLV % whole brain", BE70, BA70="Indirect rLV % whole brain", BE70, BA70="Direct rLV % hemisphere", BE70/2, BA70="Indirect rLV % hemisphere", BE70/2, AND(F70="Mouse", BA70="mm3"), (BE70/508.91)*100, AND(F70="Rat", BA70="mm3"), (BE70/1971)*100, AND(F70="Mouse", BA70="ul"), (BE70/508.91)*100, AND(F70="Rat", BA70="ul"), (BE70/1971)*100,  AND(F70="Mouse", BA70="nl"), (BE70/508910)*100, AND(F70="Rat", BA70="nl"), (BE70/1971000)*100, AND(F70="Mouse", BA70="cm3"), (BE70/0.50891)*100, AND(F70="Rat", BA70="cm3"), (BE70/1.971)*100, AND(F70="Mouse", BA70="mL"), (BE70/0.50891)*100, AND(F70="Rat", BA70="mL"), (BE70/1.971)*100, TRUE, "NA")</f>
        <v>5.0020326035479179E-2</v>
      </c>
      <c r="BG70" cm="1">
        <f t="array" ref="BG70">_xlfn.IFS(AZ70="NA", "NA", BB70="NR", "NA", BB70="SD", AZ70, BB70="SE", AZ70*(SQRT(R70)), BB70="SEM", AZ70*(SQRT(R70)), TRUE, "NA")</f>
        <v>0.11313708498984762</v>
      </c>
      <c r="BH70" s="18" t="s">
        <v>154</v>
      </c>
      <c r="BI70" t="s">
        <v>154</v>
      </c>
      <c r="BJ70" t="s">
        <v>154</v>
      </c>
    </row>
    <row r="71" spans="1:63" x14ac:dyDescent="0.3">
      <c r="A71" t="s">
        <v>841</v>
      </c>
      <c r="B71" t="s">
        <v>840</v>
      </c>
      <c r="C71">
        <v>2018</v>
      </c>
      <c r="D71" t="s">
        <v>842</v>
      </c>
      <c r="E71" t="s">
        <v>760</v>
      </c>
      <c r="F71" t="s">
        <v>24</v>
      </c>
      <c r="G71" t="s">
        <v>297</v>
      </c>
      <c r="H71" t="s">
        <v>34</v>
      </c>
      <c r="I71" t="s">
        <v>168</v>
      </c>
      <c r="J71" t="s">
        <v>8</v>
      </c>
      <c r="K71">
        <v>74</v>
      </c>
      <c r="L71">
        <f>AVERAGE(K71,M71)</f>
        <v>78.5</v>
      </c>
      <c r="M71">
        <v>83</v>
      </c>
      <c r="N71" t="s">
        <v>9</v>
      </c>
      <c r="O71" t="s">
        <v>9</v>
      </c>
      <c r="P71" t="s">
        <v>9</v>
      </c>
      <c r="Q71">
        <v>1</v>
      </c>
      <c r="R71">
        <v>8</v>
      </c>
      <c r="S71">
        <v>2</v>
      </c>
      <c r="T71">
        <v>9</v>
      </c>
      <c r="U71" s="18" t="s">
        <v>71</v>
      </c>
      <c r="V71" t="s">
        <v>288</v>
      </c>
      <c r="W71" t="s">
        <v>8</v>
      </c>
      <c r="X71" t="s">
        <v>71</v>
      </c>
      <c r="Y71" t="s">
        <v>288</v>
      </c>
      <c r="Z71" t="s">
        <v>8</v>
      </c>
      <c r="AA71" t="s">
        <v>640</v>
      </c>
      <c r="AB71" t="s">
        <v>636</v>
      </c>
      <c r="AC71" t="s">
        <v>154</v>
      </c>
      <c r="AD71" t="s">
        <v>634</v>
      </c>
      <c r="AE71">
        <v>0</v>
      </c>
      <c r="AF71">
        <v>0.2</v>
      </c>
      <c r="AG71" t="s">
        <v>580</v>
      </c>
      <c r="AH71">
        <v>3</v>
      </c>
      <c r="AI71" cm="1">
        <f t="array" ref="AI71">_xlfn.IFS(AF71="NR", "NA", AG71="NR", "NA", AG71="NA","NA", AND(AG71="mg/ml", AH71&lt;&gt;"NR"), ((AF71/2492)*AH71*1000000), AND(AG71="mol/L", AH71&lt;&gt;"NR"), AF71*AH71*1000000, AG71="nmol", AF71*1000, AND(AG71="nmol/uL", AH71&lt;&gt;"NR"), AF71*AH71*1000, AG71="pg", AF71/2492, AG71="pmol", AF71, AND(AG71="pmol/uL", AH71&lt;&gt;"NR"), AF71*AH71, AG71="ug", AF71/2492*1000000, AND(AG71="ug/mL", AH71&lt;&gt;"NR"), (AF71/1000*AH71)/2492*1000000, AND(AG71="ug/uL", AH71&lt;&gt;"NR"), (AF71*AH71)/2492*1000000, AND(AG71="umol/L", AH71&lt;&gt;"NR"), AH71*AF71, TRUE, "NA")</f>
        <v>240.77046548956665</v>
      </c>
      <c r="AJ71">
        <v>10</v>
      </c>
      <c r="AK71">
        <v>1</v>
      </c>
      <c r="AL71" t="s">
        <v>665</v>
      </c>
      <c r="AM71" t="s">
        <v>8</v>
      </c>
      <c r="AN71" t="s">
        <v>9</v>
      </c>
      <c r="AO71" s="18" t="s">
        <v>843</v>
      </c>
      <c r="AP71" t="s">
        <v>1228</v>
      </c>
      <c r="AQ71">
        <v>120</v>
      </c>
      <c r="AR71" t="s">
        <v>103</v>
      </c>
      <c r="AS71" s="18">
        <v>432</v>
      </c>
      <c r="AT71" t="s">
        <v>271</v>
      </c>
      <c r="AU71" t="s">
        <v>663</v>
      </c>
      <c r="AV71" t="s">
        <v>9</v>
      </c>
      <c r="AW71">
        <v>0.85</v>
      </c>
      <c r="AX71">
        <v>0.09</v>
      </c>
      <c r="AY71">
        <v>0.73</v>
      </c>
      <c r="AZ71">
        <v>0.09</v>
      </c>
      <c r="BA71" t="s">
        <v>656</v>
      </c>
      <c r="BB71" t="s">
        <v>123</v>
      </c>
      <c r="BC71" cm="1">
        <f t="array" ref="BC71">_xlfn.IFS(BA71="Direct rLV % whole brain", AW71, BA71="Indirect rLV % whole brain", AW71, BA71="Direct rLV % hemisphere", AW71/2, BA71="Indirect rLV % hemisphere", AW71/2, AND(F71="Mouse", BA71="mm3"), (AW71/508.91)*100, AND(F71="Rat", BA71="mm3"), (AW71/1971)*100, AND(F71="Mouse", BA71="ul"), (AW71/508.91)*100, AND(F71="Rat", BA71="ul"), (AW71/1971)*100,  AND(F71="Mouse", BA71="nl"), (AW71/508910)*100, AND(F71="Rat", BA71="nl"), (AW71/1971000)*100, AND(F71="Mouse", BA71="cm3"), (AW71/0.50891)*100, AND(F71="Rat", BA71="cm3"), (AW71/1.971)*100, AND(F71="Mouse", BA71="mL"), (AW71/0.50891)*100, AND(F71="Rat", BA71="mL"), (AW71/1.971)*100, TRUE, "NA")</f>
        <v>0.16702363875734411</v>
      </c>
      <c r="BD71" cm="1">
        <f t="array" ref="BD71">_xlfn.IFS(AZ71="NA", "NA",BA71="Direct rLV % whole brain", AY71, BA71="Indirect rLV % whole brain", AY71, BA71="Direct rLV % hemisphere", AY71/2, BA71="Indirect rLV % hemisphere", AY71/2, AND(F71="Mouse", BA71="mm3"), (AY71/508.91)*100, AND(F71="Rat", BA71="mm3"), (AY71/1971)*100, AND(F71="Mouse", BA71="ul"), (AY71/508.91)*100, AND(F71="Rat", BA71="ul"), (AY71/1971)*100,  AND(F71="Mouse", BA71="nl"), (AY71/508910)*100, AND(F71="Rat", BA71="nl"), (AY71/1971000)*100, AND(F71="Mouse", BA71="cm3"), (AY71/0.50891)*100, AND(F71="Rat", BA71="cm3"), (AY71/1.971)*100, AND(F71="Mouse", BA71="mL"), (AY71/0.50891)*100, AND(F71="Rat", BA71="mL"), (AY71/1.971)*100, TRUE, "NA")</f>
        <v>0.14344383093277788</v>
      </c>
      <c r="BE71" cm="1">
        <f t="array" ref="BE71">_xlfn.IFS(AX71="NA", "NA", BB71="NR", "NA", BB71="SD", AX71, BB71="SE", AX71*(SQRT(R71)), BB71="SEM", AX71*(SQRT(R71)), TRUE, "NA")</f>
        <v>0.2545584412271571</v>
      </c>
      <c r="BF71" cm="1">
        <f t="array" ref="BF71">_xlfn.IFS(BE71="NA", "NA",BA71="Direct rLV % whole brain", BE71, BA71="Indirect rLV % whole brain", BE71, BA71="Direct rLV % hemisphere", BE71/2, BA71="Indirect rLV % hemisphere", BE71/2, AND(F71="Mouse", BA71="mm3"), (BE71/508.91)*100, AND(F71="Rat", BA71="mm3"), (BE71/1971)*100, AND(F71="Mouse", BA71="ul"), (BE71/508.91)*100, AND(F71="Rat", BA71="ul"), (BE71/1971)*100,  AND(F71="Mouse", BA71="nl"), (BE71/508910)*100, AND(F71="Rat", BA71="nl"), (BE71/1971000)*100, AND(F71="Mouse", BA71="cm3"), (BE71/0.50891)*100, AND(F71="Rat", BA71="cm3"), (BE71/1.971)*100, AND(F71="Mouse", BA71="mL"), (BE71/0.50891)*100, AND(F71="Rat", BA71="mL"), (BE71/1.971)*100, TRUE, "NA")</f>
        <v>5.0020326035479179E-2</v>
      </c>
      <c r="BG71" cm="1">
        <f t="array" ref="BG71">_xlfn.IFS(AZ71="NA", "NA", BB71="NR", "NA", BB71="SD", AZ71, BB71="SE", AZ71*(SQRT(R71)), BB71="SEM", AZ71*(SQRT(R71)), TRUE, "NA")</f>
        <v>0.2545584412271571</v>
      </c>
      <c r="BH71" s="18" t="s">
        <v>154</v>
      </c>
      <c r="BI71" t="s">
        <v>154</v>
      </c>
      <c r="BJ71" t="s">
        <v>154</v>
      </c>
    </row>
    <row r="72" spans="1:63" s="31" customFormat="1" x14ac:dyDescent="0.3">
      <c r="A72" s="31" t="s">
        <v>844</v>
      </c>
      <c r="B72" s="31" t="s">
        <v>840</v>
      </c>
      <c r="C72" s="31">
        <v>2013</v>
      </c>
      <c r="D72" s="31" t="s">
        <v>845</v>
      </c>
      <c r="E72" s="31" t="s">
        <v>647</v>
      </c>
      <c r="F72" s="31" t="s">
        <v>24</v>
      </c>
      <c r="G72" s="31" t="s">
        <v>297</v>
      </c>
      <c r="H72" s="31" t="s">
        <v>34</v>
      </c>
      <c r="I72" s="31" t="s">
        <v>12</v>
      </c>
      <c r="J72" s="31" t="s">
        <v>8</v>
      </c>
      <c r="K72" s="31" t="s">
        <v>8</v>
      </c>
      <c r="L72" s="31">
        <v>13</v>
      </c>
      <c r="M72" s="31" t="s">
        <v>8</v>
      </c>
      <c r="N72" s="31" t="s">
        <v>9</v>
      </c>
      <c r="O72" s="31" t="s">
        <v>9</v>
      </c>
      <c r="P72" s="31" t="s">
        <v>9</v>
      </c>
      <c r="Q72" s="31">
        <v>1</v>
      </c>
      <c r="R72" s="31">
        <v>11</v>
      </c>
      <c r="S72" s="31" t="s">
        <v>8</v>
      </c>
      <c r="T72" s="31" t="s">
        <v>8</v>
      </c>
      <c r="U72" s="32" t="s">
        <v>71</v>
      </c>
      <c r="V72" s="31" t="s">
        <v>288</v>
      </c>
      <c r="W72" s="31" t="s">
        <v>8</v>
      </c>
      <c r="X72" s="31" t="s">
        <v>71</v>
      </c>
      <c r="Y72" s="31" t="s">
        <v>288</v>
      </c>
      <c r="Z72" s="31" t="s">
        <v>8</v>
      </c>
      <c r="AA72" s="31" t="s">
        <v>640</v>
      </c>
      <c r="AB72" s="31" t="s">
        <v>636</v>
      </c>
      <c r="AC72" s="31" t="s">
        <v>154</v>
      </c>
      <c r="AD72" s="31" t="s">
        <v>634</v>
      </c>
      <c r="AE72" s="31">
        <v>0</v>
      </c>
      <c r="AF72" s="31">
        <v>320</v>
      </c>
      <c r="AG72" s="31" t="s">
        <v>650</v>
      </c>
      <c r="AH72" s="31">
        <v>3</v>
      </c>
      <c r="AI72" cm="1">
        <f t="array" ref="AI72">_xlfn.IFS(AF72="NR", "NA", AG72="NR", "NA", AG72="NA","NA", AND(AG72="mg/ml", AH72&lt;&gt;"NR"), ((AF72/2492)*AH72*1000000), AND(AG72="mol/L", AH72&lt;&gt;"NR"), AF72*AH72*1000000, AG72="nmol", AF72*1000, AND(AG72="nmol/uL", AH72&lt;&gt;"NR"), AF72*AH72*1000, AG72="pg", AF72/2492, AG72="pmol", AF72, AND(AG72="pmol/uL", AH72&lt;&gt;"NR"), AF72*AH72, AG72="ug", AF72/2492*1000000, AND(AG72="ug/mL", AH72&lt;&gt;"NR"), (AF72/1000*AH72)/2492*1000000, AND(AG72="ug/uL", AH72&lt;&gt;"NR"), (AF72*AH72)/2492*1000000, AND(AG72="umol/L", AH72&lt;&gt;"NR"), AH72*AF72, TRUE, "NA")</f>
        <v>320</v>
      </c>
      <c r="AJ72" s="31">
        <v>10</v>
      </c>
      <c r="AK72" s="31">
        <v>1</v>
      </c>
      <c r="AL72" s="31" t="s">
        <v>701</v>
      </c>
      <c r="AM72" s="31" t="s">
        <v>665</v>
      </c>
      <c r="AN72" s="31" t="s">
        <v>857</v>
      </c>
      <c r="AO72" s="32" t="s">
        <v>12</v>
      </c>
      <c r="AP72" s="31" t="s">
        <v>8</v>
      </c>
      <c r="AQ72" s="31" t="s">
        <v>8</v>
      </c>
      <c r="AR72" s="31" t="s">
        <v>8</v>
      </c>
      <c r="AS72" s="32">
        <v>648</v>
      </c>
      <c r="AT72" s="31" t="s">
        <v>271</v>
      </c>
      <c r="AU72" s="31" t="s">
        <v>663</v>
      </c>
      <c r="AV72" s="31" t="s">
        <v>8</v>
      </c>
      <c r="AW72" s="31">
        <v>0.73</v>
      </c>
      <c r="AX72" s="31">
        <v>0.15</v>
      </c>
      <c r="AY72" s="31" t="s">
        <v>8</v>
      </c>
      <c r="AZ72" s="31" t="s">
        <v>8</v>
      </c>
      <c r="BA72" s="31" t="s">
        <v>656</v>
      </c>
      <c r="BB72" s="31" t="s">
        <v>9</v>
      </c>
      <c r="BC72" cm="1">
        <f t="array" ref="BC72">_xlfn.IFS(BA72="Direct rLV % whole brain", AW72, BA72="Indirect rLV % whole brain", AW72, BA72="Direct rLV % hemisphere", AW72/2, BA72="Indirect rLV % hemisphere", AW72/2, AND(F72="Mouse", BA72="mm3"), (AW72/508.91)*100, AND(F72="Rat", BA72="mm3"), (AW72/1971)*100, AND(F72="Mouse", BA72="ul"), (AW72/508.91)*100, AND(F72="Rat", BA72="ul"), (AW72/1971)*100,  AND(F72="Mouse", BA72="nl"), (AW72/508910)*100, AND(F72="Rat", BA72="nl"), (AW72/1971000)*100, AND(F72="Mouse", BA72="cm3"), (AW72/0.50891)*100, AND(F72="Rat", BA72="cm3"), (AW72/1.971)*100, AND(F72="Mouse", BA72="mL"), (AW72/0.50891)*100, AND(F72="Rat", BA72="mL"), (AW72/1.971)*100, TRUE, "NA")</f>
        <v>0.14344383093277788</v>
      </c>
      <c r="BD72" t="str" cm="1">
        <f t="array" ref="BD72">_xlfn.IFS(AZ72="NA", "NA",BA72="Direct rLV % whole brain", AY72, BA72="Indirect rLV % whole brain", AY72, BA72="Direct rLV % hemisphere", AY72/2, BA72="Indirect rLV % hemisphere", AY72/2, AND(F72="Mouse", BA72="mm3"), (AY72/508.91)*100, AND(F72="Rat", BA72="mm3"), (AY72/1971)*100, AND(F72="Mouse", BA72="ul"), (AY72/508.91)*100, AND(F72="Rat", BA72="ul"), (AY72/1971)*100,  AND(F72="Mouse", BA72="nl"), (AY72/508910)*100, AND(F72="Rat", BA72="nl"), (AY72/1971000)*100, AND(F72="Mouse", BA72="cm3"), (AY72/0.50891)*100, AND(F72="Rat", BA72="cm3"), (AY72/1.971)*100, AND(F72="Mouse", BA72="mL"), (AY72/0.50891)*100, AND(F72="Rat", BA72="mL"), (AY72/1.971)*100, TRUE, "NA")</f>
        <v>NA</v>
      </c>
      <c r="BE72" t="str" cm="1">
        <f t="array" ref="BE72">_xlfn.IFS(AX72="NA", "NA", BB72="NR", "NA", BB72="SD", AX72, BB72="SE", AX72*(SQRT(R72)), BB72="SEM", AX72*(SQRT(R72)), TRUE, "NA")</f>
        <v>NA</v>
      </c>
      <c r="BF72" t="str" cm="1">
        <f t="array" ref="BF72">_xlfn.IFS(BE72="NA", "NA",BA72="Direct rLV % whole brain", BE72, BA72="Indirect rLV % whole brain", BE72, BA72="Direct rLV % hemisphere", BE72/2, BA72="Indirect rLV % hemisphere", BE72/2, AND(F72="Mouse", BA72="mm3"), (BE72/508.91)*100, AND(F72="Rat", BA72="mm3"), (BE72/1971)*100, AND(F72="Mouse", BA72="ul"), (BE72/508.91)*100, AND(F72="Rat", BA72="ul"), (BE72/1971)*100,  AND(F72="Mouse", BA72="nl"), (BE72/508910)*100, AND(F72="Rat", BA72="nl"), (BE72/1971000)*100, AND(F72="Mouse", BA72="cm3"), (BE72/0.50891)*100, AND(F72="Rat", BA72="cm3"), (BE72/1.971)*100, AND(F72="Mouse", BA72="mL"), (BE72/0.50891)*100, AND(F72="Rat", BA72="mL"), (BE72/1.971)*100, TRUE, "NA")</f>
        <v>NA</v>
      </c>
      <c r="BG72" t="str" cm="1">
        <f t="array" ref="BG72">_xlfn.IFS(AZ72="NA", "NA", BB72="NR", "NA", BB72="SD", AZ72, BB72="SE", AZ72*(SQRT(R72)), BB72="SEM", AZ72*(SQRT(R72)), TRUE, "NA")</f>
        <v>NA</v>
      </c>
      <c r="BH72" s="32" t="s">
        <v>154</v>
      </c>
      <c r="BI72" s="31" t="s">
        <v>153</v>
      </c>
      <c r="BJ72" s="31" t="s">
        <v>154</v>
      </c>
      <c r="BK72" s="31" t="s">
        <v>846</v>
      </c>
    </row>
    <row r="73" spans="1:63" x14ac:dyDescent="0.3">
      <c r="A73" t="s">
        <v>862</v>
      </c>
      <c r="B73" t="s">
        <v>861</v>
      </c>
      <c r="C73">
        <v>2016</v>
      </c>
      <c r="D73" t="s">
        <v>863</v>
      </c>
      <c r="E73" t="s">
        <v>647</v>
      </c>
      <c r="F73" t="s">
        <v>23</v>
      </c>
      <c r="G73" t="s">
        <v>10</v>
      </c>
      <c r="H73" t="s">
        <v>35</v>
      </c>
      <c r="I73" t="s">
        <v>12</v>
      </c>
      <c r="J73" t="s">
        <v>8</v>
      </c>
      <c r="K73">
        <v>9</v>
      </c>
      <c r="L73">
        <f>AVERAGE(K73,M73)</f>
        <v>11</v>
      </c>
      <c r="M73">
        <v>13</v>
      </c>
      <c r="N73" t="s">
        <v>9</v>
      </c>
      <c r="O73" t="s">
        <v>9</v>
      </c>
      <c r="P73" t="s">
        <v>9</v>
      </c>
      <c r="Q73">
        <v>1</v>
      </c>
      <c r="R73">
        <v>11</v>
      </c>
      <c r="S73">
        <v>1</v>
      </c>
      <c r="T73">
        <v>14</v>
      </c>
      <c r="U73" s="18" t="s">
        <v>71</v>
      </c>
      <c r="V73" t="s">
        <v>288</v>
      </c>
      <c r="W73" t="s">
        <v>8</v>
      </c>
      <c r="X73" t="s">
        <v>71</v>
      </c>
      <c r="Y73" t="s">
        <v>288</v>
      </c>
      <c r="Z73" t="s">
        <v>8</v>
      </c>
      <c r="AA73" t="s">
        <v>640</v>
      </c>
      <c r="AB73" t="s">
        <v>636</v>
      </c>
      <c r="AC73" t="s">
        <v>154</v>
      </c>
      <c r="AD73" t="s">
        <v>634</v>
      </c>
      <c r="AE73">
        <v>0</v>
      </c>
      <c r="AF73">
        <v>0.5</v>
      </c>
      <c r="AG73" t="s">
        <v>580</v>
      </c>
      <c r="AH73">
        <v>1</v>
      </c>
      <c r="AI73" cm="1">
        <f t="array" ref="AI73">_xlfn.IFS(AF73="NR", "NA", AG73="NR", "NA", AG73="NA","NA", AND(AG73="mg/ml", AH73&lt;&gt;"NR"), ((AF73/2492)*AH73*1000000), AND(AG73="mol/L", AH73&lt;&gt;"NR"), AF73*AH73*1000000, AG73="nmol", AF73*1000, AND(AG73="nmol/uL", AH73&lt;&gt;"NR"), AF73*AH73*1000, AG73="pg", AF73/2492, AG73="pmol", AF73, AND(AG73="pmol/uL", AH73&lt;&gt;"NR"), AF73*AH73, AG73="ug", AF73/2492*1000000, AND(AG73="ug/mL", AH73&lt;&gt;"NR"), (AF73/1000*AH73)/2492*1000000, AND(AG73="ug/uL", AH73&lt;&gt;"NR"), (AF73*AH73)/2492*1000000, AND(AG73="umol/L", AH73&lt;&gt;"NR"), AH73*AF73, TRUE, "NA")</f>
        <v>200.64205457463885</v>
      </c>
      <c r="AJ73">
        <v>60</v>
      </c>
      <c r="AK73">
        <v>1</v>
      </c>
      <c r="AL73" t="s">
        <v>9</v>
      </c>
      <c r="AM73" t="s">
        <v>8</v>
      </c>
      <c r="AN73" t="s">
        <v>9</v>
      </c>
      <c r="AO73" s="18" t="s">
        <v>864</v>
      </c>
      <c r="AP73" t="s">
        <v>1228</v>
      </c>
      <c r="AQ73">
        <v>0</v>
      </c>
      <c r="AR73" t="s">
        <v>102</v>
      </c>
      <c r="AS73" s="18">
        <v>504</v>
      </c>
      <c r="AT73" t="s">
        <v>271</v>
      </c>
      <c r="AU73" t="s">
        <v>732</v>
      </c>
      <c r="AV73" t="s">
        <v>9</v>
      </c>
      <c r="AW73">
        <v>4.33</v>
      </c>
      <c r="AX73">
        <v>4.2300000000000004</v>
      </c>
      <c r="AY73">
        <v>0.7</v>
      </c>
      <c r="AZ73">
        <v>0.88</v>
      </c>
      <c r="BA73" t="s">
        <v>656</v>
      </c>
      <c r="BB73" t="s">
        <v>122</v>
      </c>
      <c r="BC73" cm="1">
        <f t="array" ref="BC73">_xlfn.IFS(BA73="Direct rLV % whole brain", AW73, BA73="Indirect rLV % whole brain", AW73, BA73="Direct rLV % hemisphere", AW73/2, BA73="Indirect rLV % hemisphere", AW73/2, AND(F73="Mouse", BA73="mm3"), (AW73/508.91)*100, AND(F73="Rat", BA73="mm3"), (AW73/1971)*100, AND(F73="Mouse", BA73="ul"), (AW73/508.91)*100, AND(F73="Rat", BA73="ul"), (AW73/1971)*100,  AND(F73="Mouse", BA73="nl"), (AW73/508910)*100, AND(F73="Rat", BA73="nl"), (AW73/1971000)*100, AND(F73="Mouse", BA73="cm3"), (AW73/0.50891)*100, AND(F73="Rat", BA73="cm3"), (AW73/1.971)*100, AND(F73="Mouse", BA73="mL"), (AW73/0.50891)*100, AND(F73="Rat", BA73="mL"), (AW73/1.971)*100, TRUE, "NA")</f>
        <v>0.21968543886352107</v>
      </c>
      <c r="BD73" cm="1">
        <f t="array" ref="BD73">_xlfn.IFS(AZ73="NA", "NA",BA73="Direct rLV % whole brain", AY73, BA73="Indirect rLV % whole brain", AY73, BA73="Direct rLV % hemisphere", AY73/2, BA73="Indirect rLV % hemisphere", AY73/2, AND(F73="Mouse", BA73="mm3"), (AY73/508.91)*100, AND(F73="Rat", BA73="mm3"), (AY73/1971)*100, AND(F73="Mouse", BA73="ul"), (AY73/508.91)*100, AND(F73="Rat", BA73="ul"), (AY73/1971)*100,  AND(F73="Mouse", BA73="nl"), (AY73/508910)*100, AND(F73="Rat", BA73="nl"), (AY73/1971000)*100, AND(F73="Mouse", BA73="cm3"), (AY73/0.50891)*100, AND(F73="Rat", BA73="cm3"), (AY73/1.971)*100, AND(F73="Mouse", BA73="mL"), (AY73/0.50891)*100, AND(F73="Rat", BA73="mL"), (AY73/1.971)*100, TRUE, "NA")</f>
        <v>3.5514967021816335E-2</v>
      </c>
      <c r="BE73" cm="1">
        <f t="array" ref="BE73">_xlfn.IFS(AX73="NA", "NA", BB73="NR", "NA", BB73="SD", AX73, BB73="SE", AX73*(SQRT(R73)), BB73="SEM", AX73*(SQRT(R73)), TRUE, "NA")</f>
        <v>4.2300000000000004</v>
      </c>
      <c r="BF73" cm="1">
        <f t="array" ref="BF73">_xlfn.IFS(BE73="NA", "NA",BA73="Direct rLV % whole brain", BE73, BA73="Indirect rLV % whole brain", BE73, BA73="Direct rLV % hemisphere", BE73/2, BA73="Indirect rLV % hemisphere", BE73/2, AND(F73="Mouse", BA73="mm3"), (BE73/508.91)*100, AND(F73="Rat", BA73="mm3"), (BE73/1971)*100, AND(F73="Mouse", BA73="ul"), (BE73/508.91)*100, AND(F73="Rat", BA73="ul"), (BE73/1971)*100,  AND(F73="Mouse", BA73="nl"), (BE73/508910)*100, AND(F73="Rat", BA73="nl"), (BE73/1971000)*100, AND(F73="Mouse", BA73="cm3"), (BE73/0.50891)*100, AND(F73="Rat", BA73="cm3"), (BE73/1.971)*100, AND(F73="Mouse", BA73="mL"), (BE73/0.50891)*100, AND(F73="Rat", BA73="mL"), (BE73/1.971)*100, TRUE, "NA")</f>
        <v>0.21461187214611874</v>
      </c>
      <c r="BG73" cm="1">
        <f t="array" ref="BG73">_xlfn.IFS(AZ73="NA", "NA", BB73="NR", "NA", BB73="SD", AZ73, BB73="SE", AZ73*(SQRT(R73)), BB73="SEM", AZ73*(SQRT(R73)), TRUE, "NA")</f>
        <v>0.88</v>
      </c>
      <c r="BH73" s="18" t="s">
        <v>153</v>
      </c>
      <c r="BI73" t="s">
        <v>154</v>
      </c>
      <c r="BJ73" t="s">
        <v>154</v>
      </c>
    </row>
    <row r="74" spans="1:63" s="31" customFormat="1" x14ac:dyDescent="0.3">
      <c r="A74" s="40" t="s">
        <v>866</v>
      </c>
      <c r="B74" s="31" t="s">
        <v>865</v>
      </c>
      <c r="C74" s="31">
        <v>2001</v>
      </c>
      <c r="D74" s="31" t="s">
        <v>867</v>
      </c>
      <c r="E74" s="31" t="s">
        <v>647</v>
      </c>
      <c r="F74" s="31" t="s">
        <v>23</v>
      </c>
      <c r="G74" s="31" t="s">
        <v>11</v>
      </c>
      <c r="H74" s="31" t="s">
        <v>34</v>
      </c>
      <c r="I74" s="31" t="s">
        <v>12</v>
      </c>
      <c r="J74" s="31" t="s">
        <v>8</v>
      </c>
      <c r="K74" s="31" t="s">
        <v>9</v>
      </c>
      <c r="L74" s="31" t="s">
        <v>9</v>
      </c>
      <c r="M74" s="31" t="s">
        <v>9</v>
      </c>
      <c r="N74" s="31">
        <v>280</v>
      </c>
      <c r="O74" s="31">
        <f>AVERAGE(N74,P74)</f>
        <v>300</v>
      </c>
      <c r="P74" s="31">
        <v>320</v>
      </c>
      <c r="Q74" s="31">
        <v>1</v>
      </c>
      <c r="R74" s="31">
        <v>5</v>
      </c>
      <c r="S74" s="31">
        <v>1</v>
      </c>
      <c r="T74" s="31">
        <v>5</v>
      </c>
      <c r="U74" s="32" t="s">
        <v>111</v>
      </c>
      <c r="V74" s="31" t="s">
        <v>724</v>
      </c>
      <c r="W74" s="31" t="s">
        <v>8</v>
      </c>
      <c r="X74" s="31" t="s">
        <v>12</v>
      </c>
      <c r="Y74" s="31" t="s">
        <v>8</v>
      </c>
      <c r="Z74" s="31" t="s">
        <v>8</v>
      </c>
      <c r="AA74" s="31" t="s">
        <v>648</v>
      </c>
      <c r="AB74" s="31" t="s">
        <v>636</v>
      </c>
      <c r="AC74" s="31" t="s">
        <v>153</v>
      </c>
      <c r="AD74" s="31" t="s">
        <v>610</v>
      </c>
      <c r="AE74" s="31">
        <v>72</v>
      </c>
      <c r="AF74" s="31">
        <v>120</v>
      </c>
      <c r="AG74" s="31" t="s">
        <v>650</v>
      </c>
      <c r="AH74" s="31">
        <v>6</v>
      </c>
      <c r="AI74" cm="1">
        <f t="array" ref="AI74">_xlfn.IFS(AF74="NR", "NA", AG74="NR", "NA", AG74="NA","NA", AND(AG74="mg/ml", AH74&lt;&gt;"NR"), ((AF74/2492)*AH74*1000000), AND(AG74="mol/L", AH74&lt;&gt;"NR"), AF74*AH74*1000000, AG74="nmol", AF74*1000, AND(AG74="nmol/uL", AH74&lt;&gt;"NR"), AF74*AH74*1000, AG74="pg", AF74/2492, AG74="pmol", AF74, AND(AG74="pmol/uL", AH74&lt;&gt;"NR"), AF74*AH74, AG74="ug", AF74/2492*1000000, AND(AG74="ug/mL", AH74&lt;&gt;"NR"), (AF74/1000*AH74)/2492*1000000, AND(AG74="ug/uL", AH74&lt;&gt;"NR"), (AF74*AH74)/2492*1000000, AND(AG74="umol/L", AH74&lt;&gt;"NR"), AH74*AF74, TRUE, "NA")</f>
        <v>120</v>
      </c>
      <c r="AJ74" s="31">
        <v>6</v>
      </c>
      <c r="AK74" s="31">
        <v>1</v>
      </c>
      <c r="AL74" s="31" t="s">
        <v>701</v>
      </c>
      <c r="AM74" s="31" t="s">
        <v>8</v>
      </c>
      <c r="AN74" s="31" t="s">
        <v>9</v>
      </c>
      <c r="AO74" s="32" t="s">
        <v>319</v>
      </c>
      <c r="AP74" t="s">
        <v>1228</v>
      </c>
      <c r="AQ74" s="31">
        <v>-1</v>
      </c>
      <c r="AR74" s="31" t="s">
        <v>101</v>
      </c>
      <c r="AS74" s="32">
        <v>72</v>
      </c>
      <c r="AT74" s="31" t="s">
        <v>271</v>
      </c>
      <c r="AU74" s="31" t="s">
        <v>1243</v>
      </c>
      <c r="AV74" s="31" t="s">
        <v>679</v>
      </c>
      <c r="AW74" s="31">
        <f>193.7+42.94</f>
        <v>236.64</v>
      </c>
      <c r="AX74" s="31">
        <f>SQRT((31.49*SQRT(R74))^2 + (9.54*SQRT(R74))^2)</f>
        <v>73.574170059879037</v>
      </c>
      <c r="AY74" s="31">
        <f>74.12+9.22</f>
        <v>83.34</v>
      </c>
      <c r="AZ74" s="31">
        <f>SQRT((20.35*SQRT(T74))^2 + (7.96*SQRT(T74))^2)</f>
        <v>48.861237192686808</v>
      </c>
      <c r="BA74" s="31" t="s">
        <v>656</v>
      </c>
      <c r="BB74" s="31" t="s">
        <v>122</v>
      </c>
      <c r="BC74" cm="1">
        <f t="array" ref="BC74">_xlfn.IFS(BA74="Direct rLV % whole brain", AW74, BA74="Indirect rLV % whole brain", AW74, BA74="Direct rLV % hemisphere", AW74/2, BA74="Indirect rLV % hemisphere", AW74/2, AND(F74="Mouse", BA74="mm3"), (AW74/508.91)*100, AND(F74="Rat", BA74="mm3"), (AW74/1971)*100, AND(F74="Mouse", BA74="ul"), (AW74/508.91)*100, AND(F74="Rat", BA74="ul"), (AW74/1971)*100,  AND(F74="Mouse", BA74="nl"), (AW74/508910)*100, AND(F74="Rat", BA74="nl"), (AW74/1971000)*100, AND(F74="Mouse", BA74="cm3"), (AW74/0.50891)*100, AND(F74="Rat", BA74="cm3"), (AW74/1.971)*100, AND(F74="Mouse", BA74="mL"), (AW74/0.50891)*100, AND(F74="Rat", BA74="mL"), (AW74/1.971)*100, TRUE, "NA")</f>
        <v>12.006088280060883</v>
      </c>
      <c r="BD74" cm="1">
        <f t="array" ref="BD74">_xlfn.IFS(AZ74="NA", "NA",BA74="Direct rLV % whole brain", AY74, BA74="Indirect rLV % whole brain", AY74, BA74="Direct rLV % hemisphere", AY74/2, BA74="Indirect rLV % hemisphere", AY74/2, AND(F74="Mouse", BA74="mm3"), (AY74/508.91)*100, AND(F74="Rat", BA74="mm3"), (AY74/1971)*100, AND(F74="Mouse", BA74="ul"), (AY74/508.91)*100, AND(F74="Rat", BA74="ul"), (AY74/1971)*100,  AND(F74="Mouse", BA74="nl"), (AY74/508910)*100, AND(F74="Rat", BA74="nl"), (AY74/1971000)*100, AND(F74="Mouse", BA74="cm3"), (AY74/0.50891)*100, AND(F74="Rat", BA74="cm3"), (AY74/1.971)*100, AND(F74="Mouse", BA74="mL"), (AY74/0.50891)*100, AND(F74="Rat", BA74="mL"), (AY74/1.971)*100, TRUE, "NA")</f>
        <v>4.2283105022831053</v>
      </c>
      <c r="BE74" cm="1">
        <f t="array" ref="BE74">_xlfn.IFS(AX74="NA", "NA", BB74="NR", "NA", BB74="SD", AX74, BB74="SE", AX74*(SQRT(R74)), BB74="SEM", AX74*(SQRT(R74)), TRUE, "NA")</f>
        <v>73.574170059879037</v>
      </c>
      <c r="BF74" cm="1">
        <f t="array" ref="BF74">_xlfn.IFS(BE74="NA", "NA",BA74="Direct rLV % whole brain", BE74, BA74="Indirect rLV % whole brain", BE74, BA74="Direct rLV % hemisphere", BE74/2, BA74="Indirect rLV % hemisphere", BE74/2, AND(F74="Mouse", BA74="mm3"), (BE74/508.91)*100, AND(F74="Rat", BA74="mm3"), (BE74/1971)*100, AND(F74="Mouse", BA74="ul"), (BE74/508.91)*100, AND(F74="Rat", BA74="ul"), (BE74/1971)*100,  AND(F74="Mouse", BA74="nl"), (BE74/508910)*100, AND(F74="Rat", BA74="nl"), (BE74/1971000)*100, AND(F74="Mouse", BA74="cm3"), (BE74/0.50891)*100, AND(F74="Rat", BA74="cm3"), (BE74/1.971)*100, AND(F74="Mouse", BA74="mL"), (BE74/0.50891)*100, AND(F74="Rat", BA74="mL"), (BE74/1.971)*100, TRUE, "NA")</f>
        <v>3.7328346047630157</v>
      </c>
      <c r="BG74" cm="1">
        <f t="array" ref="BG74">_xlfn.IFS(AZ74="NA", "NA", BB74="NR", "NA", BB74="SD", AZ74, BB74="SE", AZ74*(SQRT(R74)), BB74="SEM", AZ74*(SQRT(R74)), TRUE, "NA")</f>
        <v>48.861237192686808</v>
      </c>
      <c r="BH74" s="32" t="s">
        <v>154</v>
      </c>
      <c r="BI74" s="31" t="s">
        <v>154</v>
      </c>
      <c r="BJ74" s="31" t="s">
        <v>154</v>
      </c>
    </row>
    <row r="75" spans="1:63" x14ac:dyDescent="0.3">
      <c r="A75" t="s">
        <v>869</v>
      </c>
      <c r="B75" t="s">
        <v>868</v>
      </c>
      <c r="C75">
        <v>2015</v>
      </c>
      <c r="D75" t="s">
        <v>870</v>
      </c>
      <c r="E75" t="s">
        <v>647</v>
      </c>
      <c r="F75" t="s">
        <v>23</v>
      </c>
      <c r="G75" t="s">
        <v>10</v>
      </c>
      <c r="H75" t="s">
        <v>34</v>
      </c>
      <c r="I75" t="s">
        <v>12</v>
      </c>
      <c r="J75" t="s">
        <v>8</v>
      </c>
      <c r="K75" t="s">
        <v>9</v>
      </c>
      <c r="L75" t="s">
        <v>9</v>
      </c>
      <c r="M75" t="s">
        <v>9</v>
      </c>
      <c r="N75">
        <v>290</v>
      </c>
      <c r="O75">
        <v>340</v>
      </c>
      <c r="P75">
        <v>390</v>
      </c>
      <c r="Q75">
        <v>1</v>
      </c>
      <c r="R75">
        <v>10</v>
      </c>
      <c r="S75">
        <v>1</v>
      </c>
      <c r="T75">
        <v>10</v>
      </c>
      <c r="U75" s="18" t="s">
        <v>68</v>
      </c>
      <c r="V75" t="s">
        <v>8</v>
      </c>
      <c r="W75" t="s">
        <v>8</v>
      </c>
      <c r="X75" t="s">
        <v>68</v>
      </c>
      <c r="Y75" t="s">
        <v>8</v>
      </c>
      <c r="Z75" t="s">
        <v>8</v>
      </c>
      <c r="AA75" t="s">
        <v>640</v>
      </c>
      <c r="AB75" t="s">
        <v>636</v>
      </c>
      <c r="AC75" t="s">
        <v>154</v>
      </c>
      <c r="AD75" t="s">
        <v>634</v>
      </c>
      <c r="AE75">
        <v>0</v>
      </c>
      <c r="AF75">
        <v>800</v>
      </c>
      <c r="AG75" t="s">
        <v>650</v>
      </c>
      <c r="AH75">
        <v>4</v>
      </c>
      <c r="AI75" cm="1">
        <f t="array" ref="AI75">_xlfn.IFS(AF75="NR", "NA", AG75="NR", "NA", AG75="NA","NA", AND(AG75="mg/ml", AH75&lt;&gt;"NR"), ((AF75/2492)*AH75*1000000), AND(AG75="mol/L", AH75&lt;&gt;"NR"), AF75*AH75*1000000, AG75="nmol", AF75*1000, AND(AG75="nmol/uL", AH75&lt;&gt;"NR"), AF75*AH75*1000, AG75="pg", AF75/2492, AG75="pmol", AF75, AND(AG75="pmol/uL", AH75&lt;&gt;"NR"), AF75*AH75, AG75="ug", AF75/2492*1000000, AND(AG75="ug/mL", AH75&lt;&gt;"NR"), (AF75/1000*AH75)/2492*1000000, AND(AG75="ug/uL", AH75&lt;&gt;"NR"), (AF75*AH75)/2492*1000000, AND(AG75="umol/L", AH75&lt;&gt;"NR"), AH75*AF75, TRUE, "NA")</f>
        <v>800</v>
      </c>
      <c r="AJ75">
        <v>4</v>
      </c>
      <c r="AK75">
        <v>2</v>
      </c>
      <c r="AL75" t="s">
        <v>859</v>
      </c>
      <c r="AM75" t="s">
        <v>8</v>
      </c>
      <c r="AN75" t="s">
        <v>9</v>
      </c>
      <c r="AO75" s="18" t="s">
        <v>871</v>
      </c>
      <c r="AP75" t="s">
        <v>137</v>
      </c>
      <c r="AQ75">
        <v>168</v>
      </c>
      <c r="AR75" t="s">
        <v>103</v>
      </c>
      <c r="AS75" s="18">
        <v>504</v>
      </c>
      <c r="AT75" t="s">
        <v>269</v>
      </c>
      <c r="AU75" t="s">
        <v>8</v>
      </c>
      <c r="AV75" t="s">
        <v>9</v>
      </c>
      <c r="AW75">
        <v>60</v>
      </c>
      <c r="AX75">
        <v>18</v>
      </c>
      <c r="AY75">
        <v>52</v>
      </c>
      <c r="AZ75">
        <v>18</v>
      </c>
      <c r="BA75" t="s">
        <v>656</v>
      </c>
      <c r="BB75" t="s">
        <v>123</v>
      </c>
      <c r="BC75" cm="1">
        <f t="array" ref="BC75">_xlfn.IFS(BA75="Direct rLV % whole brain", AW75, BA75="Indirect rLV % whole brain", AW75, BA75="Direct rLV % hemisphere", AW75/2, BA75="Indirect rLV % hemisphere", AW75/2, AND(F75="Mouse", BA75="mm3"), (AW75/508.91)*100, AND(F75="Rat", BA75="mm3"), (AW75/1971)*100, AND(F75="Mouse", BA75="ul"), (AW75/508.91)*100, AND(F75="Rat", BA75="ul"), (AW75/1971)*100,  AND(F75="Mouse", BA75="nl"), (AW75/508910)*100, AND(F75="Rat", BA75="nl"), (AW75/1971000)*100, AND(F75="Mouse", BA75="cm3"), (AW75/0.50891)*100, AND(F75="Rat", BA75="cm3"), (AW75/1.971)*100, AND(F75="Mouse", BA75="mL"), (AW75/0.50891)*100, AND(F75="Rat", BA75="mL"), (AW75/1.971)*100, TRUE, "NA")</f>
        <v>3.0441400304414001</v>
      </c>
      <c r="BD75" cm="1">
        <f t="array" ref="BD75">_xlfn.IFS(AZ75="NA", "NA",BA75="Direct rLV % whole brain", AY75, BA75="Indirect rLV % whole brain", AY75, BA75="Direct rLV % hemisphere", AY75/2, BA75="Indirect rLV % hemisphere", AY75/2, AND(F75="Mouse", BA75="mm3"), (AY75/508.91)*100, AND(F75="Rat", BA75="mm3"), (AY75/1971)*100, AND(F75="Mouse", BA75="ul"), (AY75/508.91)*100, AND(F75="Rat", BA75="ul"), (AY75/1971)*100,  AND(F75="Mouse", BA75="nl"), (AY75/508910)*100, AND(F75="Rat", BA75="nl"), (AY75/1971000)*100, AND(F75="Mouse", BA75="cm3"), (AY75/0.50891)*100, AND(F75="Rat", BA75="cm3"), (AY75/1.971)*100, AND(F75="Mouse", BA75="mL"), (AY75/0.50891)*100, AND(F75="Rat", BA75="mL"), (AY75/1.971)*100, TRUE, "NA")</f>
        <v>2.6382546930492135</v>
      </c>
      <c r="BE75" cm="1">
        <f t="array" ref="BE75">_xlfn.IFS(AX75="NA", "NA", BB75="NR", "NA", BB75="SD", AX75, BB75="SE", AX75*(SQRT(R75)), BB75="SEM", AX75*(SQRT(R75)), TRUE, "NA")</f>
        <v>56.920997883030829</v>
      </c>
      <c r="BF75" cm="1">
        <f t="array" ref="BF75">_xlfn.IFS(BE75="NA", "NA",BA75="Direct rLV % whole brain", BE75, BA75="Indirect rLV % whole brain", BE75, BA75="Direct rLV % hemisphere", BE75/2, BA75="Indirect rLV % hemisphere", BE75/2, AND(F75="Mouse", BA75="mm3"), (BE75/508.91)*100, AND(F75="Rat", BA75="mm3"), (BE75/1971)*100, AND(F75="Mouse", BA75="ul"), (BE75/508.91)*100, AND(F75="Rat", BA75="ul"), (BE75/1971)*100,  AND(F75="Mouse", BA75="nl"), (BE75/508910)*100, AND(F75="Rat", BA75="nl"), (BE75/1971000)*100, AND(F75="Mouse", BA75="cm3"), (BE75/0.50891)*100, AND(F75="Rat", BA75="cm3"), (BE75/1.971)*100, AND(F75="Mouse", BA75="mL"), (BE75/0.50891)*100, AND(F75="Rat", BA75="mL"), (BE75/1.971)*100, TRUE, "NA")</f>
        <v>2.8879248038067393</v>
      </c>
      <c r="BG75" cm="1">
        <f t="array" ref="BG75">_xlfn.IFS(AZ75="NA", "NA", BB75="NR", "NA", BB75="SD", AZ75, BB75="SE", AZ75*(SQRT(R75)), BB75="SEM", AZ75*(SQRT(R75)), TRUE, "NA")</f>
        <v>56.920997883030829</v>
      </c>
      <c r="BH75" s="18" t="s">
        <v>153</v>
      </c>
      <c r="BI75" t="s">
        <v>154</v>
      </c>
      <c r="BJ75" t="s">
        <v>154</v>
      </c>
    </row>
    <row r="76" spans="1:63" s="31" customFormat="1" x14ac:dyDescent="0.3">
      <c r="A76" s="31" t="s">
        <v>874</v>
      </c>
      <c r="B76" s="31" t="s">
        <v>872</v>
      </c>
      <c r="C76" s="31">
        <v>2011</v>
      </c>
      <c r="D76" s="31" t="s">
        <v>873</v>
      </c>
      <c r="E76" s="31" t="s">
        <v>647</v>
      </c>
      <c r="F76" s="31" t="s">
        <v>23</v>
      </c>
      <c r="G76" s="31" t="s">
        <v>10</v>
      </c>
      <c r="H76" s="31" t="s">
        <v>34</v>
      </c>
      <c r="I76" s="31" t="s">
        <v>12</v>
      </c>
      <c r="J76" s="31" t="s">
        <v>8</v>
      </c>
      <c r="K76" s="31" t="s">
        <v>8</v>
      </c>
      <c r="L76" s="31">
        <v>17</v>
      </c>
      <c r="M76" s="31" t="s">
        <v>8</v>
      </c>
      <c r="N76" s="31" t="s">
        <v>8</v>
      </c>
      <c r="O76" s="31">
        <v>550</v>
      </c>
      <c r="P76" s="31" t="s">
        <v>8</v>
      </c>
      <c r="Q76" s="31">
        <v>2</v>
      </c>
      <c r="R76" s="31">
        <v>13</v>
      </c>
      <c r="S76" s="31">
        <v>2</v>
      </c>
      <c r="T76" s="31">
        <v>12</v>
      </c>
      <c r="U76" s="32" t="s">
        <v>68</v>
      </c>
      <c r="V76" s="31" t="s">
        <v>96</v>
      </c>
      <c r="W76" s="31" t="s">
        <v>8</v>
      </c>
      <c r="X76" s="31" t="s">
        <v>68</v>
      </c>
      <c r="Y76" s="31" t="s">
        <v>96</v>
      </c>
      <c r="Z76" s="31" t="s">
        <v>8</v>
      </c>
      <c r="AA76" s="31" t="s">
        <v>640</v>
      </c>
      <c r="AB76" s="31" t="s">
        <v>746</v>
      </c>
      <c r="AC76" s="31" t="s">
        <v>154</v>
      </c>
      <c r="AD76" s="31" t="s">
        <v>634</v>
      </c>
      <c r="AE76" s="31">
        <v>0</v>
      </c>
      <c r="AF76" s="31">
        <v>400</v>
      </c>
      <c r="AG76" s="31" t="s">
        <v>745</v>
      </c>
      <c r="AH76" s="31">
        <v>5</v>
      </c>
      <c r="AI76" cm="1">
        <f t="array" ref="AI76">_xlfn.IFS(AF76="NR", "NA", AG76="NR", "NA", AG76="NA","NA", AND(AG76="mg/ml", AH76&lt;&gt;"NR"), ((AF76/2492)*AH76*1000000), AND(AG76="mol/L", AH76&lt;&gt;"NR"), AF76*AH76*1000000, AG76="nmol", AF76*1000, AND(AG76="nmol/uL", AH76&lt;&gt;"NR"), AF76*AH76*1000, AG76="pg", AF76/2492, AG76="pmol", AF76, AND(AG76="pmol/uL", AH76&lt;&gt;"NR"), AF76*AH76, AG76="ug", AF76/2492*1000000, AND(AG76="ug/mL", AH76&lt;&gt;"NR"), (AF76/1000*AH76)/2492*1000000, AND(AG76="ug/uL", AH76&lt;&gt;"NR"), (AF76*AH76)/2492*1000000, AND(AG76="umol/L", AH76&lt;&gt;"NR"), AH76*AF76, TRUE, "NA")</f>
        <v>2000</v>
      </c>
      <c r="AJ76" s="31" t="s">
        <v>9</v>
      </c>
      <c r="AK76" s="31">
        <v>3</v>
      </c>
      <c r="AL76" s="31" t="s">
        <v>9</v>
      </c>
      <c r="AM76" s="31" t="s">
        <v>8</v>
      </c>
      <c r="AN76" s="31" t="s">
        <v>9</v>
      </c>
      <c r="AO76" s="32" t="s">
        <v>362</v>
      </c>
      <c r="AP76" s="31" t="s">
        <v>605</v>
      </c>
      <c r="AQ76" s="31">
        <v>-2184</v>
      </c>
      <c r="AR76" s="31" t="s">
        <v>101</v>
      </c>
      <c r="AS76" s="32">
        <v>720</v>
      </c>
      <c r="AT76" s="31" t="s">
        <v>271</v>
      </c>
      <c r="AU76" s="31" t="s">
        <v>652</v>
      </c>
      <c r="AV76" s="31" t="s">
        <v>875</v>
      </c>
      <c r="AW76" s="31">
        <v>53.97</v>
      </c>
      <c r="AX76" s="31">
        <v>10.5</v>
      </c>
      <c r="AY76" s="31">
        <v>88.49</v>
      </c>
      <c r="AZ76" s="31">
        <v>11.73</v>
      </c>
      <c r="BA76" s="31" t="s">
        <v>656</v>
      </c>
      <c r="BB76" s="31" t="s">
        <v>123</v>
      </c>
      <c r="BC76" cm="1">
        <f t="array" ref="BC76">_xlfn.IFS(BA76="Direct rLV % whole brain", AW76, BA76="Indirect rLV % whole brain", AW76, BA76="Direct rLV % hemisphere", AW76/2, BA76="Indirect rLV % hemisphere", AW76/2, AND(F76="Mouse", BA76="mm3"), (AW76/508.91)*100, AND(F76="Rat", BA76="mm3"), (AW76/1971)*100, AND(F76="Mouse", BA76="ul"), (AW76/508.91)*100, AND(F76="Rat", BA76="ul"), (AW76/1971)*100,  AND(F76="Mouse", BA76="nl"), (AW76/508910)*100, AND(F76="Rat", BA76="nl"), (AW76/1971000)*100, AND(F76="Mouse", BA76="cm3"), (AW76/0.50891)*100, AND(F76="Rat", BA76="cm3"), (AW76/1.971)*100, AND(F76="Mouse", BA76="mL"), (AW76/0.50891)*100, AND(F76="Rat", BA76="mL"), (AW76/1.971)*100, TRUE, "NA")</f>
        <v>2.7382039573820394</v>
      </c>
      <c r="BD76" cm="1">
        <f t="array" ref="BD76">_xlfn.IFS(AZ76="NA", "NA",BA76="Direct rLV % whole brain", AY76, BA76="Indirect rLV % whole brain", AY76, BA76="Direct rLV % hemisphere", AY76/2, BA76="Indirect rLV % hemisphere", AY76/2, AND(F76="Mouse", BA76="mm3"), (AY76/508.91)*100, AND(F76="Rat", BA76="mm3"), (AY76/1971)*100, AND(F76="Mouse", BA76="ul"), (AY76/508.91)*100, AND(F76="Rat", BA76="ul"), (AY76/1971)*100,  AND(F76="Mouse", BA76="nl"), (AY76/508910)*100, AND(F76="Rat", BA76="nl"), (AY76/1971000)*100, AND(F76="Mouse", BA76="cm3"), (AY76/0.50891)*100, AND(F76="Rat", BA76="cm3"), (AY76/1.971)*100, AND(F76="Mouse", BA76="mL"), (AY76/0.50891)*100, AND(F76="Rat", BA76="mL"), (AY76/1.971)*100, TRUE, "NA")</f>
        <v>4.4895991882293247</v>
      </c>
      <c r="BE76" cm="1">
        <f t="array" ref="BE76">_xlfn.IFS(AX76="NA", "NA", BB76="NR", "NA", BB76="SD", AX76, BB76="SE", AX76*(SQRT(R76)), BB76="SEM", AX76*(SQRT(R76)), TRUE, "NA")</f>
        <v>37.858288392371882</v>
      </c>
      <c r="BF76" cm="1">
        <f t="array" ref="BF76">_xlfn.IFS(BE76="NA", "NA",BA76="Direct rLV % whole brain", BE76, BA76="Indirect rLV % whole brain", BE76, BA76="Direct rLV % hemisphere", BE76/2, BA76="Indirect rLV % hemisphere", BE76/2, AND(F76="Mouse", BA76="mm3"), (BE76/508.91)*100, AND(F76="Rat", BA76="mm3"), (BE76/1971)*100, AND(F76="Mouse", BA76="ul"), (BE76/508.91)*100, AND(F76="Rat", BA76="ul"), (BE76/1971)*100,  AND(F76="Mouse", BA76="nl"), (BE76/508910)*100, AND(F76="Rat", BA76="nl"), (BE76/1971000)*100, AND(F76="Mouse", BA76="cm3"), (BE76/0.50891)*100, AND(F76="Rat", BA76="cm3"), (BE76/1.971)*100, AND(F76="Mouse", BA76="mL"), (BE76/0.50891)*100, AND(F76="Rat", BA76="mL"), (BE76/1.971)*100, TRUE, "NA")</f>
        <v>1.9207655196535709</v>
      </c>
      <c r="BG76" cm="1">
        <f t="array" ref="BG76">_xlfn.IFS(AZ76="NA", "NA", BB76="NR", "NA", BB76="SD", AZ76, BB76="SE", AZ76*(SQRT(R76)), BB76="SEM", AZ76*(SQRT(R76)), TRUE, "NA")</f>
        <v>42.293116461192596</v>
      </c>
      <c r="BH76" s="32" t="s">
        <v>154</v>
      </c>
      <c r="BI76" s="31" t="s">
        <v>153</v>
      </c>
      <c r="BJ76" s="31" t="s">
        <v>154</v>
      </c>
    </row>
    <row r="77" spans="1:63" x14ac:dyDescent="0.3">
      <c r="A77" t="s">
        <v>877</v>
      </c>
      <c r="B77" t="s">
        <v>876</v>
      </c>
      <c r="C77">
        <v>2010</v>
      </c>
      <c r="D77" t="s">
        <v>878</v>
      </c>
      <c r="E77" t="s">
        <v>647</v>
      </c>
      <c r="F77" t="s">
        <v>23</v>
      </c>
      <c r="G77" t="s">
        <v>49</v>
      </c>
      <c r="H77" t="s">
        <v>34</v>
      </c>
      <c r="I77" t="s">
        <v>168</v>
      </c>
      <c r="J77" t="s">
        <v>8</v>
      </c>
      <c r="K77" t="s">
        <v>8</v>
      </c>
      <c r="L77">
        <v>78</v>
      </c>
      <c r="M77" t="s">
        <v>8</v>
      </c>
      <c r="N77" t="s">
        <v>9</v>
      </c>
      <c r="O77" t="s">
        <v>9</v>
      </c>
      <c r="P77" t="s">
        <v>9</v>
      </c>
      <c r="Q77">
        <v>1</v>
      </c>
      <c r="R77">
        <v>10</v>
      </c>
      <c r="S77">
        <v>1</v>
      </c>
      <c r="T77">
        <v>11</v>
      </c>
      <c r="U77" s="18" t="s">
        <v>71</v>
      </c>
      <c r="V77" t="s">
        <v>288</v>
      </c>
      <c r="W77" t="s">
        <v>8</v>
      </c>
      <c r="X77" t="s">
        <v>71</v>
      </c>
      <c r="Y77" t="s">
        <v>288</v>
      </c>
      <c r="Z77" t="s">
        <v>8</v>
      </c>
      <c r="AA77" t="s">
        <v>640</v>
      </c>
      <c r="AB77" t="s">
        <v>636</v>
      </c>
      <c r="AC77" t="s">
        <v>154</v>
      </c>
      <c r="AD77" t="s">
        <v>634</v>
      </c>
      <c r="AE77">
        <v>0</v>
      </c>
      <c r="AF77">
        <v>0.2</v>
      </c>
      <c r="AG77" t="s">
        <v>580</v>
      </c>
      <c r="AH77">
        <v>2</v>
      </c>
      <c r="AI77" cm="1">
        <f t="array" ref="AI77">_xlfn.IFS(AF77="NR", "NA", AG77="NR", "NA", AG77="NA","NA", AND(AG77="mg/ml", AH77&lt;&gt;"NR"), ((AF77/2492)*AH77*1000000), AND(AG77="mol/L", AH77&lt;&gt;"NR"), AF77*AH77*1000000, AG77="nmol", AF77*1000, AND(AG77="nmol/uL", AH77&lt;&gt;"NR"), AF77*AH77*1000, AG77="pg", AF77/2492, AG77="pmol", AF77, AND(AG77="pmol/uL", AH77&lt;&gt;"NR"), AF77*AH77, AG77="ug", AF77/2492*1000000, AND(AG77="ug/mL", AH77&lt;&gt;"NR"), (AF77/1000*AH77)/2492*1000000, AND(AG77="ug/uL", AH77&lt;&gt;"NR"), (AF77*AH77)/2492*1000000, AND(AG77="umol/L", AH77&lt;&gt;"NR"), AH77*AF77, TRUE, "NA")</f>
        <v>160.51364365971108</v>
      </c>
      <c r="AJ77" t="s">
        <v>9</v>
      </c>
      <c r="AK77">
        <v>1</v>
      </c>
      <c r="AL77" t="s">
        <v>9</v>
      </c>
      <c r="AM77" t="s">
        <v>8</v>
      </c>
      <c r="AN77" t="s">
        <v>9</v>
      </c>
      <c r="AO77" s="18" t="s">
        <v>773</v>
      </c>
      <c r="AP77" t="s">
        <v>1228</v>
      </c>
      <c r="AQ77">
        <v>7</v>
      </c>
      <c r="AR77" t="s">
        <v>103</v>
      </c>
      <c r="AS77" s="18">
        <v>840</v>
      </c>
      <c r="AT77" t="s">
        <v>271</v>
      </c>
      <c r="AU77" t="s">
        <v>732</v>
      </c>
      <c r="AV77" t="s">
        <v>674</v>
      </c>
      <c r="AW77">
        <v>11.5</v>
      </c>
      <c r="AX77">
        <v>1.9</v>
      </c>
      <c r="AY77">
        <v>8.5</v>
      </c>
      <c r="AZ77">
        <v>2</v>
      </c>
      <c r="BA77" t="s">
        <v>656</v>
      </c>
      <c r="BB77" t="s">
        <v>123</v>
      </c>
      <c r="BC77" cm="1">
        <f t="array" ref="BC77">_xlfn.IFS(BA77="Direct rLV % whole brain", AW77, BA77="Indirect rLV % whole brain", AW77, BA77="Direct rLV % hemisphere", AW77/2, BA77="Indirect rLV % hemisphere", AW77/2, AND(F77="Mouse", BA77="mm3"), (AW77/508.91)*100, AND(F77="Rat", BA77="mm3"), (AW77/1971)*100, AND(F77="Mouse", BA77="ul"), (AW77/508.91)*100, AND(F77="Rat", BA77="ul"), (AW77/1971)*100,  AND(F77="Mouse", BA77="nl"), (AW77/508910)*100, AND(F77="Rat", BA77="nl"), (AW77/1971000)*100, AND(F77="Mouse", BA77="cm3"), (AW77/0.50891)*100, AND(F77="Rat", BA77="cm3"), (AW77/1.971)*100, AND(F77="Mouse", BA77="mL"), (AW77/0.50891)*100, AND(F77="Rat", BA77="mL"), (AW77/1.971)*100, TRUE, "NA")</f>
        <v>0.58346017250126836</v>
      </c>
      <c r="BD77" cm="1">
        <f t="array" ref="BD77">_xlfn.IFS(AZ77="NA", "NA",BA77="Direct rLV % whole brain", AY77, BA77="Indirect rLV % whole brain", AY77, BA77="Direct rLV % hemisphere", AY77/2, BA77="Indirect rLV % hemisphere", AY77/2, AND(F77="Mouse", BA77="mm3"), (AY77/508.91)*100, AND(F77="Rat", BA77="mm3"), (AY77/1971)*100, AND(F77="Mouse", BA77="ul"), (AY77/508.91)*100, AND(F77="Rat", BA77="ul"), (AY77/1971)*100,  AND(F77="Mouse", BA77="nl"), (AY77/508910)*100, AND(F77="Rat", BA77="nl"), (AY77/1971000)*100, AND(F77="Mouse", BA77="cm3"), (AY77/0.50891)*100, AND(F77="Rat", BA77="cm3"), (AY77/1.971)*100, AND(F77="Mouse", BA77="mL"), (AY77/0.50891)*100, AND(F77="Rat", BA77="mL"), (AY77/1.971)*100, TRUE, "NA")</f>
        <v>0.43125317097919835</v>
      </c>
      <c r="BE77" cm="1">
        <f t="array" ref="BE77">_xlfn.IFS(AX77="NA", "NA", BB77="NR", "NA", BB77="SD", AX77, BB77="SE", AX77*(SQRT(R77)), BB77="SEM", AX77*(SQRT(R77)), TRUE, "NA")</f>
        <v>6.008327554319921</v>
      </c>
      <c r="BF77" cm="1">
        <f t="array" ref="BF77">_xlfn.IFS(BE77="NA", "NA",BA77="Direct rLV % whole brain", BE77, BA77="Indirect rLV % whole brain", BE77, BA77="Direct rLV % hemisphere", BE77/2, BA77="Indirect rLV % hemisphere", BE77/2, AND(F77="Mouse", BA77="mm3"), (BE77/508.91)*100, AND(F77="Rat", BA77="mm3"), (BE77/1971)*100, AND(F77="Mouse", BA77="ul"), (BE77/508.91)*100, AND(F77="Rat", BA77="ul"), (BE77/1971)*100,  AND(F77="Mouse", BA77="nl"), (BE77/508910)*100, AND(F77="Rat", BA77="nl"), (BE77/1971000)*100, AND(F77="Mouse", BA77="cm3"), (BE77/0.50891)*100, AND(F77="Rat", BA77="cm3"), (BE77/1.971)*100, AND(F77="Mouse", BA77="mL"), (BE77/0.50891)*100, AND(F77="Rat", BA77="mL"), (BE77/1.971)*100, TRUE, "NA")</f>
        <v>0.30483650706848914</v>
      </c>
      <c r="BG77" cm="1">
        <f t="array" ref="BG77">_xlfn.IFS(AZ77="NA", "NA", BB77="NR", "NA", BB77="SD", AZ77, BB77="SE", AZ77*(SQRT(R77)), BB77="SEM", AZ77*(SQRT(R77)), TRUE, "NA")</f>
        <v>6.324555320336759</v>
      </c>
      <c r="BH77" s="18" t="s">
        <v>154</v>
      </c>
      <c r="BI77" t="s">
        <v>154</v>
      </c>
      <c r="BJ77" t="s">
        <v>154</v>
      </c>
    </row>
    <row r="78" spans="1:63" s="31" customFormat="1" x14ac:dyDescent="0.3">
      <c r="A78" s="31" t="s">
        <v>880</v>
      </c>
      <c r="B78" s="31" t="s">
        <v>879</v>
      </c>
      <c r="C78" s="31">
        <v>2015</v>
      </c>
      <c r="D78" s="31" t="s">
        <v>881</v>
      </c>
      <c r="E78" s="31" t="s">
        <v>647</v>
      </c>
      <c r="F78" s="31" t="s">
        <v>23</v>
      </c>
      <c r="G78" s="31" t="s">
        <v>10</v>
      </c>
      <c r="H78" s="31" t="s">
        <v>34</v>
      </c>
      <c r="I78" s="31" t="s">
        <v>12</v>
      </c>
      <c r="J78" s="31" t="s">
        <v>8</v>
      </c>
      <c r="K78" s="31" t="s">
        <v>9</v>
      </c>
      <c r="L78" s="31" t="s">
        <v>9</v>
      </c>
      <c r="M78" s="31" t="s">
        <v>9</v>
      </c>
      <c r="N78" s="31">
        <v>250</v>
      </c>
      <c r="O78" s="31">
        <f>AVERAGE(N78,P78)</f>
        <v>300</v>
      </c>
      <c r="P78" s="31">
        <v>350</v>
      </c>
      <c r="Q78" s="31">
        <v>1</v>
      </c>
      <c r="R78" s="31">
        <v>22</v>
      </c>
      <c r="S78" s="31">
        <v>2</v>
      </c>
      <c r="T78" s="31">
        <v>28</v>
      </c>
      <c r="U78" s="32" t="s">
        <v>111</v>
      </c>
      <c r="V78" s="31" t="s">
        <v>243</v>
      </c>
      <c r="W78" s="31" t="s">
        <v>8</v>
      </c>
      <c r="X78" s="31" t="s">
        <v>111</v>
      </c>
      <c r="Y78" s="31" t="s">
        <v>243</v>
      </c>
      <c r="Z78" s="31" t="s">
        <v>8</v>
      </c>
      <c r="AA78" s="31" t="s">
        <v>640</v>
      </c>
      <c r="AB78" s="31" t="s">
        <v>636</v>
      </c>
      <c r="AC78" s="31" t="s">
        <v>153</v>
      </c>
      <c r="AD78" s="31" t="s">
        <v>634</v>
      </c>
      <c r="AE78" s="31">
        <v>0</v>
      </c>
      <c r="AF78" s="31">
        <v>400</v>
      </c>
      <c r="AG78" s="31" t="s">
        <v>650</v>
      </c>
      <c r="AH78" s="31">
        <v>10</v>
      </c>
      <c r="AI78" cm="1">
        <f t="array" ref="AI78">_xlfn.IFS(AF78="NR", "NA", AG78="NR", "NA", AG78="NA","NA", AND(AG78="mg/ml", AH78&lt;&gt;"NR"), ((AF78/2492)*AH78*1000000), AND(AG78="mol/L", AH78&lt;&gt;"NR"), AF78*AH78*1000000, AG78="nmol", AF78*1000, AND(AG78="nmol/uL", AH78&lt;&gt;"NR"), AF78*AH78*1000, AG78="pg", AF78/2492, AG78="pmol", AF78, AND(AG78="pmol/uL", AH78&lt;&gt;"NR"), AF78*AH78, AG78="ug", AF78/2492*1000000, AND(AG78="ug/mL", AH78&lt;&gt;"NR"), (AF78/1000*AH78)/2492*1000000, AND(AG78="ug/uL", AH78&lt;&gt;"NR"), (AF78*AH78)/2492*1000000, AND(AG78="umol/L", AH78&lt;&gt;"NR"), AH78*AF78, TRUE, "NA")</f>
        <v>400</v>
      </c>
      <c r="AJ78" s="31">
        <v>10</v>
      </c>
      <c r="AK78" s="31">
        <v>1</v>
      </c>
      <c r="AL78" s="31" t="s">
        <v>9</v>
      </c>
      <c r="AM78" s="31" t="s">
        <v>8</v>
      </c>
      <c r="AN78" s="31" t="s">
        <v>9</v>
      </c>
      <c r="AO78" s="32" t="s">
        <v>238</v>
      </c>
      <c r="AP78" t="s">
        <v>1228</v>
      </c>
      <c r="AQ78" s="31">
        <v>0</v>
      </c>
      <c r="AR78" s="31" t="s">
        <v>102</v>
      </c>
      <c r="AS78" s="32">
        <v>24</v>
      </c>
      <c r="AT78" s="31" t="s">
        <v>270</v>
      </c>
      <c r="AU78" s="31" t="s">
        <v>8</v>
      </c>
      <c r="AV78" s="31" t="s">
        <v>679</v>
      </c>
      <c r="AW78" s="31">
        <v>287.07</v>
      </c>
      <c r="AX78" s="31">
        <v>51.25</v>
      </c>
      <c r="AY78" s="31">
        <v>103.91</v>
      </c>
      <c r="AZ78" s="31">
        <v>24.68</v>
      </c>
      <c r="BA78" s="31" t="s">
        <v>656</v>
      </c>
      <c r="BB78" s="31" t="s">
        <v>123</v>
      </c>
      <c r="BC78" cm="1">
        <f t="array" ref="BC78">_xlfn.IFS(BA78="Direct rLV % whole brain", AW78, BA78="Indirect rLV % whole brain", AW78, BA78="Direct rLV % hemisphere", AW78/2, BA78="Indirect rLV % hemisphere", AW78/2, AND(F78="Mouse", BA78="mm3"), (AW78/508.91)*100, AND(F78="Rat", BA78="mm3"), (AW78/1971)*100, AND(F78="Mouse", BA78="ul"), (AW78/508.91)*100, AND(F78="Rat", BA78="ul"), (AW78/1971)*100,  AND(F78="Mouse", BA78="nl"), (AW78/508910)*100, AND(F78="Rat", BA78="nl"), (AW78/1971000)*100, AND(F78="Mouse", BA78="cm3"), (AW78/0.50891)*100, AND(F78="Rat", BA78="cm3"), (AW78/1.971)*100, AND(F78="Mouse", BA78="mL"), (AW78/0.50891)*100, AND(F78="Rat", BA78="mL"), (AW78/1.971)*100, TRUE, "NA")</f>
        <v>14.564687975646878</v>
      </c>
      <c r="BD78" cm="1">
        <f t="array" ref="BD78">_xlfn.IFS(AZ78="NA", "NA",BA78="Direct rLV % whole brain", AY78, BA78="Indirect rLV % whole brain", AY78, BA78="Direct rLV % hemisphere", AY78/2, BA78="Indirect rLV % hemisphere", AY78/2, AND(F78="Mouse", BA78="mm3"), (AY78/508.91)*100, AND(F78="Rat", BA78="mm3"), (AY78/1971)*100, AND(F78="Mouse", BA78="ul"), (AY78/508.91)*100, AND(F78="Rat", BA78="ul"), (AY78/1971)*100,  AND(F78="Mouse", BA78="nl"), (AY78/508910)*100, AND(F78="Rat", BA78="nl"), (AY78/1971000)*100, AND(F78="Mouse", BA78="cm3"), (AY78/0.50891)*100, AND(F78="Rat", BA78="cm3"), (AY78/1.971)*100, AND(F78="Mouse", BA78="mL"), (AY78/0.50891)*100, AND(F78="Rat", BA78="mL"), (AY78/1.971)*100, TRUE, "NA")</f>
        <v>5.2719431760527655</v>
      </c>
      <c r="BE78" cm="1">
        <f t="array" ref="BE78">_xlfn.IFS(AX78="NA", "NA", BB78="NR", "NA", BB78="SD", AX78, BB78="SE", AX78*(SQRT(R78)), BB78="SEM", AX78*(SQRT(R78)), TRUE, "NA")</f>
        <v>240.38380769095076</v>
      </c>
      <c r="BF78" cm="1">
        <f t="array" ref="BF78">_xlfn.IFS(BE78="NA", "NA",BA78="Direct rLV % whole brain", BE78, BA78="Indirect rLV % whole brain", BE78, BA78="Direct rLV % hemisphere", BE78/2, BA78="Indirect rLV % hemisphere", BE78/2, AND(F78="Mouse", BA78="mm3"), (BE78/508.91)*100, AND(F78="Rat", BA78="mm3"), (BE78/1971)*100, AND(F78="Mouse", BA78="ul"), (BE78/508.91)*100, AND(F78="Rat", BA78="ul"), (BE78/1971)*100,  AND(F78="Mouse", BA78="nl"), (BE78/508910)*100, AND(F78="Rat", BA78="nl"), (BE78/1971000)*100, AND(F78="Mouse", BA78="cm3"), (BE78/0.50891)*100, AND(F78="Rat", BA78="cm3"), (BE78/1.971)*100, AND(F78="Mouse", BA78="mL"), (BE78/0.50891)*100, AND(F78="Rat", BA78="mL"), (BE78/1.971)*100, TRUE, "NA")</f>
        <v>12.196032861032508</v>
      </c>
      <c r="BG78" cm="1">
        <f t="array" ref="BG78">_xlfn.IFS(AZ78="NA", "NA", BB78="NR", "NA", BB78="SD", AZ78, BB78="SE", AZ78*(SQRT(R78)), BB78="SEM", AZ78*(SQRT(R78)), TRUE, "NA")</f>
        <v>115.75946095244224</v>
      </c>
      <c r="BH78" s="32" t="s">
        <v>154</v>
      </c>
      <c r="BI78" s="31" t="s">
        <v>153</v>
      </c>
      <c r="BJ78" s="31" t="s">
        <v>153</v>
      </c>
      <c r="BK78" s="31" t="s">
        <v>882</v>
      </c>
    </row>
    <row r="79" spans="1:63" x14ac:dyDescent="0.3">
      <c r="A79" t="s">
        <v>884</v>
      </c>
      <c r="B79" t="s">
        <v>883</v>
      </c>
      <c r="C79">
        <v>2013</v>
      </c>
      <c r="D79" t="s">
        <v>885</v>
      </c>
      <c r="E79" t="s">
        <v>647</v>
      </c>
      <c r="F79" t="s">
        <v>23</v>
      </c>
      <c r="G79" t="s">
        <v>10</v>
      </c>
      <c r="H79" t="s">
        <v>34</v>
      </c>
      <c r="I79" t="s">
        <v>12</v>
      </c>
      <c r="J79" t="s">
        <v>8</v>
      </c>
      <c r="K79" t="s">
        <v>9</v>
      </c>
      <c r="L79" t="s">
        <v>9</v>
      </c>
      <c r="M79" t="s">
        <v>9</v>
      </c>
      <c r="N79">
        <v>300</v>
      </c>
      <c r="O79">
        <f t="shared" ref="O79:O81" si="8">AVERAGE(N79,P79)</f>
        <v>325</v>
      </c>
      <c r="P79">
        <v>350</v>
      </c>
      <c r="Q79">
        <v>1</v>
      </c>
      <c r="R79">
        <v>11</v>
      </c>
      <c r="S79">
        <v>1</v>
      </c>
      <c r="T79">
        <v>11</v>
      </c>
      <c r="U79" s="18" t="s">
        <v>68</v>
      </c>
      <c r="V79" t="s">
        <v>8</v>
      </c>
      <c r="W79" t="s">
        <v>8</v>
      </c>
      <c r="X79" t="s">
        <v>68</v>
      </c>
      <c r="Y79" t="s">
        <v>8</v>
      </c>
      <c r="Z79" t="s">
        <v>8</v>
      </c>
      <c r="AA79" t="s">
        <v>640</v>
      </c>
      <c r="AB79" t="s">
        <v>746</v>
      </c>
      <c r="AC79" t="s">
        <v>154</v>
      </c>
      <c r="AD79" t="s">
        <v>634</v>
      </c>
      <c r="AE79">
        <v>0</v>
      </c>
      <c r="AF79">
        <v>400</v>
      </c>
      <c r="AG79" t="s">
        <v>745</v>
      </c>
      <c r="AH79">
        <v>5</v>
      </c>
      <c r="AI79" cm="1">
        <f t="array" ref="AI79">_xlfn.IFS(AF79="NR", "NA", AG79="NR", "NA", AG79="NA","NA", AND(AG79="mg/ml", AH79&lt;&gt;"NR"), ((AF79/2492)*AH79*1000000), AND(AG79="mol/L", AH79&lt;&gt;"NR"), AF79*AH79*1000000, AG79="nmol", AF79*1000, AND(AG79="nmol/uL", AH79&lt;&gt;"NR"), AF79*AH79*1000, AG79="pg", AF79/2492, AG79="pmol", AF79, AND(AG79="pmol/uL", AH79&lt;&gt;"NR"), AF79*AH79, AG79="ug", AF79/2492*1000000, AND(AG79="ug/mL", AH79&lt;&gt;"NR"), (AF79/1000*AH79)/2492*1000000, AND(AG79="ug/uL", AH79&lt;&gt;"NR"), (AF79*AH79)/2492*1000000, AND(AG79="umol/L", AH79&lt;&gt;"NR"), AH79*AF79, TRUE, "NA")</f>
        <v>2000</v>
      </c>
      <c r="AJ79">
        <v>10</v>
      </c>
      <c r="AK79">
        <v>5</v>
      </c>
      <c r="AL79" t="s">
        <v>701</v>
      </c>
      <c r="AM79" t="s">
        <v>886</v>
      </c>
      <c r="AN79" t="s">
        <v>9</v>
      </c>
      <c r="AO79" s="18" t="s">
        <v>773</v>
      </c>
      <c r="AP79" t="s">
        <v>1228</v>
      </c>
      <c r="AQ79">
        <v>120</v>
      </c>
      <c r="AR79" t="s">
        <v>103</v>
      </c>
      <c r="AS79" s="18">
        <v>504</v>
      </c>
      <c r="AT79" t="s">
        <v>271</v>
      </c>
      <c r="AU79" t="s">
        <v>652</v>
      </c>
      <c r="AV79" t="s">
        <v>674</v>
      </c>
      <c r="AW79">
        <v>12.2</v>
      </c>
      <c r="AX79">
        <v>3</v>
      </c>
      <c r="AY79">
        <v>10.7</v>
      </c>
      <c r="AZ79">
        <v>2</v>
      </c>
      <c r="BA79" t="s">
        <v>656</v>
      </c>
      <c r="BB79" t="s">
        <v>123</v>
      </c>
      <c r="BC79" cm="1">
        <f t="array" ref="BC79">_xlfn.IFS(BA79="Direct rLV % whole brain", AW79, BA79="Indirect rLV % whole brain", AW79, BA79="Direct rLV % hemisphere", AW79/2, BA79="Indirect rLV % hemisphere", AW79/2, AND(F79="Mouse", BA79="mm3"), (AW79/508.91)*100, AND(F79="Rat", BA79="mm3"), (AW79/1971)*100, AND(F79="Mouse", BA79="ul"), (AW79/508.91)*100, AND(F79="Rat", BA79="ul"), (AW79/1971)*100,  AND(F79="Mouse", BA79="nl"), (AW79/508910)*100, AND(F79="Rat", BA79="nl"), (AW79/1971000)*100, AND(F79="Mouse", BA79="cm3"), (AW79/0.50891)*100, AND(F79="Rat", BA79="cm3"), (AW79/1.971)*100, AND(F79="Mouse", BA79="mL"), (AW79/0.50891)*100, AND(F79="Rat", BA79="mL"), (AW79/1.971)*100, TRUE, "NA")</f>
        <v>0.61897513952308469</v>
      </c>
      <c r="BD79" cm="1">
        <f t="array" ref="BD79">_xlfn.IFS(AZ79="NA", "NA",BA79="Direct rLV % whole brain", AY79, BA79="Indirect rLV % whole brain", AY79, BA79="Direct rLV % hemisphere", AY79/2, BA79="Indirect rLV % hemisphere", AY79/2, AND(F79="Mouse", BA79="mm3"), (AY79/508.91)*100, AND(F79="Rat", BA79="mm3"), (AY79/1971)*100, AND(F79="Mouse", BA79="ul"), (AY79/508.91)*100, AND(F79="Rat", BA79="ul"), (AY79/1971)*100,  AND(F79="Mouse", BA79="nl"), (AY79/508910)*100, AND(F79="Rat", BA79="nl"), (AY79/1971000)*100, AND(F79="Mouse", BA79="cm3"), (AY79/0.50891)*100, AND(F79="Rat", BA79="cm3"), (AY79/1.971)*100, AND(F79="Mouse", BA79="mL"), (AY79/0.50891)*100, AND(F79="Rat", BA79="mL"), (AY79/1.971)*100, TRUE, "NA")</f>
        <v>0.54287163876204969</v>
      </c>
      <c r="BE79" cm="1">
        <f t="array" ref="BE79">_xlfn.IFS(AX79="NA", "NA", BB79="NR", "NA", BB79="SD", AX79, BB79="SE", AX79*(SQRT(R79)), BB79="SEM", AX79*(SQRT(R79)), TRUE, "NA")</f>
        <v>9.9498743710661994</v>
      </c>
      <c r="BF79" cm="1">
        <f t="array" ref="BF79">_xlfn.IFS(BE79="NA", "NA",BA79="Direct rLV % whole brain", BE79, BA79="Indirect rLV % whole brain", BE79, BA79="Direct rLV % hemisphere", BE79/2, BA79="Indirect rLV % hemisphere", BE79/2, AND(F79="Mouse", BA79="mm3"), (BE79/508.91)*100, AND(F79="Rat", BA79="mm3"), (BE79/1971)*100, AND(F79="Mouse", BA79="ul"), (BE79/508.91)*100, AND(F79="Rat", BA79="ul"), (BE79/1971)*100,  AND(F79="Mouse", BA79="nl"), (BE79/508910)*100, AND(F79="Rat", BA79="nl"), (BE79/1971000)*100, AND(F79="Mouse", BA79="cm3"), (BE79/0.50891)*100, AND(F79="Rat", BA79="cm3"), (BE79/1.971)*100, AND(F79="Mouse", BA79="mL"), (BE79/0.50891)*100, AND(F79="Rat", BA79="mL"), (BE79/1.971)*100, TRUE, "NA")</f>
        <v>0.50481351451375955</v>
      </c>
      <c r="BG79" cm="1">
        <f t="array" ref="BG79">_xlfn.IFS(AZ79="NA", "NA", BB79="NR", "NA", BB79="SD", AZ79, BB79="SE", AZ79*(SQRT(R79)), BB79="SEM", AZ79*(SQRT(R79)), TRUE, "NA")</f>
        <v>6.6332495807107996</v>
      </c>
      <c r="BH79" s="18" t="s">
        <v>154</v>
      </c>
      <c r="BI79" t="s">
        <v>154</v>
      </c>
      <c r="BJ79" t="s">
        <v>154</v>
      </c>
    </row>
    <row r="80" spans="1:63" s="31" customFormat="1" x14ac:dyDescent="0.3">
      <c r="A80" s="31" t="s">
        <v>887</v>
      </c>
      <c r="B80" s="31" t="s">
        <v>883</v>
      </c>
      <c r="C80" s="31">
        <v>2014</v>
      </c>
      <c r="D80" s="31" t="s">
        <v>888</v>
      </c>
      <c r="E80" s="31" t="s">
        <v>647</v>
      </c>
      <c r="F80" s="31" t="s">
        <v>23</v>
      </c>
      <c r="G80" s="31" t="s">
        <v>10</v>
      </c>
      <c r="H80" s="31" t="s">
        <v>34</v>
      </c>
      <c r="I80" s="31" t="s">
        <v>12</v>
      </c>
      <c r="J80" s="31" t="s">
        <v>8</v>
      </c>
      <c r="K80" s="31" t="s">
        <v>9</v>
      </c>
      <c r="L80" s="31" t="s">
        <v>9</v>
      </c>
      <c r="M80" s="31" t="s">
        <v>9</v>
      </c>
      <c r="N80" s="31">
        <v>300</v>
      </c>
      <c r="O80" s="31">
        <f t="shared" si="8"/>
        <v>325</v>
      </c>
      <c r="P80" s="31">
        <v>350</v>
      </c>
      <c r="Q80" s="31">
        <v>1</v>
      </c>
      <c r="R80" s="31">
        <v>9</v>
      </c>
      <c r="S80" s="31">
        <v>1</v>
      </c>
      <c r="T80" s="31">
        <v>9</v>
      </c>
      <c r="U80" s="32" t="s">
        <v>68</v>
      </c>
      <c r="V80" s="31" t="s">
        <v>8</v>
      </c>
      <c r="W80" s="31" t="s">
        <v>8</v>
      </c>
      <c r="X80" s="31" t="s">
        <v>68</v>
      </c>
      <c r="Y80" s="31" t="s">
        <v>8</v>
      </c>
      <c r="Z80" s="31" t="s">
        <v>8</v>
      </c>
      <c r="AA80" s="31" t="s">
        <v>640</v>
      </c>
      <c r="AB80" s="31" t="s">
        <v>746</v>
      </c>
      <c r="AC80" s="31" t="s">
        <v>154</v>
      </c>
      <c r="AD80" s="31" t="s">
        <v>634</v>
      </c>
      <c r="AE80" s="31">
        <v>0</v>
      </c>
      <c r="AF80" s="31">
        <v>400</v>
      </c>
      <c r="AG80" s="31" t="s">
        <v>745</v>
      </c>
      <c r="AH80" s="31">
        <v>5</v>
      </c>
      <c r="AI80" cm="1">
        <f t="array" ref="AI80">_xlfn.IFS(AF80="NR", "NA", AG80="NR", "NA", AG80="NA","NA", AND(AG80="mg/ml", AH80&lt;&gt;"NR"), ((AF80/2492)*AH80*1000000), AND(AG80="mol/L", AH80&lt;&gt;"NR"), AF80*AH80*1000000, AG80="nmol", AF80*1000, AND(AG80="nmol/uL", AH80&lt;&gt;"NR"), AF80*AH80*1000, AG80="pg", AF80/2492, AG80="pmol", AF80, AND(AG80="pmol/uL", AH80&lt;&gt;"NR"), AF80*AH80, AG80="ug", AF80/2492*1000000, AND(AG80="ug/mL", AH80&lt;&gt;"NR"), (AF80/1000*AH80)/2492*1000000, AND(AG80="ug/uL", AH80&lt;&gt;"NR"), (AF80*AH80)/2492*1000000, AND(AG80="umol/L", AH80&lt;&gt;"NR"), AH80*AF80, TRUE, "NA")</f>
        <v>2000</v>
      </c>
      <c r="AJ80" s="31">
        <v>10</v>
      </c>
      <c r="AK80" s="31">
        <v>5</v>
      </c>
      <c r="AL80" s="31" t="s">
        <v>701</v>
      </c>
      <c r="AM80" s="31" t="s">
        <v>886</v>
      </c>
      <c r="AN80" s="31" t="s">
        <v>9</v>
      </c>
      <c r="AO80" s="32" t="s">
        <v>773</v>
      </c>
      <c r="AP80" t="s">
        <v>1228</v>
      </c>
      <c r="AQ80" s="31">
        <v>72</v>
      </c>
      <c r="AR80" s="31" t="s">
        <v>103</v>
      </c>
      <c r="AS80" s="32">
        <v>720</v>
      </c>
      <c r="AT80" s="31" t="s">
        <v>271</v>
      </c>
      <c r="AU80" s="31" t="s">
        <v>652</v>
      </c>
      <c r="AV80" s="31" t="s">
        <v>674</v>
      </c>
      <c r="AW80" s="31">
        <v>10.6</v>
      </c>
      <c r="AX80" s="31">
        <v>5.7</v>
      </c>
      <c r="AY80" s="31">
        <v>25.7</v>
      </c>
      <c r="AZ80" s="31">
        <v>8.6</v>
      </c>
      <c r="BA80" s="31" t="s">
        <v>656</v>
      </c>
      <c r="BB80" s="31" t="s">
        <v>123</v>
      </c>
      <c r="BC80" cm="1">
        <f t="array" ref="BC80">_xlfn.IFS(BA80="Direct rLV % whole brain", AW80, BA80="Indirect rLV % whole brain", AW80, BA80="Direct rLV % hemisphere", AW80/2, BA80="Indirect rLV % hemisphere", AW80/2, AND(F80="Mouse", BA80="mm3"), (AW80/508.91)*100, AND(F80="Rat", BA80="mm3"), (AW80/1971)*100, AND(F80="Mouse", BA80="ul"), (AW80/508.91)*100, AND(F80="Rat", BA80="ul"), (AW80/1971)*100,  AND(F80="Mouse", BA80="nl"), (AW80/508910)*100, AND(F80="Rat", BA80="nl"), (AW80/1971000)*100, AND(F80="Mouse", BA80="cm3"), (AW80/0.50891)*100, AND(F80="Rat", BA80="cm3"), (AW80/1.971)*100, AND(F80="Mouse", BA80="mL"), (AW80/0.50891)*100, AND(F80="Rat", BA80="mL"), (AW80/1.971)*100, TRUE, "NA")</f>
        <v>0.53779807204464736</v>
      </c>
      <c r="BD80" cm="1">
        <f t="array" ref="BD80">_xlfn.IFS(AZ80="NA", "NA",BA80="Direct rLV % whole brain", AY80, BA80="Indirect rLV % whole brain", AY80, BA80="Direct rLV % hemisphere", AY80/2, BA80="Indirect rLV % hemisphere", AY80/2, AND(F80="Mouse", BA80="mm3"), (AY80/508.91)*100, AND(F80="Rat", BA80="mm3"), (AY80/1971)*100, AND(F80="Mouse", BA80="ul"), (AY80/508.91)*100, AND(F80="Rat", BA80="ul"), (AY80/1971)*100,  AND(F80="Mouse", BA80="nl"), (AY80/508910)*100, AND(F80="Rat", BA80="nl"), (AY80/1971000)*100, AND(F80="Mouse", BA80="cm3"), (AY80/0.50891)*100, AND(F80="Rat", BA80="cm3"), (AY80/1.971)*100, AND(F80="Mouse", BA80="mL"), (AY80/0.50891)*100, AND(F80="Rat", BA80="mL"), (AY80/1.971)*100, TRUE, "NA")</f>
        <v>1.3039066463723996</v>
      </c>
      <c r="BE80" cm="1">
        <f t="array" ref="BE80">_xlfn.IFS(AX80="NA", "NA", BB80="NR", "NA", BB80="SD", AX80, BB80="SE", AX80*(SQRT(R80)), BB80="SEM", AX80*(SQRT(R80)), TRUE, "NA")</f>
        <v>17.100000000000001</v>
      </c>
      <c r="BF80" cm="1">
        <f t="array" ref="BF80">_xlfn.IFS(BE80="NA", "NA",BA80="Direct rLV % whole brain", BE80, BA80="Indirect rLV % whole brain", BE80, BA80="Direct rLV % hemisphere", BE80/2, BA80="Indirect rLV % hemisphere", BE80/2, AND(F80="Mouse", BA80="mm3"), (BE80/508.91)*100, AND(F80="Rat", BA80="mm3"), (BE80/1971)*100, AND(F80="Mouse", BA80="ul"), (BE80/508.91)*100, AND(F80="Rat", BA80="ul"), (BE80/1971)*100,  AND(F80="Mouse", BA80="nl"), (BE80/508910)*100, AND(F80="Rat", BA80="nl"), (BE80/1971000)*100, AND(F80="Mouse", BA80="cm3"), (BE80/0.50891)*100, AND(F80="Rat", BA80="cm3"), (BE80/1.971)*100, AND(F80="Mouse", BA80="mL"), (BE80/0.50891)*100, AND(F80="Rat", BA80="mL"), (BE80/1.971)*100, TRUE, "NA")</f>
        <v>0.86757990867579915</v>
      </c>
      <c r="BG80" cm="1">
        <f t="array" ref="BG80">_xlfn.IFS(AZ80="NA", "NA", BB80="NR", "NA", BB80="SD", AZ80, BB80="SE", AZ80*(SQRT(R80)), BB80="SEM", AZ80*(SQRT(R80)), TRUE, "NA")</f>
        <v>25.799999999999997</v>
      </c>
      <c r="BH80" s="32" t="s">
        <v>154</v>
      </c>
      <c r="BI80" s="31" t="s">
        <v>154</v>
      </c>
      <c r="BJ80" s="31" t="s">
        <v>154</v>
      </c>
    </row>
    <row r="81" spans="1:63" x14ac:dyDescent="0.3">
      <c r="A81" t="s">
        <v>890</v>
      </c>
      <c r="B81" t="s">
        <v>889</v>
      </c>
      <c r="C81">
        <v>2013</v>
      </c>
      <c r="D81" t="s">
        <v>891</v>
      </c>
      <c r="E81" t="s">
        <v>647</v>
      </c>
      <c r="F81" t="s">
        <v>23</v>
      </c>
      <c r="G81" t="s">
        <v>10</v>
      </c>
      <c r="H81" t="s">
        <v>34</v>
      </c>
      <c r="I81" t="s">
        <v>12</v>
      </c>
      <c r="J81" t="s">
        <v>8</v>
      </c>
      <c r="K81" t="s">
        <v>9</v>
      </c>
      <c r="L81" t="s">
        <v>9</v>
      </c>
      <c r="M81" t="s">
        <v>9</v>
      </c>
      <c r="N81">
        <v>200</v>
      </c>
      <c r="O81">
        <f t="shared" si="8"/>
        <v>212.5</v>
      </c>
      <c r="P81">
        <v>225</v>
      </c>
      <c r="Q81">
        <v>1</v>
      </c>
      <c r="R81">
        <v>14</v>
      </c>
      <c r="S81">
        <v>1</v>
      </c>
      <c r="T81">
        <v>18</v>
      </c>
      <c r="U81" s="18" t="s">
        <v>68</v>
      </c>
      <c r="V81" t="s">
        <v>8</v>
      </c>
      <c r="W81" t="s">
        <v>8</v>
      </c>
      <c r="X81" t="s">
        <v>68</v>
      </c>
      <c r="Y81" t="s">
        <v>8</v>
      </c>
      <c r="Z81" t="s">
        <v>8</v>
      </c>
      <c r="AA81" t="s">
        <v>640</v>
      </c>
      <c r="AB81" t="s">
        <v>636</v>
      </c>
      <c r="AC81" t="s">
        <v>154</v>
      </c>
      <c r="AD81" t="s">
        <v>634</v>
      </c>
      <c r="AE81">
        <v>0</v>
      </c>
      <c r="AF81">
        <v>2400</v>
      </c>
      <c r="AG81" t="s">
        <v>650</v>
      </c>
      <c r="AH81">
        <v>6</v>
      </c>
      <c r="AI81" cm="1">
        <f t="array" ref="AI81">_xlfn.IFS(AF81="NR", "NA", AG81="NR", "NA", AG81="NA","NA", AND(AG81="mg/ml", AH81&lt;&gt;"NR"), ((AF81/2492)*AH81*1000000), AND(AG81="mol/L", AH81&lt;&gt;"NR"), AF81*AH81*1000000, AG81="nmol", AF81*1000, AND(AG81="nmol/uL", AH81&lt;&gt;"NR"), AF81*AH81*1000, AG81="pg", AF81/2492, AG81="pmol", AF81, AND(AG81="pmol/uL", AH81&lt;&gt;"NR"), AF81*AH81, AG81="ug", AF81/2492*1000000, AND(AG81="ug/mL", AH81&lt;&gt;"NR"), (AF81/1000*AH81)/2492*1000000, AND(AG81="ug/uL", AH81&lt;&gt;"NR"), (AF81*AH81)/2492*1000000, AND(AG81="umol/L", AH81&lt;&gt;"NR"), AH81*AF81, TRUE, "NA")</f>
        <v>2400</v>
      </c>
      <c r="AJ81">
        <v>12</v>
      </c>
      <c r="AK81">
        <v>3</v>
      </c>
      <c r="AL81" t="s">
        <v>665</v>
      </c>
      <c r="AM81" t="s">
        <v>8</v>
      </c>
      <c r="AN81" t="s">
        <v>9</v>
      </c>
      <c r="AO81" s="18" t="s">
        <v>328</v>
      </c>
      <c r="AP81" t="s">
        <v>1228</v>
      </c>
      <c r="AQ81">
        <v>168</v>
      </c>
      <c r="AR81" t="s">
        <v>103</v>
      </c>
      <c r="AS81" s="18">
        <v>840</v>
      </c>
      <c r="AT81" t="s">
        <v>271</v>
      </c>
      <c r="AU81" t="s">
        <v>652</v>
      </c>
      <c r="AV81">
        <v>0.66</v>
      </c>
      <c r="AW81">
        <v>10.1</v>
      </c>
      <c r="AX81">
        <v>3.1</v>
      </c>
      <c r="AY81">
        <v>7.2</v>
      </c>
      <c r="AZ81">
        <v>1.8</v>
      </c>
      <c r="BA81" t="s">
        <v>656</v>
      </c>
      <c r="BB81" t="s">
        <v>123</v>
      </c>
      <c r="BC81" cm="1">
        <f t="array" ref="BC81">_xlfn.IFS(BA81="Direct rLV % whole brain", AW81, BA81="Indirect rLV % whole brain", AW81, BA81="Direct rLV % hemisphere", AW81/2, BA81="Indirect rLV % hemisphere", AW81/2, AND(F81="Mouse", BA81="mm3"), (AW81/508.91)*100, AND(F81="Rat", BA81="mm3"), (AW81/1971)*100, AND(F81="Mouse", BA81="ul"), (AW81/508.91)*100, AND(F81="Rat", BA81="ul"), (AW81/1971)*100,  AND(F81="Mouse", BA81="nl"), (AW81/508910)*100, AND(F81="Rat", BA81="nl"), (AW81/1971000)*100, AND(F81="Mouse", BA81="cm3"), (AW81/0.50891)*100, AND(F81="Rat", BA81="cm3"), (AW81/1.971)*100, AND(F81="Mouse", BA81="mL"), (AW81/0.50891)*100, AND(F81="Rat", BA81="mL"), (AW81/1.971)*100, TRUE, "NA")</f>
        <v>0.51243023845763569</v>
      </c>
      <c r="BD81" cm="1">
        <f t="array" ref="BD81">_xlfn.IFS(AZ81="NA", "NA",BA81="Direct rLV % whole brain", AY81, BA81="Indirect rLV % whole brain", AY81, BA81="Direct rLV % hemisphere", AY81/2, BA81="Indirect rLV % hemisphere", AY81/2, AND(F81="Mouse", BA81="mm3"), (AY81/508.91)*100, AND(F81="Rat", BA81="mm3"), (AY81/1971)*100, AND(F81="Mouse", BA81="ul"), (AY81/508.91)*100, AND(F81="Rat", BA81="ul"), (AY81/1971)*100,  AND(F81="Mouse", BA81="nl"), (AY81/508910)*100, AND(F81="Rat", BA81="nl"), (AY81/1971000)*100, AND(F81="Mouse", BA81="cm3"), (AY81/0.50891)*100, AND(F81="Rat", BA81="cm3"), (AY81/1.971)*100, AND(F81="Mouse", BA81="mL"), (AY81/0.50891)*100, AND(F81="Rat", BA81="mL"), (AY81/1.971)*100, TRUE, "NA")</f>
        <v>0.36529680365296802</v>
      </c>
      <c r="BE81" cm="1">
        <f t="array" ref="BE81">_xlfn.IFS(AX81="NA", "NA", BB81="NR", "NA", BB81="SD", AX81, BB81="SE", AX81*(SQRT(R81)), BB81="SEM", AX81*(SQRT(R81)), TRUE, "NA")</f>
        <v>11.599137898999219</v>
      </c>
      <c r="BF81" cm="1">
        <f t="array" ref="BF81">_xlfn.IFS(BE81="NA", "NA",BA81="Direct rLV % whole brain", BE81, BA81="Indirect rLV % whole brain", BE81, BA81="Direct rLV % hemisphere", BE81/2, BA81="Indirect rLV % hemisphere", BE81/2, AND(F81="Mouse", BA81="mm3"), (BE81/508.91)*100, AND(F81="Rat", BA81="mm3"), (BE81/1971)*100, AND(F81="Mouse", BA81="ul"), (BE81/508.91)*100, AND(F81="Rat", BA81="ul"), (BE81/1971)*100,  AND(F81="Mouse", BA81="nl"), (BE81/508910)*100, AND(F81="Rat", BA81="nl"), (BE81/1971000)*100, AND(F81="Mouse", BA81="cm3"), (BE81/0.50891)*100, AND(F81="Rat", BA81="cm3"), (BE81/1.971)*100, AND(F81="Mouse", BA81="mL"), (BE81/0.50891)*100, AND(F81="Rat", BA81="mL"), (BE81/1.971)*100, TRUE, "NA")</f>
        <v>0.58848999994922468</v>
      </c>
      <c r="BG81" cm="1">
        <f t="array" ref="BG81">_xlfn.IFS(AZ81="NA", "NA", BB81="NR", "NA", BB81="SD", AZ81, BB81="SE", AZ81*(SQRT(R81)), BB81="SEM", AZ81*(SQRT(R81)), TRUE, "NA")</f>
        <v>6.7349832961930947</v>
      </c>
      <c r="BH81" s="18" t="s">
        <v>154</v>
      </c>
      <c r="BI81" t="s">
        <v>154</v>
      </c>
      <c r="BJ81" t="s">
        <v>154</v>
      </c>
    </row>
    <row r="82" spans="1:63" s="31" customFormat="1" x14ac:dyDescent="0.3">
      <c r="A82" s="31" t="s">
        <v>893</v>
      </c>
      <c r="B82" s="31" t="s">
        <v>892</v>
      </c>
      <c r="C82" s="31">
        <v>2013</v>
      </c>
      <c r="D82" s="31" t="s">
        <v>894</v>
      </c>
      <c r="E82" s="31" t="s">
        <v>647</v>
      </c>
      <c r="F82" s="31" t="s">
        <v>23</v>
      </c>
      <c r="G82" s="31" t="s">
        <v>10</v>
      </c>
      <c r="H82" s="31" t="s">
        <v>34</v>
      </c>
      <c r="I82" s="31" t="s">
        <v>12</v>
      </c>
      <c r="J82" s="31" t="s">
        <v>8</v>
      </c>
      <c r="K82" s="31" t="s">
        <v>8</v>
      </c>
      <c r="L82" s="31">
        <v>13</v>
      </c>
      <c r="M82" s="31" t="s">
        <v>8</v>
      </c>
      <c r="N82" s="31" t="s">
        <v>8</v>
      </c>
      <c r="O82" s="31">
        <v>300</v>
      </c>
      <c r="P82" s="31" t="s">
        <v>8</v>
      </c>
      <c r="Q82" s="31">
        <v>1</v>
      </c>
      <c r="R82" s="31">
        <v>15</v>
      </c>
      <c r="S82" s="31">
        <v>1</v>
      </c>
      <c r="T82" s="31">
        <v>15</v>
      </c>
      <c r="U82" s="32" t="s">
        <v>68</v>
      </c>
      <c r="V82" s="31" t="s">
        <v>96</v>
      </c>
      <c r="W82" s="31" t="s">
        <v>8</v>
      </c>
      <c r="X82" s="31" t="s">
        <v>68</v>
      </c>
      <c r="Y82" s="31" t="s">
        <v>96</v>
      </c>
      <c r="Z82" s="31" t="s">
        <v>8</v>
      </c>
      <c r="AA82" s="31" t="s">
        <v>640</v>
      </c>
      <c r="AB82" s="31" t="s">
        <v>746</v>
      </c>
      <c r="AC82" s="31" t="s">
        <v>154</v>
      </c>
      <c r="AD82" s="31" t="s">
        <v>634</v>
      </c>
      <c r="AE82" s="31">
        <v>0</v>
      </c>
      <c r="AF82" s="31">
        <v>400</v>
      </c>
      <c r="AG82" s="31" t="s">
        <v>745</v>
      </c>
      <c r="AH82" s="31">
        <v>5</v>
      </c>
      <c r="AI82" cm="1">
        <f t="array" ref="AI82">_xlfn.IFS(AF82="NR", "NA", AG82="NR", "NA", AG82="NA","NA", AND(AG82="mg/ml", AH82&lt;&gt;"NR"), ((AF82/2492)*AH82*1000000), AND(AG82="mol/L", AH82&lt;&gt;"NR"), AF82*AH82*1000000, AG82="nmol", AF82*1000, AND(AG82="nmol/uL", AH82&lt;&gt;"NR"), AF82*AH82*1000, AG82="pg", AF82/2492, AG82="pmol", AF82, AND(AG82="pmol/uL", AH82&lt;&gt;"NR"), AF82*AH82, AG82="ug", AF82/2492*1000000, AND(AG82="ug/mL", AH82&lt;&gt;"NR"), (AF82/1000*AH82)/2492*1000000, AND(AG82="ug/uL", AH82&lt;&gt;"NR"), (AF82*AH82)/2492*1000000, AND(AG82="umol/L", AH82&lt;&gt;"NR"), AH82*AF82, TRUE, "NA")</f>
        <v>2000</v>
      </c>
      <c r="AJ82" s="31">
        <v>10</v>
      </c>
      <c r="AK82" s="31">
        <v>3</v>
      </c>
      <c r="AL82" s="31" t="s">
        <v>9</v>
      </c>
      <c r="AM82" s="31" t="s">
        <v>8</v>
      </c>
      <c r="AN82" s="31" t="s">
        <v>9</v>
      </c>
      <c r="AO82" s="32" t="s">
        <v>773</v>
      </c>
      <c r="AP82" t="s">
        <v>1228</v>
      </c>
      <c r="AQ82" s="31">
        <v>168</v>
      </c>
      <c r="AR82" s="31" t="s">
        <v>103</v>
      </c>
      <c r="AS82" s="32">
        <v>1512</v>
      </c>
      <c r="AT82" s="31" t="s">
        <v>271</v>
      </c>
      <c r="AU82" s="31" t="s">
        <v>652</v>
      </c>
      <c r="AV82" s="31" t="s">
        <v>674</v>
      </c>
      <c r="AW82" s="31">
        <v>68.16</v>
      </c>
      <c r="AX82" s="31">
        <v>10.75</v>
      </c>
      <c r="AY82" s="31">
        <v>63.38</v>
      </c>
      <c r="AZ82" s="31">
        <v>8.36</v>
      </c>
      <c r="BA82" s="31" t="s">
        <v>656</v>
      </c>
      <c r="BB82" s="31" t="s">
        <v>123</v>
      </c>
      <c r="BC82" cm="1">
        <f t="array" ref="BC82">_xlfn.IFS(BA82="Direct rLV % whole brain", AW82, BA82="Indirect rLV % whole brain", AW82, BA82="Direct rLV % hemisphere", AW82/2, BA82="Indirect rLV % hemisphere", AW82/2, AND(F82="Mouse", BA82="mm3"), (AW82/508.91)*100, AND(F82="Rat", BA82="mm3"), (AW82/1971)*100, AND(F82="Mouse", BA82="ul"), (AW82/508.91)*100, AND(F82="Rat", BA82="ul"), (AW82/1971)*100,  AND(F82="Mouse", BA82="nl"), (AW82/508910)*100, AND(F82="Rat", BA82="nl"), (AW82/1971000)*100, AND(F82="Mouse", BA82="cm3"), (AW82/0.50891)*100, AND(F82="Rat", BA82="cm3"), (AW82/1.971)*100, AND(F82="Mouse", BA82="mL"), (AW82/0.50891)*100, AND(F82="Rat", BA82="mL"), (AW82/1.971)*100, TRUE, "NA")</f>
        <v>3.4581430745814301</v>
      </c>
      <c r="BD82" cm="1">
        <f t="array" ref="BD82">_xlfn.IFS(AZ82="NA", "NA",BA82="Direct rLV % whole brain", AY82, BA82="Indirect rLV % whole brain", AY82, BA82="Direct rLV % hemisphere", AY82/2, BA82="Indirect rLV % hemisphere", AY82/2, AND(F82="Mouse", BA82="mm3"), (AY82/508.91)*100, AND(F82="Rat", BA82="mm3"), (AY82/1971)*100, AND(F82="Mouse", BA82="ul"), (AY82/508.91)*100, AND(F82="Rat", BA82="ul"), (AY82/1971)*100,  AND(F82="Mouse", BA82="nl"), (AY82/508910)*100, AND(F82="Rat", BA82="nl"), (AY82/1971000)*100, AND(F82="Mouse", BA82="cm3"), (AY82/0.50891)*100, AND(F82="Rat", BA82="cm3"), (AY82/1.971)*100, AND(F82="Mouse", BA82="mL"), (AY82/0.50891)*100, AND(F82="Rat", BA82="mL"), (AY82/1.971)*100, TRUE, "NA")</f>
        <v>3.2156265854895989</v>
      </c>
      <c r="BE82" cm="1">
        <f t="array" ref="BE82">_xlfn.IFS(AX82="NA", "NA", BB82="NR", "NA", BB82="SD", AX82, BB82="SE", AX82*(SQRT(R82)), BB82="SEM", AX82*(SQRT(R82)), TRUE, "NA")</f>
        <v>41.63457097172973</v>
      </c>
      <c r="BF82" cm="1">
        <f t="array" ref="BF82">_xlfn.IFS(BE82="NA", "NA",BA82="Direct rLV % whole brain", BE82, BA82="Indirect rLV % whole brain", BE82, BA82="Direct rLV % hemisphere", BE82/2, BA82="Indirect rLV % hemisphere", BE82/2, AND(F82="Mouse", BA82="mm3"), (BE82/508.91)*100, AND(F82="Rat", BA82="mm3"), (BE82/1971)*100, AND(F82="Mouse", BA82="ul"), (BE82/508.91)*100, AND(F82="Rat", BA82="ul"), (BE82/1971)*100,  AND(F82="Mouse", BA82="nl"), (BE82/508910)*100, AND(F82="Rat", BA82="nl"), (BE82/1971000)*100, AND(F82="Mouse", BA82="cm3"), (BE82/0.50891)*100, AND(F82="Rat", BA82="cm3"), (BE82/1.971)*100, AND(F82="Mouse", BA82="mL"), (BE82/0.50891)*100, AND(F82="Rat", BA82="mL"), (BE82/1.971)*100, TRUE, "NA")</f>
        <v>2.1123577357549332</v>
      </c>
      <c r="BG82" cm="1">
        <f t="array" ref="BG82">_xlfn.IFS(AZ82="NA", "NA", BB82="NR", "NA", BB82="SD", AZ82, BB82="SE", AZ82*(SQRT(R82)), BB82="SEM", AZ82*(SQRT(R82)), TRUE, "NA")</f>
        <v>32.378140774294003</v>
      </c>
      <c r="BH82" s="32" t="s">
        <v>154</v>
      </c>
      <c r="BI82" s="31" t="s">
        <v>154</v>
      </c>
      <c r="BJ82" s="31" t="s">
        <v>154</v>
      </c>
    </row>
    <row r="83" spans="1:63" x14ac:dyDescent="0.3">
      <c r="A83" t="s">
        <v>896</v>
      </c>
      <c r="B83" t="s">
        <v>895</v>
      </c>
      <c r="C83">
        <v>2014</v>
      </c>
      <c r="D83" t="s">
        <v>897</v>
      </c>
      <c r="E83" t="s">
        <v>647</v>
      </c>
      <c r="F83" t="s">
        <v>23</v>
      </c>
      <c r="G83" t="s">
        <v>10</v>
      </c>
      <c r="H83" t="s">
        <v>9</v>
      </c>
      <c r="I83" t="s">
        <v>12</v>
      </c>
      <c r="J83" t="s">
        <v>8</v>
      </c>
      <c r="K83" t="s">
        <v>8</v>
      </c>
      <c r="L83">
        <v>13</v>
      </c>
      <c r="M83" t="s">
        <v>8</v>
      </c>
      <c r="N83">
        <v>250</v>
      </c>
      <c r="O83">
        <f>AVERAGE(N83,P83)</f>
        <v>275</v>
      </c>
      <c r="P83">
        <v>300</v>
      </c>
      <c r="Q83">
        <v>1</v>
      </c>
      <c r="R83">
        <v>9</v>
      </c>
      <c r="S83">
        <v>4</v>
      </c>
      <c r="T83">
        <v>9</v>
      </c>
      <c r="U83" s="18" t="s">
        <v>71</v>
      </c>
      <c r="V83" t="s">
        <v>68</v>
      </c>
      <c r="W83" t="s">
        <v>8</v>
      </c>
      <c r="X83" t="s">
        <v>71</v>
      </c>
      <c r="Y83" t="s">
        <v>68</v>
      </c>
      <c r="Z83" t="s">
        <v>8</v>
      </c>
      <c r="AA83" t="s">
        <v>640</v>
      </c>
      <c r="AB83" t="s">
        <v>636</v>
      </c>
      <c r="AC83" t="s">
        <v>154</v>
      </c>
      <c r="AD83" t="s">
        <v>634</v>
      </c>
      <c r="AE83">
        <v>0</v>
      </c>
      <c r="AF83">
        <v>0.3</v>
      </c>
      <c r="AG83" t="s">
        <v>580</v>
      </c>
      <c r="AH83">
        <v>2</v>
      </c>
      <c r="AI83" cm="1">
        <f t="array" ref="AI83">_xlfn.IFS(AF83="NR", "NA", AG83="NR", "NA", AG83="NA","NA", AND(AG83="mg/ml", AH83&lt;&gt;"NR"), ((AF83/2492)*AH83*1000000), AND(AG83="mol/L", AH83&lt;&gt;"NR"), AF83*AH83*1000000, AG83="nmol", AF83*1000, AND(AG83="nmol/uL", AH83&lt;&gt;"NR"), AF83*AH83*1000, AG83="pg", AF83/2492, AG83="pmol", AF83, AND(AG83="pmol/uL", AH83&lt;&gt;"NR"), AF83*AH83, AG83="ug", AF83/2492*1000000, AND(AG83="ug/mL", AH83&lt;&gt;"NR"), (AF83/1000*AH83)/2492*1000000, AND(AG83="ug/uL", AH83&lt;&gt;"NR"), (AF83*AH83)/2492*1000000, AND(AG83="umol/L", AH83&lt;&gt;"NR"), AH83*AF83, TRUE, "NA")</f>
        <v>240.77046548956662</v>
      </c>
      <c r="AJ83">
        <v>12</v>
      </c>
      <c r="AK83">
        <v>6</v>
      </c>
      <c r="AL83" t="s">
        <v>9</v>
      </c>
      <c r="AM83" t="s">
        <v>8</v>
      </c>
      <c r="AN83" t="s">
        <v>9</v>
      </c>
      <c r="AO83" s="18" t="s">
        <v>898</v>
      </c>
      <c r="AP83" t="s">
        <v>1228</v>
      </c>
      <c r="AQ83">
        <v>2</v>
      </c>
      <c r="AR83" t="s">
        <v>103</v>
      </c>
      <c r="AS83" s="18">
        <v>336</v>
      </c>
      <c r="AT83" t="s">
        <v>271</v>
      </c>
      <c r="AU83" t="s">
        <v>732</v>
      </c>
      <c r="AV83" t="s">
        <v>674</v>
      </c>
      <c r="AW83">
        <v>7.43</v>
      </c>
      <c r="AX83">
        <v>0.47</v>
      </c>
      <c r="AY83">
        <v>8.23</v>
      </c>
      <c r="AZ83">
        <v>0.47</v>
      </c>
      <c r="BA83" t="s">
        <v>203</v>
      </c>
      <c r="BB83" t="s">
        <v>122</v>
      </c>
      <c r="BC83" cm="1">
        <f t="array" ref="BC83">_xlfn.IFS(BA83="Direct rLV % whole brain", AW83, BA83="Indirect rLV % whole brain", AW83, BA83="Direct rLV % hemisphere", AW83/2, BA83="Indirect rLV % hemisphere", AW83/2, AND(F83="Mouse", BA83="mm3"), (AW83/508.91)*100, AND(F83="Rat", BA83="mm3"), (AW83/1971)*100, AND(F83="Mouse", BA83="ul"), (AW83/508.91)*100, AND(F83="Rat", BA83="ul"), (AW83/1971)*100,  AND(F83="Mouse", BA83="nl"), (AW83/508910)*100, AND(F83="Rat", BA83="nl"), (AW83/1971000)*100, AND(F83="Mouse", BA83="cm3"), (AW83/0.50891)*100, AND(F83="Rat", BA83="cm3"), (AW83/1.971)*100, AND(F83="Mouse", BA83="mL"), (AW83/0.50891)*100, AND(F83="Rat", BA83="mL"), (AW83/1.971)*100, TRUE, "NA")</f>
        <v>3.7149999999999999</v>
      </c>
      <c r="BD83" cm="1">
        <f t="array" ref="BD83">_xlfn.IFS(AZ83="NA", "NA",BA83="Direct rLV % whole brain", AY83, BA83="Indirect rLV % whole brain", AY83, BA83="Direct rLV % hemisphere", AY83/2, BA83="Indirect rLV % hemisphere", AY83/2, AND(F83="Mouse", BA83="mm3"), (AY83/508.91)*100, AND(F83="Rat", BA83="mm3"), (AY83/1971)*100, AND(F83="Mouse", BA83="ul"), (AY83/508.91)*100, AND(F83="Rat", BA83="ul"), (AY83/1971)*100,  AND(F83="Mouse", BA83="nl"), (AY83/508910)*100, AND(F83="Rat", BA83="nl"), (AY83/1971000)*100, AND(F83="Mouse", BA83="cm3"), (AY83/0.50891)*100, AND(F83="Rat", BA83="cm3"), (AY83/1.971)*100, AND(F83="Mouse", BA83="mL"), (AY83/0.50891)*100, AND(F83="Rat", BA83="mL"), (AY83/1.971)*100, TRUE, "NA")</f>
        <v>4.1150000000000002</v>
      </c>
      <c r="BE83" cm="1">
        <f t="array" ref="BE83">_xlfn.IFS(AX83="NA", "NA", BB83="NR", "NA", BB83="SD", AX83, BB83="SE", AX83*(SQRT(R83)), BB83="SEM", AX83*(SQRT(R83)), TRUE, "NA")</f>
        <v>0.47</v>
      </c>
      <c r="BF83" cm="1">
        <f t="array" ref="BF83">_xlfn.IFS(BE83="NA", "NA",BA83="Direct rLV % whole brain", BE83, BA83="Indirect rLV % whole brain", BE83, BA83="Direct rLV % hemisphere", BE83/2, BA83="Indirect rLV % hemisphere", BE83/2, AND(F83="Mouse", BA83="mm3"), (BE83/508.91)*100, AND(F83="Rat", BA83="mm3"), (BE83/1971)*100, AND(F83="Mouse", BA83="ul"), (BE83/508.91)*100, AND(F83="Rat", BA83="ul"), (BE83/1971)*100,  AND(F83="Mouse", BA83="nl"), (BE83/508910)*100, AND(F83="Rat", BA83="nl"), (BE83/1971000)*100, AND(F83="Mouse", BA83="cm3"), (BE83/0.50891)*100, AND(F83="Rat", BA83="cm3"), (BE83/1.971)*100, AND(F83="Mouse", BA83="mL"), (BE83/0.50891)*100, AND(F83="Rat", BA83="mL"), (BE83/1.971)*100, TRUE, "NA")</f>
        <v>0.23499999999999999</v>
      </c>
      <c r="BG83" cm="1">
        <f t="array" ref="BG83">_xlfn.IFS(AZ83="NA", "NA", BB83="NR", "NA", BB83="SD", AZ83, BB83="SE", AZ83*(SQRT(R83)), BB83="SEM", AZ83*(SQRT(R83)), TRUE, "NA")</f>
        <v>0.47</v>
      </c>
      <c r="BH83" s="18" t="s">
        <v>154</v>
      </c>
      <c r="BI83" t="s">
        <v>153</v>
      </c>
      <c r="BJ83" t="s">
        <v>154</v>
      </c>
    </row>
    <row r="84" spans="1:63" s="31" customFormat="1" x14ac:dyDescent="0.3">
      <c r="A84" s="31" t="s">
        <v>900</v>
      </c>
      <c r="B84" s="31" t="s">
        <v>899</v>
      </c>
      <c r="C84" s="31">
        <v>2009</v>
      </c>
      <c r="D84" s="31" t="s">
        <v>901</v>
      </c>
      <c r="E84" s="31" t="s">
        <v>647</v>
      </c>
      <c r="F84" s="31" t="s">
        <v>23</v>
      </c>
      <c r="G84" s="31" t="s">
        <v>11</v>
      </c>
      <c r="H84" s="31" t="s">
        <v>34</v>
      </c>
      <c r="I84" s="31" t="s">
        <v>12</v>
      </c>
      <c r="J84" s="31" t="s">
        <v>8</v>
      </c>
      <c r="K84" s="31" t="s">
        <v>9</v>
      </c>
      <c r="L84" s="31" t="s">
        <v>9</v>
      </c>
      <c r="M84" s="31" t="s">
        <v>9</v>
      </c>
      <c r="N84" s="31">
        <v>250</v>
      </c>
      <c r="O84" s="31">
        <f t="shared" ref="O84:O85" si="9">AVERAGE(N84,P84)</f>
        <v>300</v>
      </c>
      <c r="P84" s="31">
        <v>350</v>
      </c>
      <c r="Q84" s="31">
        <v>1</v>
      </c>
      <c r="R84" s="31">
        <v>5</v>
      </c>
      <c r="S84" s="31">
        <v>1</v>
      </c>
      <c r="T84" s="31">
        <v>5</v>
      </c>
      <c r="U84" s="32" t="s">
        <v>68</v>
      </c>
      <c r="V84" s="31" t="s">
        <v>8</v>
      </c>
      <c r="W84" s="31" t="s">
        <v>8</v>
      </c>
      <c r="X84" s="31" t="s">
        <v>68</v>
      </c>
      <c r="Y84" s="31" t="s">
        <v>8</v>
      </c>
      <c r="Z84" s="31" t="s">
        <v>8</v>
      </c>
      <c r="AA84" s="31" t="s">
        <v>640</v>
      </c>
      <c r="AB84" s="31" t="s">
        <v>637</v>
      </c>
      <c r="AC84" s="31" t="s">
        <v>154</v>
      </c>
      <c r="AD84" s="31" t="s">
        <v>634</v>
      </c>
      <c r="AE84" s="31">
        <v>0</v>
      </c>
      <c r="AF84" s="31">
        <v>0.2</v>
      </c>
      <c r="AG84" s="31" t="s">
        <v>580</v>
      </c>
      <c r="AH84" s="31">
        <v>2</v>
      </c>
      <c r="AI84" cm="1">
        <f t="array" ref="AI84">_xlfn.IFS(AF84="NR", "NA", AG84="NR", "NA", AG84="NA","NA", AND(AG84="mg/ml", AH84&lt;&gt;"NR"), ((AF84/2492)*AH84*1000000), AND(AG84="mol/L", AH84&lt;&gt;"NR"), AF84*AH84*1000000, AG84="nmol", AF84*1000, AND(AG84="nmol/uL", AH84&lt;&gt;"NR"), AF84*AH84*1000, AG84="pg", AF84/2492, AG84="pmol", AF84, AND(AG84="pmol/uL", AH84&lt;&gt;"NR"), AF84*AH84, AG84="ug", AF84/2492*1000000, AND(AG84="ug/mL", AH84&lt;&gt;"NR"), (AF84/1000*AH84)/2492*1000000, AND(AG84="ug/uL", AH84&lt;&gt;"NR"), (AF84*AH84)/2492*1000000, AND(AG84="umol/L", AH84&lt;&gt;"NR"), AH84*AF84, TRUE, "NA")</f>
        <v>160.51364365971108</v>
      </c>
      <c r="AJ84" s="31">
        <v>6</v>
      </c>
      <c r="AK84" s="31">
        <v>1</v>
      </c>
      <c r="AL84" s="31" t="s">
        <v>9</v>
      </c>
      <c r="AM84" s="31" t="s">
        <v>8</v>
      </c>
      <c r="AN84" s="31" t="s">
        <v>9</v>
      </c>
      <c r="AO84" s="32" t="s">
        <v>902</v>
      </c>
      <c r="AP84" t="s">
        <v>1228</v>
      </c>
      <c r="AQ84" s="31">
        <v>0</v>
      </c>
      <c r="AR84" s="31" t="s">
        <v>102</v>
      </c>
      <c r="AS84" s="32">
        <v>168</v>
      </c>
      <c r="AT84" s="31" t="s">
        <v>269</v>
      </c>
      <c r="AU84" s="31" t="s">
        <v>8</v>
      </c>
      <c r="AV84" s="31" t="s">
        <v>679</v>
      </c>
      <c r="AW84" s="31">
        <v>9.5</v>
      </c>
      <c r="AX84" s="31">
        <v>3</v>
      </c>
      <c r="AY84" s="31">
        <v>1.58</v>
      </c>
      <c r="AZ84" s="31">
        <v>0.54</v>
      </c>
      <c r="BA84" s="31" t="s">
        <v>656</v>
      </c>
      <c r="BB84" s="31" t="s">
        <v>123</v>
      </c>
      <c r="BC84" cm="1">
        <f t="array" ref="BC84">_xlfn.IFS(BA84="Direct rLV % whole brain", AW84, BA84="Indirect rLV % whole brain", AW84, BA84="Direct rLV % hemisphere", AW84/2, BA84="Indirect rLV % hemisphere", AW84/2, AND(F84="Mouse", BA84="mm3"), (AW84/508.91)*100, AND(F84="Rat", BA84="mm3"), (AW84/1971)*100, AND(F84="Mouse", BA84="ul"), (AW84/508.91)*100, AND(F84="Rat", BA84="ul"), (AW84/1971)*100,  AND(F84="Mouse", BA84="nl"), (AW84/508910)*100, AND(F84="Rat", BA84="nl"), (AW84/1971000)*100, AND(F84="Mouse", BA84="cm3"), (AW84/0.50891)*100, AND(F84="Rat", BA84="cm3"), (AW84/1.971)*100, AND(F84="Mouse", BA84="mL"), (AW84/0.50891)*100, AND(F84="Rat", BA84="mL"), (AW84/1.971)*100, TRUE, "NA")</f>
        <v>0.48198883815322169</v>
      </c>
      <c r="BD84" cm="1">
        <f t="array" ref="BD84">_xlfn.IFS(AZ84="NA", "NA",BA84="Direct rLV % whole brain", AY84, BA84="Indirect rLV % whole brain", AY84, BA84="Direct rLV % hemisphere", AY84/2, BA84="Indirect rLV % hemisphere", AY84/2, AND(F84="Mouse", BA84="mm3"), (AY84/508.91)*100, AND(F84="Rat", BA84="mm3"), (AY84/1971)*100, AND(F84="Mouse", BA84="ul"), (AY84/508.91)*100, AND(F84="Rat", BA84="ul"), (AY84/1971)*100,  AND(F84="Mouse", BA84="nl"), (AY84/508910)*100, AND(F84="Rat", BA84="nl"), (AY84/1971000)*100, AND(F84="Mouse", BA84="cm3"), (AY84/0.50891)*100, AND(F84="Rat", BA84="cm3"), (AY84/1.971)*100, AND(F84="Mouse", BA84="mL"), (AY84/0.50891)*100, AND(F84="Rat", BA84="mL"), (AY84/1.971)*100, TRUE, "NA")</f>
        <v>8.0162354134956884E-2</v>
      </c>
      <c r="BE84" cm="1">
        <f t="array" ref="BE84">_xlfn.IFS(AX84="NA", "NA", BB84="NR", "NA", BB84="SD", AX84, BB84="SE", AX84*(SQRT(R84)), BB84="SEM", AX84*(SQRT(R84)), TRUE, "NA")</f>
        <v>6.7082039324993694</v>
      </c>
      <c r="BF84" cm="1">
        <f t="array" ref="BF84">_xlfn.IFS(BE84="NA", "NA",BA84="Direct rLV % whole brain", BE84, BA84="Indirect rLV % whole brain", BE84, BA84="Direct rLV % hemisphere", BE84/2, BA84="Indirect rLV % hemisphere", BE84/2, AND(F84="Mouse", BA84="mm3"), (BE84/508.91)*100, AND(F84="Rat", BA84="mm3"), (BE84/1971)*100, AND(F84="Mouse", BA84="ul"), (BE84/508.91)*100, AND(F84="Rat", BA84="ul"), (BE84/1971)*100,  AND(F84="Mouse", BA84="nl"), (BE84/508910)*100, AND(F84="Rat", BA84="nl"), (BE84/1971000)*100, AND(F84="Mouse", BA84="cm3"), (BE84/0.50891)*100, AND(F84="Rat", BA84="cm3"), (BE84/1.971)*100, AND(F84="Mouse", BA84="mL"), (BE84/0.50891)*100, AND(F84="Rat", BA84="mL"), (BE84/1.971)*100, TRUE, "NA")</f>
        <v>0.34034520205476254</v>
      </c>
      <c r="BG84" cm="1">
        <f t="array" ref="BG84">_xlfn.IFS(AZ84="NA", "NA", BB84="NR", "NA", BB84="SD", AZ84, BB84="SE", AZ84*(SQRT(R84)), BB84="SEM", AZ84*(SQRT(R84)), TRUE, "NA")</f>
        <v>1.2074767078498865</v>
      </c>
      <c r="BH84" s="32" t="s">
        <v>153</v>
      </c>
      <c r="BI84" s="31" t="s">
        <v>154</v>
      </c>
      <c r="BJ84" s="31" t="s">
        <v>154</v>
      </c>
    </row>
    <row r="85" spans="1:63" x14ac:dyDescent="0.3">
      <c r="A85" t="s">
        <v>904</v>
      </c>
      <c r="B85" t="s">
        <v>903</v>
      </c>
      <c r="C85">
        <v>2009</v>
      </c>
      <c r="D85" t="s">
        <v>905</v>
      </c>
      <c r="E85" t="s">
        <v>647</v>
      </c>
      <c r="F85" t="s">
        <v>23</v>
      </c>
      <c r="G85" t="s">
        <v>11</v>
      </c>
      <c r="H85" t="s">
        <v>34</v>
      </c>
      <c r="I85" t="s">
        <v>12</v>
      </c>
      <c r="J85" t="s">
        <v>8</v>
      </c>
      <c r="K85" t="s">
        <v>9</v>
      </c>
      <c r="L85" t="s">
        <v>9</v>
      </c>
      <c r="M85" t="s">
        <v>9</v>
      </c>
      <c r="N85">
        <v>270</v>
      </c>
      <c r="O85">
        <f t="shared" si="9"/>
        <v>290</v>
      </c>
      <c r="P85">
        <v>310</v>
      </c>
      <c r="Q85">
        <v>1</v>
      </c>
      <c r="R85">
        <v>10</v>
      </c>
      <c r="S85">
        <v>1</v>
      </c>
      <c r="T85">
        <v>10</v>
      </c>
      <c r="U85" s="18" t="s">
        <v>71</v>
      </c>
      <c r="V85" t="s">
        <v>288</v>
      </c>
      <c r="W85" t="s">
        <v>8</v>
      </c>
      <c r="X85" t="s">
        <v>12</v>
      </c>
      <c r="Y85" t="s">
        <v>8</v>
      </c>
      <c r="Z85" t="s">
        <v>8</v>
      </c>
      <c r="AA85" t="s">
        <v>648</v>
      </c>
      <c r="AB85" t="s">
        <v>636</v>
      </c>
      <c r="AC85" t="s">
        <v>153</v>
      </c>
      <c r="AD85" t="s">
        <v>610</v>
      </c>
      <c r="AE85">
        <v>108</v>
      </c>
      <c r="AF85">
        <v>150</v>
      </c>
      <c r="AG85" t="s">
        <v>650</v>
      </c>
      <c r="AH85">
        <v>3</v>
      </c>
      <c r="AI85" cm="1">
        <f t="array" ref="AI85">_xlfn.IFS(AF85="NR", "NA", AG85="NR", "NA", AG85="NA","NA", AND(AG85="mg/ml", AH85&lt;&gt;"NR"), ((AF85/2492)*AH85*1000000), AND(AG85="mol/L", AH85&lt;&gt;"NR"), AF85*AH85*1000000, AG85="nmol", AF85*1000, AND(AG85="nmol/uL", AH85&lt;&gt;"NR"), AF85*AH85*1000, AG85="pg", AF85/2492, AG85="pmol", AF85, AND(AG85="pmol/uL", AH85&lt;&gt;"NR"), AF85*AH85, AG85="ug", AF85/2492*1000000, AND(AG85="ug/mL", AH85&lt;&gt;"NR"), (AF85/1000*AH85)/2492*1000000, AND(AG85="ug/uL", AH85&lt;&gt;"NR"), (AF85*AH85)/2492*1000000, AND(AG85="umol/L", AH85&lt;&gt;"NR"), AH85*AF85, TRUE, "NA")</f>
        <v>150</v>
      </c>
      <c r="AJ85">
        <v>3</v>
      </c>
      <c r="AK85">
        <v>1</v>
      </c>
      <c r="AL85" t="s">
        <v>9</v>
      </c>
      <c r="AM85" t="s">
        <v>8</v>
      </c>
      <c r="AN85" t="s">
        <v>9</v>
      </c>
      <c r="AO85" s="18" t="s">
        <v>907</v>
      </c>
      <c r="AP85" t="s">
        <v>1228</v>
      </c>
      <c r="AQ85">
        <v>-168</v>
      </c>
      <c r="AR85" t="s">
        <v>101</v>
      </c>
      <c r="AS85" s="18">
        <v>72</v>
      </c>
      <c r="AT85" t="s">
        <v>271</v>
      </c>
      <c r="AU85" t="s">
        <v>732</v>
      </c>
      <c r="AV85" t="s">
        <v>679</v>
      </c>
      <c r="AW85">
        <v>48.82</v>
      </c>
      <c r="AX85">
        <v>10.3</v>
      </c>
      <c r="AY85">
        <v>16.04</v>
      </c>
      <c r="AZ85">
        <v>3.61</v>
      </c>
      <c r="BA85" t="s">
        <v>656</v>
      </c>
      <c r="BB85" t="s">
        <v>123</v>
      </c>
      <c r="BC85" cm="1">
        <f t="array" ref="BC85">_xlfn.IFS(BA85="Direct rLV % whole brain", AW85, BA85="Indirect rLV % whole brain", AW85, BA85="Direct rLV % hemisphere", AW85/2, BA85="Indirect rLV % hemisphere", AW85/2, AND(F85="Mouse", BA85="mm3"), (AW85/508.91)*100, AND(F85="Rat", BA85="mm3"), (AW85/1971)*100, AND(F85="Mouse", BA85="ul"), (AW85/508.91)*100, AND(F85="Rat", BA85="ul"), (AW85/1971)*100,  AND(F85="Mouse", BA85="nl"), (AW85/508910)*100, AND(F85="Rat", BA85="nl"), (AW85/1971000)*100, AND(F85="Mouse", BA85="cm3"), (AW85/0.50891)*100, AND(F85="Rat", BA85="cm3"), (AW85/1.971)*100, AND(F85="Mouse", BA85="mL"), (AW85/0.50891)*100, AND(F85="Rat", BA85="mL"), (AW85/1.971)*100, TRUE, "NA")</f>
        <v>2.4769152714358191</v>
      </c>
      <c r="BD85" cm="1">
        <f t="array" ref="BD85">_xlfn.IFS(AZ85="NA", "NA",BA85="Direct rLV % whole brain", AY85, BA85="Indirect rLV % whole brain", AY85, BA85="Direct rLV % hemisphere", AY85/2, BA85="Indirect rLV % hemisphere", AY85/2, AND(F85="Mouse", BA85="mm3"), (AY85/508.91)*100, AND(F85="Rat", BA85="mm3"), (AY85/1971)*100, AND(F85="Mouse", BA85="ul"), (AY85/508.91)*100, AND(F85="Rat", BA85="ul"), (AY85/1971)*100,  AND(F85="Mouse", BA85="nl"), (AY85/508910)*100, AND(F85="Rat", BA85="nl"), (AY85/1971000)*100, AND(F85="Mouse", BA85="cm3"), (AY85/0.50891)*100, AND(F85="Rat", BA85="cm3"), (AY85/1.971)*100, AND(F85="Mouse", BA85="mL"), (AY85/0.50891)*100, AND(F85="Rat", BA85="mL"), (AY85/1.971)*100, TRUE, "NA")</f>
        <v>0.81380010147133419</v>
      </c>
      <c r="BE85" cm="1">
        <f t="array" ref="BE85">_xlfn.IFS(AX85="NA", "NA", BB85="NR", "NA", BB85="SD", AX85, BB85="SE", AX85*(SQRT(R85)), BB85="SEM", AX85*(SQRT(R85)), TRUE, "NA")</f>
        <v>32.571459899734315</v>
      </c>
      <c r="BF85" cm="1">
        <f t="array" ref="BF85">_xlfn.IFS(BE85="NA", "NA",BA85="Direct rLV % whole brain", BE85, BA85="Indirect rLV % whole brain", BE85, BA85="Direct rLV % hemisphere", BE85/2, BA85="Indirect rLV % hemisphere", BE85/2, AND(F85="Mouse", BA85="mm3"), (BE85/508.91)*100, AND(F85="Rat", BA85="mm3"), (BE85/1971)*100, AND(F85="Mouse", BA85="ul"), (BE85/508.91)*100, AND(F85="Rat", BA85="ul"), (BE85/1971)*100,  AND(F85="Mouse", BA85="nl"), (BE85/508910)*100, AND(F85="Rat", BA85="nl"), (BE85/1971000)*100, AND(F85="Mouse", BA85="cm3"), (BE85/0.50891)*100, AND(F85="Rat", BA85="cm3"), (BE85/1.971)*100, AND(F85="Mouse", BA85="mL"), (BE85/0.50891)*100, AND(F85="Rat", BA85="mL"), (BE85/1.971)*100, TRUE, "NA")</f>
        <v>1.652534748844968</v>
      </c>
      <c r="BG85" cm="1">
        <f t="array" ref="BG85">_xlfn.IFS(AZ85="NA", "NA", BB85="NR", "NA", BB85="SD", AZ85, BB85="SE", AZ85*(SQRT(R85)), BB85="SEM", AZ85*(SQRT(R85)), TRUE, "NA")</f>
        <v>11.415822353207849</v>
      </c>
      <c r="BH85" s="18" t="s">
        <v>153</v>
      </c>
      <c r="BI85" t="s">
        <v>154</v>
      </c>
      <c r="BJ85" t="s">
        <v>154</v>
      </c>
      <c r="BK85" t="s">
        <v>906</v>
      </c>
    </row>
    <row r="86" spans="1:63" s="31" customFormat="1" x14ac:dyDescent="0.3">
      <c r="A86" s="31" t="s">
        <v>908</v>
      </c>
      <c r="B86" s="31" t="s">
        <v>903</v>
      </c>
      <c r="C86" s="31">
        <v>2017</v>
      </c>
      <c r="D86" s="31" t="s">
        <v>909</v>
      </c>
      <c r="E86" s="31" t="s">
        <v>647</v>
      </c>
      <c r="F86" s="31" t="s">
        <v>23</v>
      </c>
      <c r="G86" s="31" t="s">
        <v>11</v>
      </c>
      <c r="H86" s="31" t="s">
        <v>34</v>
      </c>
      <c r="I86" s="31" t="s">
        <v>12</v>
      </c>
      <c r="J86" s="31" t="s">
        <v>8</v>
      </c>
      <c r="K86" s="31" t="s">
        <v>9</v>
      </c>
      <c r="L86" s="31" t="s">
        <v>9</v>
      </c>
      <c r="M86" s="31" t="s">
        <v>9</v>
      </c>
      <c r="N86" s="31">
        <v>270</v>
      </c>
      <c r="O86" s="31">
        <v>310</v>
      </c>
      <c r="P86" s="31">
        <v>350</v>
      </c>
      <c r="Q86" s="31">
        <v>1</v>
      </c>
      <c r="R86" s="31">
        <v>10</v>
      </c>
      <c r="S86" s="31" t="s">
        <v>8</v>
      </c>
      <c r="T86" s="31" t="s">
        <v>8</v>
      </c>
      <c r="U86" s="32" t="s">
        <v>71</v>
      </c>
      <c r="V86" s="31" t="s">
        <v>288</v>
      </c>
      <c r="W86" s="31" t="s">
        <v>8</v>
      </c>
      <c r="X86" s="31" t="s">
        <v>12</v>
      </c>
      <c r="Y86" s="31" t="s">
        <v>8</v>
      </c>
      <c r="Z86" s="31" t="s">
        <v>8</v>
      </c>
      <c r="AA86" s="31" t="s">
        <v>648</v>
      </c>
      <c r="AB86" s="31" t="s">
        <v>636</v>
      </c>
      <c r="AC86" s="31" t="s">
        <v>153</v>
      </c>
      <c r="AD86" s="31" t="s">
        <v>610</v>
      </c>
      <c r="AE86" s="31">
        <v>372</v>
      </c>
      <c r="AF86" s="31">
        <v>200</v>
      </c>
      <c r="AG86" s="31" t="s">
        <v>650</v>
      </c>
      <c r="AH86" s="31">
        <v>3</v>
      </c>
      <c r="AI86" cm="1">
        <f t="array" ref="AI86">_xlfn.IFS(AF86="NR", "NA", AG86="NR", "NA", AG86="NA","NA", AND(AG86="mg/ml", AH86&lt;&gt;"NR"), ((AF86/2492)*AH86*1000000), AND(AG86="mol/L", AH86&lt;&gt;"NR"), AF86*AH86*1000000, AG86="nmol", AF86*1000, AND(AG86="nmol/uL", AH86&lt;&gt;"NR"), AF86*AH86*1000, AG86="pg", AF86/2492, AG86="pmol", AF86, AND(AG86="pmol/uL", AH86&lt;&gt;"NR"), AF86*AH86, AG86="ug", AF86/2492*1000000, AND(AG86="ug/mL", AH86&lt;&gt;"NR"), (AF86/1000*AH86)/2492*1000000, AND(AG86="ug/uL", AH86&lt;&gt;"NR"), (AF86*AH86)/2492*1000000, AND(AG86="umol/L", AH86&lt;&gt;"NR"), AH86*AF86, TRUE, "NA")</f>
        <v>200</v>
      </c>
      <c r="AJ86" s="31" t="s">
        <v>9</v>
      </c>
      <c r="AK86" s="31">
        <v>1</v>
      </c>
      <c r="AL86" s="31" t="s">
        <v>9</v>
      </c>
      <c r="AM86" s="31" t="s">
        <v>8</v>
      </c>
      <c r="AN86" s="31" t="s">
        <v>852</v>
      </c>
      <c r="AO86" s="32" t="s">
        <v>12</v>
      </c>
      <c r="AP86" s="31" t="s">
        <v>8</v>
      </c>
      <c r="AQ86" s="31" t="s">
        <v>8</v>
      </c>
      <c r="AR86" s="31" t="s">
        <v>8</v>
      </c>
      <c r="AS86" s="32">
        <v>72</v>
      </c>
      <c r="AT86" s="31" t="s">
        <v>271</v>
      </c>
      <c r="AU86" s="31" t="s">
        <v>684</v>
      </c>
      <c r="AV86" s="31" t="s">
        <v>8</v>
      </c>
      <c r="AW86" s="31">
        <v>64.239999999999995</v>
      </c>
      <c r="AX86" s="31">
        <v>11.58</v>
      </c>
      <c r="AY86" s="31" t="s">
        <v>8</v>
      </c>
      <c r="AZ86" s="31" t="s">
        <v>8</v>
      </c>
      <c r="BA86" s="31" t="s">
        <v>656</v>
      </c>
      <c r="BB86" s="31" t="s">
        <v>123</v>
      </c>
      <c r="BC86" cm="1">
        <f t="array" ref="BC86">_xlfn.IFS(BA86="Direct rLV % whole brain", AW86, BA86="Indirect rLV % whole brain", AW86, BA86="Direct rLV % hemisphere", AW86/2, BA86="Indirect rLV % hemisphere", AW86/2, AND(F86="Mouse", BA86="mm3"), (AW86/508.91)*100, AND(F86="Rat", BA86="mm3"), (AW86/1971)*100, AND(F86="Mouse", BA86="ul"), (AW86/508.91)*100, AND(F86="Rat", BA86="ul"), (AW86/1971)*100,  AND(F86="Mouse", BA86="nl"), (AW86/508910)*100, AND(F86="Rat", BA86="nl"), (AW86/1971000)*100, AND(F86="Mouse", BA86="cm3"), (AW86/0.50891)*100, AND(F86="Rat", BA86="cm3"), (AW86/1.971)*100, AND(F86="Mouse", BA86="mL"), (AW86/0.50891)*100, AND(F86="Rat", BA86="mL"), (AW86/1.971)*100, TRUE, "NA")</f>
        <v>3.2592592592592591</v>
      </c>
      <c r="BD86" t="str" cm="1">
        <f t="array" ref="BD86">_xlfn.IFS(AZ86="NA", "NA",BA86="Direct rLV % whole brain", AY86, BA86="Indirect rLV % whole brain", AY86, BA86="Direct rLV % hemisphere", AY86/2, BA86="Indirect rLV % hemisphere", AY86/2, AND(F86="Mouse", BA86="mm3"), (AY86/508.91)*100, AND(F86="Rat", BA86="mm3"), (AY86/1971)*100, AND(F86="Mouse", BA86="ul"), (AY86/508.91)*100, AND(F86="Rat", BA86="ul"), (AY86/1971)*100,  AND(F86="Mouse", BA86="nl"), (AY86/508910)*100, AND(F86="Rat", BA86="nl"), (AY86/1971000)*100, AND(F86="Mouse", BA86="cm3"), (AY86/0.50891)*100, AND(F86="Rat", BA86="cm3"), (AY86/1.971)*100, AND(F86="Mouse", BA86="mL"), (AY86/0.50891)*100, AND(F86="Rat", BA86="mL"), (AY86/1.971)*100, TRUE, "NA")</f>
        <v>NA</v>
      </c>
      <c r="BE86" cm="1">
        <f t="array" ref="BE86">_xlfn.IFS(AX86="NA", "NA", BB86="NR", "NA", BB86="SD", AX86, BB86="SE", AX86*(SQRT(R86)), BB86="SEM", AX86*(SQRT(R86)), TRUE, "NA")</f>
        <v>36.619175304749838</v>
      </c>
      <c r="BF86" cm="1">
        <f t="array" ref="BF86">_xlfn.IFS(BE86="NA", "NA",BA86="Direct rLV % whole brain", BE86, BA86="Indirect rLV % whole brain", BE86, BA86="Direct rLV % hemisphere", BE86/2, BA86="Indirect rLV % hemisphere", BE86/2, AND(F86="Mouse", BA86="mm3"), (BE86/508.91)*100, AND(F86="Rat", BA86="mm3"), (BE86/1971)*100, AND(F86="Mouse", BA86="ul"), (BE86/508.91)*100, AND(F86="Rat", BA86="ul"), (BE86/1971)*100,  AND(F86="Mouse", BA86="nl"), (BE86/508910)*100, AND(F86="Rat", BA86="nl"), (BE86/1971000)*100, AND(F86="Mouse", BA86="cm3"), (BE86/0.50891)*100, AND(F86="Rat", BA86="cm3"), (BE86/1.971)*100, AND(F86="Mouse", BA86="mL"), (BE86/0.50891)*100, AND(F86="Rat", BA86="mL"), (BE86/1.971)*100, TRUE, "NA")</f>
        <v>1.8578982904490025</v>
      </c>
      <c r="BG86" t="str" cm="1">
        <f t="array" ref="BG86">_xlfn.IFS(AZ86="NA", "NA", BB86="NR", "NA", BB86="SD", AZ86, BB86="SE", AZ86*(SQRT(R86)), BB86="SEM", AZ86*(SQRT(R86)), TRUE, "NA")</f>
        <v>NA</v>
      </c>
      <c r="BH86" s="32" t="s">
        <v>154</v>
      </c>
      <c r="BI86" s="31" t="s">
        <v>154</v>
      </c>
      <c r="BJ86" s="31" t="s">
        <v>153</v>
      </c>
    </row>
    <row r="87" spans="1:63" s="31" customFormat="1" x14ac:dyDescent="0.3">
      <c r="A87" s="31" t="s">
        <v>908</v>
      </c>
      <c r="B87" s="31" t="s">
        <v>903</v>
      </c>
      <c r="C87" s="31">
        <v>2017</v>
      </c>
      <c r="D87" s="31" t="s">
        <v>909</v>
      </c>
      <c r="E87" s="31" t="s">
        <v>678</v>
      </c>
      <c r="F87" s="31" t="s">
        <v>23</v>
      </c>
      <c r="G87" s="31" t="s">
        <v>279</v>
      </c>
      <c r="H87" s="31" t="s">
        <v>34</v>
      </c>
      <c r="I87" s="31" t="s">
        <v>12</v>
      </c>
      <c r="J87" s="31" t="s">
        <v>8</v>
      </c>
      <c r="K87" s="31" t="s">
        <v>9</v>
      </c>
      <c r="L87" s="31" t="s">
        <v>9</v>
      </c>
      <c r="M87" s="31" t="s">
        <v>9</v>
      </c>
      <c r="N87" s="31">
        <v>270</v>
      </c>
      <c r="O87" s="31">
        <v>310</v>
      </c>
      <c r="P87" s="31">
        <v>350</v>
      </c>
      <c r="Q87" s="31">
        <v>1</v>
      </c>
      <c r="R87" s="31">
        <v>12</v>
      </c>
      <c r="S87" s="31" t="s">
        <v>8</v>
      </c>
      <c r="T87" s="31" t="s">
        <v>8</v>
      </c>
      <c r="U87" s="32" t="s">
        <v>71</v>
      </c>
      <c r="V87" s="31" t="s">
        <v>288</v>
      </c>
      <c r="W87" s="31" t="s">
        <v>8</v>
      </c>
      <c r="X87" s="31" t="s">
        <v>12</v>
      </c>
      <c r="Y87" s="31" t="s">
        <v>8</v>
      </c>
      <c r="Z87" s="31" t="s">
        <v>8</v>
      </c>
      <c r="AA87" s="31" t="s">
        <v>648</v>
      </c>
      <c r="AB87" s="31" t="s">
        <v>636</v>
      </c>
      <c r="AC87" s="31" t="s">
        <v>153</v>
      </c>
      <c r="AD87" s="31" t="s">
        <v>610</v>
      </c>
      <c r="AE87" s="31">
        <v>372</v>
      </c>
      <c r="AF87" s="31">
        <v>200</v>
      </c>
      <c r="AG87" s="31" t="s">
        <v>650</v>
      </c>
      <c r="AH87" s="31">
        <v>3</v>
      </c>
      <c r="AI87" cm="1">
        <f t="array" ref="AI87">_xlfn.IFS(AF87="NR", "NA", AG87="NR", "NA", AG87="NA","NA", AND(AG87="mg/ml", AH87&lt;&gt;"NR"), ((AF87/2492)*AH87*1000000), AND(AG87="mol/L", AH87&lt;&gt;"NR"), AF87*AH87*1000000, AG87="nmol", AF87*1000, AND(AG87="nmol/uL", AH87&lt;&gt;"NR"), AF87*AH87*1000, AG87="pg", AF87/2492, AG87="pmol", AF87, AND(AG87="pmol/uL", AH87&lt;&gt;"NR"), AF87*AH87, AG87="ug", AF87/2492*1000000, AND(AG87="ug/mL", AH87&lt;&gt;"NR"), (AF87/1000*AH87)/2492*1000000, AND(AG87="ug/uL", AH87&lt;&gt;"NR"), (AF87*AH87)/2492*1000000, AND(AG87="umol/L", AH87&lt;&gt;"NR"), AH87*AF87, TRUE, "NA")</f>
        <v>200</v>
      </c>
      <c r="AJ87" s="31" t="s">
        <v>9</v>
      </c>
      <c r="AK87" s="31">
        <v>1</v>
      </c>
      <c r="AL87" s="31" t="s">
        <v>9</v>
      </c>
      <c r="AM87" s="31" t="s">
        <v>8</v>
      </c>
      <c r="AN87" s="31" t="s">
        <v>852</v>
      </c>
      <c r="AO87" s="32" t="s">
        <v>12</v>
      </c>
      <c r="AP87" s="31" t="s">
        <v>8</v>
      </c>
      <c r="AQ87" s="31" t="s">
        <v>8</v>
      </c>
      <c r="AR87" s="31" t="s">
        <v>8</v>
      </c>
      <c r="AS87" s="32">
        <v>72</v>
      </c>
      <c r="AT87" s="31" t="s">
        <v>271</v>
      </c>
      <c r="AU87" s="31" t="s">
        <v>684</v>
      </c>
      <c r="AV87" s="31" t="s">
        <v>8</v>
      </c>
      <c r="AW87" s="31">
        <v>62.5</v>
      </c>
      <c r="AX87" s="31">
        <v>12.53</v>
      </c>
      <c r="AY87" s="31" t="s">
        <v>8</v>
      </c>
      <c r="AZ87" s="31" t="s">
        <v>8</v>
      </c>
      <c r="BA87" s="31" t="s">
        <v>656</v>
      </c>
      <c r="BB87" s="31" t="s">
        <v>123</v>
      </c>
      <c r="BC87" cm="1">
        <f t="array" ref="BC87">_xlfn.IFS(BA87="Direct rLV % whole brain", AW87, BA87="Indirect rLV % whole brain", AW87, BA87="Direct rLV % hemisphere", AW87/2, BA87="Indirect rLV % hemisphere", AW87/2, AND(F87="Mouse", BA87="mm3"), (AW87/508.91)*100, AND(F87="Rat", BA87="mm3"), (AW87/1971)*100, AND(F87="Mouse", BA87="ul"), (AW87/508.91)*100, AND(F87="Rat", BA87="ul"), (AW87/1971)*100,  AND(F87="Mouse", BA87="nl"), (AW87/508910)*100, AND(F87="Rat", BA87="nl"), (AW87/1971000)*100, AND(F87="Mouse", BA87="cm3"), (AW87/0.50891)*100, AND(F87="Rat", BA87="cm3"), (AW87/1.971)*100, AND(F87="Mouse", BA87="mL"), (AW87/0.50891)*100, AND(F87="Rat", BA87="mL"), (AW87/1.971)*100, TRUE, "NA")</f>
        <v>3.1709791983764584</v>
      </c>
      <c r="BD87" t="str" cm="1">
        <f t="array" ref="BD87">_xlfn.IFS(AZ87="NA", "NA",BA87="Direct rLV % whole brain", AY87, BA87="Indirect rLV % whole brain", AY87, BA87="Direct rLV % hemisphere", AY87/2, BA87="Indirect rLV % hemisphere", AY87/2, AND(F87="Mouse", BA87="mm3"), (AY87/508.91)*100, AND(F87="Rat", BA87="mm3"), (AY87/1971)*100, AND(F87="Mouse", BA87="ul"), (AY87/508.91)*100, AND(F87="Rat", BA87="ul"), (AY87/1971)*100,  AND(F87="Mouse", BA87="nl"), (AY87/508910)*100, AND(F87="Rat", BA87="nl"), (AY87/1971000)*100, AND(F87="Mouse", BA87="cm3"), (AY87/0.50891)*100, AND(F87="Rat", BA87="cm3"), (AY87/1.971)*100, AND(F87="Mouse", BA87="mL"), (AY87/0.50891)*100, AND(F87="Rat", BA87="mL"), (AY87/1.971)*100, TRUE, "NA")</f>
        <v>NA</v>
      </c>
      <c r="BE87" cm="1">
        <f t="array" ref="BE87">_xlfn.IFS(AX87="NA", "NA", BB87="NR", "NA", BB87="SD", AX87, BB87="SE", AX87*(SQRT(R87)), BB87="SEM", AX87*(SQRT(R87)), TRUE, "NA")</f>
        <v>43.405193237676059</v>
      </c>
      <c r="BF87" cm="1">
        <f t="array" ref="BF87">_xlfn.IFS(BE87="NA", "NA",BA87="Direct rLV % whole brain", BE87, BA87="Indirect rLV % whole brain", BE87, BA87="Direct rLV % hemisphere", BE87/2, BA87="Indirect rLV % hemisphere", BE87/2, AND(F87="Mouse", BA87="mm3"), (BE87/508.91)*100, AND(F87="Rat", BA87="mm3"), (BE87/1971)*100, AND(F87="Mouse", BA87="ul"), (BE87/508.91)*100, AND(F87="Rat", BA87="ul"), (BE87/1971)*100,  AND(F87="Mouse", BA87="nl"), (BE87/508910)*100, AND(F87="Rat", BA87="nl"), (BE87/1971000)*100, AND(F87="Mouse", BA87="cm3"), (BE87/0.50891)*100, AND(F87="Rat", BA87="cm3"), (BE87/1.971)*100, AND(F87="Mouse", BA87="mL"), (BE87/0.50891)*100, AND(F87="Rat", BA87="mL"), (BE87/1.971)*100, TRUE, "NA")</f>
        <v>2.2021914377309009</v>
      </c>
      <c r="BG87" t="str" cm="1">
        <f t="array" ref="BG87">_xlfn.IFS(AZ87="NA", "NA", BB87="NR", "NA", BB87="SD", AZ87, BB87="SE", AZ87*(SQRT(R87)), BB87="SEM", AZ87*(SQRT(R87)), TRUE, "NA")</f>
        <v>NA</v>
      </c>
      <c r="BH87" s="32" t="s">
        <v>154</v>
      </c>
      <c r="BI87" s="31" t="s">
        <v>154</v>
      </c>
      <c r="BJ87" s="31" t="s">
        <v>153</v>
      </c>
    </row>
    <row r="88" spans="1:63" x14ac:dyDescent="0.3">
      <c r="A88" s="37" t="s">
        <v>911</v>
      </c>
      <c r="B88" t="s">
        <v>910</v>
      </c>
      <c r="C88">
        <v>2015</v>
      </c>
      <c r="D88" t="s">
        <v>912</v>
      </c>
      <c r="E88" t="s">
        <v>647</v>
      </c>
      <c r="F88" t="s">
        <v>23</v>
      </c>
      <c r="G88" t="s">
        <v>48</v>
      </c>
      <c r="H88" t="s">
        <v>34</v>
      </c>
      <c r="I88" t="s">
        <v>127</v>
      </c>
      <c r="J88" t="s">
        <v>156</v>
      </c>
      <c r="K88" t="s">
        <v>8</v>
      </c>
      <c r="L88">
        <v>20</v>
      </c>
      <c r="M88" t="s">
        <v>8</v>
      </c>
      <c r="N88">
        <v>300</v>
      </c>
      <c r="O88">
        <f>AVERAGE(N88,P88)</f>
        <v>325</v>
      </c>
      <c r="P88">
        <v>350</v>
      </c>
      <c r="Q88">
        <v>1</v>
      </c>
      <c r="R88">
        <v>10</v>
      </c>
      <c r="S88">
        <v>2</v>
      </c>
      <c r="T88">
        <v>9</v>
      </c>
      <c r="U88" s="18" t="s">
        <v>71</v>
      </c>
      <c r="V88" t="s">
        <v>288</v>
      </c>
      <c r="W88" t="s">
        <v>8</v>
      </c>
      <c r="X88" t="s">
        <v>12</v>
      </c>
      <c r="Y88" t="s">
        <v>8</v>
      </c>
      <c r="Z88" t="s">
        <v>8</v>
      </c>
      <c r="AA88" t="s">
        <v>648</v>
      </c>
      <c r="AB88" t="s">
        <v>636</v>
      </c>
      <c r="AC88" t="s">
        <v>153</v>
      </c>
      <c r="AD88" t="s">
        <v>610</v>
      </c>
      <c r="AE88">
        <v>120</v>
      </c>
      <c r="AF88">
        <v>20</v>
      </c>
      <c r="AG88" t="s">
        <v>745</v>
      </c>
      <c r="AH88" t="s">
        <v>9</v>
      </c>
      <c r="AI88" t="str" cm="1">
        <f t="array" ref="AI88">_xlfn.IFS(AF88="NR", "NA", AG88="NR", "NA", AG88="NA","NA", AND(AG88="mg/ml", AH88&lt;&gt;"NR"), ((AF88/2492)*AH88*1000000), AND(AG88="mol/L", AH88&lt;&gt;"NR"), AF88*AH88*1000000, AG88="nmol", AF88*1000, AND(AG88="nmol/uL", AH88&lt;&gt;"NR"), AF88*AH88*1000, AG88="pg", AF88/2492, AG88="pmol", AF88, AND(AG88="pmol/uL", AH88&lt;&gt;"NR"), AF88*AH88, AG88="ug", AF88/2492*1000000, AND(AG88="ug/mL", AH88&lt;&gt;"NR"), (AF88/1000*AH88)/2492*1000000, AND(AG88="ug/uL", AH88&lt;&gt;"NR"), (AF88*AH88)/2492*1000000, AND(AG88="umol/L", AH88&lt;&gt;"NR"), AH88*AF88, TRUE, "NA")</f>
        <v>NA</v>
      </c>
      <c r="AJ88" t="s">
        <v>9</v>
      </c>
      <c r="AK88">
        <v>1</v>
      </c>
      <c r="AL88" t="s">
        <v>9</v>
      </c>
      <c r="AM88" t="s">
        <v>8</v>
      </c>
      <c r="AN88" t="s">
        <v>9</v>
      </c>
      <c r="AO88" s="18" t="s">
        <v>913</v>
      </c>
      <c r="AP88" t="s">
        <v>1228</v>
      </c>
      <c r="AQ88">
        <v>2</v>
      </c>
      <c r="AR88" t="s">
        <v>103</v>
      </c>
      <c r="AS88" s="18">
        <v>72</v>
      </c>
      <c r="AT88" t="s">
        <v>271</v>
      </c>
      <c r="AU88" t="s">
        <v>654</v>
      </c>
      <c r="AV88" t="s">
        <v>679</v>
      </c>
      <c r="AW88">
        <f>108+39</f>
        <v>147</v>
      </c>
      <c r="AX88">
        <f>SQRT(71^2 + 27^2)</f>
        <v>75.960516059331766</v>
      </c>
      <c r="AY88">
        <f>32+24</f>
        <v>56</v>
      </c>
      <c r="AZ88">
        <f>SQRT(30^2 + 8.4^2)</f>
        <v>31.153811965793206</v>
      </c>
      <c r="BA88" t="s">
        <v>656</v>
      </c>
      <c r="BB88" t="s">
        <v>122</v>
      </c>
      <c r="BC88" cm="1">
        <f t="array" ref="BC88">_xlfn.IFS(BA88="Direct rLV % whole brain", AW88, BA88="Indirect rLV % whole brain", AW88, BA88="Direct rLV % hemisphere", AW88/2, BA88="Indirect rLV % hemisphere", AW88/2, AND(F88="Mouse", BA88="mm3"), (AW88/508.91)*100, AND(F88="Rat", BA88="mm3"), (AW88/1971)*100, AND(F88="Mouse", BA88="ul"), (AW88/508.91)*100, AND(F88="Rat", BA88="ul"), (AW88/1971)*100,  AND(F88="Mouse", BA88="nl"), (AW88/508910)*100, AND(F88="Rat", BA88="nl"), (AW88/1971000)*100, AND(F88="Mouse", BA88="cm3"), (AW88/0.50891)*100, AND(F88="Rat", BA88="cm3"), (AW88/1.971)*100, AND(F88="Mouse", BA88="mL"), (AW88/0.50891)*100, AND(F88="Rat", BA88="mL"), (AW88/1.971)*100, TRUE, "NA")</f>
        <v>7.4581430745814306</v>
      </c>
      <c r="BD88" cm="1">
        <f t="array" ref="BD88">_xlfn.IFS(AZ88="NA", "NA",BA88="Direct rLV % whole brain", AY88, BA88="Indirect rLV % whole brain", AY88, BA88="Direct rLV % hemisphere", AY88/2, BA88="Indirect rLV % hemisphere", AY88/2, AND(F88="Mouse", BA88="mm3"), (AY88/508.91)*100, AND(F88="Rat", BA88="mm3"), (AY88/1971)*100, AND(F88="Mouse", BA88="ul"), (AY88/508.91)*100, AND(F88="Rat", BA88="ul"), (AY88/1971)*100,  AND(F88="Mouse", BA88="nl"), (AY88/508910)*100, AND(F88="Rat", BA88="nl"), (AY88/1971000)*100, AND(F88="Mouse", BA88="cm3"), (AY88/0.50891)*100, AND(F88="Rat", BA88="cm3"), (AY88/1.971)*100, AND(F88="Mouse", BA88="mL"), (AY88/0.50891)*100, AND(F88="Rat", BA88="mL"), (AY88/1.971)*100, TRUE, "NA")</f>
        <v>2.8411973617453068</v>
      </c>
      <c r="BE88" cm="1">
        <f t="array" ref="BE88">_xlfn.IFS(AX88="NA", "NA", BB88="NR", "NA", BB88="SD", AX88, BB88="SE", AX88*(SQRT(R88)), BB88="SEM", AX88*(SQRT(R88)), TRUE, "NA")</f>
        <v>75.960516059331766</v>
      </c>
      <c r="BF88" cm="1">
        <f t="array" ref="BF88">_xlfn.IFS(BE88="NA", "NA",BA88="Direct rLV % whole brain", BE88, BA88="Indirect rLV % whole brain", BE88, BA88="Direct rLV % hemisphere", BE88/2, BA88="Indirect rLV % hemisphere", BE88/2, AND(F88="Mouse", BA88="mm3"), (BE88/508.91)*100, AND(F88="Rat", BA88="mm3"), (BE88/1971)*100, AND(F88="Mouse", BA88="ul"), (BE88/508.91)*100, AND(F88="Rat", BA88="ul"), (BE88/1971)*100,  AND(F88="Mouse", BA88="nl"), (BE88/508910)*100, AND(F88="Rat", BA88="nl"), (BE88/1971000)*100, AND(F88="Mouse", BA88="cm3"), (BE88/0.50891)*100, AND(F88="Rat", BA88="cm3"), (BE88/1.971)*100, AND(F88="Mouse", BA88="mL"), (BE88/0.50891)*100, AND(F88="Rat", BA88="mL"), (BE88/1.971)*100, TRUE, "NA")</f>
        <v>3.8539074611533115</v>
      </c>
      <c r="BG88" cm="1">
        <f t="array" ref="BG88">_xlfn.IFS(AZ88="NA", "NA", BB88="NR", "NA", BB88="SD", AZ88, BB88="SE", AZ88*(SQRT(R88)), BB88="SEM", AZ88*(SQRT(R88)), TRUE, "NA")</f>
        <v>31.153811965793206</v>
      </c>
      <c r="BH88" s="18" t="s">
        <v>154</v>
      </c>
      <c r="BI88" t="s">
        <v>153</v>
      </c>
      <c r="BJ88" t="s">
        <v>153</v>
      </c>
    </row>
    <row r="89" spans="1:63" s="31" customFormat="1" x14ac:dyDescent="0.3">
      <c r="A89" s="40" t="s">
        <v>914</v>
      </c>
      <c r="B89" s="31" t="s">
        <v>910</v>
      </c>
      <c r="C89" s="31">
        <v>2009</v>
      </c>
      <c r="D89" s="31" t="s">
        <v>915</v>
      </c>
      <c r="E89" s="31" t="s">
        <v>647</v>
      </c>
      <c r="F89" s="31" t="s">
        <v>23</v>
      </c>
      <c r="G89" s="31" t="s">
        <v>48</v>
      </c>
      <c r="H89" s="31" t="s">
        <v>34</v>
      </c>
      <c r="I89" s="31" t="s">
        <v>127</v>
      </c>
      <c r="J89" s="31" t="s">
        <v>156</v>
      </c>
      <c r="K89" s="31">
        <v>15</v>
      </c>
      <c r="L89" s="31">
        <f>AVERAGE(K89,M89)</f>
        <v>15.5</v>
      </c>
      <c r="M89" s="31">
        <v>16</v>
      </c>
      <c r="N89" s="31">
        <v>270</v>
      </c>
      <c r="O89" s="31">
        <f t="shared" ref="O89:O92" si="10">AVERAGE(N89,P89)</f>
        <v>295</v>
      </c>
      <c r="P89" s="31">
        <v>320</v>
      </c>
      <c r="Q89" s="31">
        <v>1</v>
      </c>
      <c r="R89" s="31">
        <v>11</v>
      </c>
      <c r="S89" s="31">
        <v>5</v>
      </c>
      <c r="T89" s="31">
        <v>6</v>
      </c>
      <c r="U89" s="32" t="s">
        <v>71</v>
      </c>
      <c r="V89" s="31" t="s">
        <v>288</v>
      </c>
      <c r="W89" s="31" t="s">
        <v>8</v>
      </c>
      <c r="X89" s="31" t="s">
        <v>12</v>
      </c>
      <c r="Y89" s="31" t="s">
        <v>8</v>
      </c>
      <c r="Z89" s="31" t="s">
        <v>8</v>
      </c>
      <c r="AA89" s="31" t="s">
        <v>648</v>
      </c>
      <c r="AB89" s="31" t="s">
        <v>636</v>
      </c>
      <c r="AC89" s="31" t="s">
        <v>153</v>
      </c>
      <c r="AD89" s="31" t="s">
        <v>610</v>
      </c>
      <c r="AE89" s="31">
        <v>120</v>
      </c>
      <c r="AF89" s="31">
        <v>20</v>
      </c>
      <c r="AG89" s="31" t="s">
        <v>745</v>
      </c>
      <c r="AH89" s="31">
        <v>4</v>
      </c>
      <c r="AI89" cm="1">
        <f t="array" ref="AI89">_xlfn.IFS(AF89="NR", "NA", AG89="NR", "NA", AG89="NA","NA", AND(AG89="mg/ml", AH89&lt;&gt;"NR"), ((AF89/2492)*AH89*1000000), AND(AG89="mol/L", AH89&lt;&gt;"NR"), AF89*AH89*1000000, AG89="nmol", AF89*1000, AND(AG89="nmol/uL", AH89&lt;&gt;"NR"), AF89*AH89*1000, AG89="pg", AF89/2492, AG89="pmol", AF89, AND(AG89="pmol/uL", AH89&lt;&gt;"NR"), AF89*AH89, AG89="ug", AF89/2492*1000000, AND(AG89="ug/mL", AH89&lt;&gt;"NR"), (AF89/1000*AH89)/2492*1000000, AND(AG89="ug/uL", AH89&lt;&gt;"NR"), (AF89*AH89)/2492*1000000, AND(AG89="umol/L", AH89&lt;&gt;"NR"), AH89*AF89, TRUE, "NA")</f>
        <v>80</v>
      </c>
      <c r="AJ89" s="31">
        <v>1.6</v>
      </c>
      <c r="AK89" s="31">
        <v>1</v>
      </c>
      <c r="AL89" s="31" t="s">
        <v>9</v>
      </c>
      <c r="AM89" s="31" t="s">
        <v>8</v>
      </c>
      <c r="AN89" s="31" t="s">
        <v>9</v>
      </c>
      <c r="AO89" s="32" t="s">
        <v>916</v>
      </c>
      <c r="AP89" t="s">
        <v>1228</v>
      </c>
      <c r="AQ89" s="31">
        <v>-120</v>
      </c>
      <c r="AR89" s="31" t="s">
        <v>101</v>
      </c>
      <c r="AS89" s="32">
        <v>72</v>
      </c>
      <c r="AT89" s="31" t="s">
        <v>271</v>
      </c>
      <c r="AU89" s="31" t="s">
        <v>1243</v>
      </c>
      <c r="AV89" s="31" t="s">
        <v>719</v>
      </c>
      <c r="AW89" s="31">
        <f>113.12+30.37</f>
        <v>143.49</v>
      </c>
      <c r="AX89" s="31">
        <f>SQRT((20.53*SQRT(R89))^2 + (4.42*SQRT(R89))^2)</f>
        <v>69.650486717610235</v>
      </c>
      <c r="AY89" s="31">
        <f>9.89+12.51</f>
        <v>22.4</v>
      </c>
      <c r="AZ89" s="31">
        <f>SQRT((4.75*SQRT(T89))^2 + (3.57*SQRT(T89))^2)</f>
        <v>14.55487547181356</v>
      </c>
      <c r="BA89" s="31" t="s">
        <v>656</v>
      </c>
      <c r="BB89" s="31" t="s">
        <v>122</v>
      </c>
      <c r="BC89" cm="1">
        <f t="array" ref="BC89">_xlfn.IFS(BA89="Direct rLV % whole brain", AW89, BA89="Indirect rLV % whole brain", AW89, BA89="Direct rLV % hemisphere", AW89/2, BA89="Indirect rLV % hemisphere", AW89/2, AND(F89="Mouse", BA89="mm3"), (AW89/508.91)*100, AND(F89="Rat", BA89="mm3"), (AW89/1971)*100, AND(F89="Mouse", BA89="ul"), (AW89/508.91)*100, AND(F89="Rat", BA89="ul"), (AW89/1971)*100,  AND(F89="Mouse", BA89="nl"), (AW89/508910)*100, AND(F89="Rat", BA89="nl"), (AW89/1971000)*100, AND(F89="Mouse", BA89="cm3"), (AW89/0.50891)*100, AND(F89="Rat", BA89="cm3"), (AW89/1.971)*100, AND(F89="Mouse", BA89="mL"), (AW89/0.50891)*100, AND(F89="Rat", BA89="mL"), (AW89/1.971)*100, TRUE, "NA")</f>
        <v>7.2800608828006101</v>
      </c>
      <c r="BD89" cm="1">
        <f t="array" ref="BD89">_xlfn.IFS(AZ89="NA", "NA",BA89="Direct rLV % whole brain", AY89, BA89="Indirect rLV % whole brain", AY89, BA89="Direct rLV % hemisphere", AY89/2, BA89="Indirect rLV % hemisphere", AY89/2, AND(F89="Mouse", BA89="mm3"), (AY89/508.91)*100, AND(F89="Rat", BA89="mm3"), (AY89/1971)*100, AND(F89="Mouse", BA89="ul"), (AY89/508.91)*100, AND(F89="Rat", BA89="ul"), (AY89/1971)*100,  AND(F89="Mouse", BA89="nl"), (AY89/508910)*100, AND(F89="Rat", BA89="nl"), (AY89/1971000)*100, AND(F89="Mouse", BA89="cm3"), (AY89/0.50891)*100, AND(F89="Rat", BA89="cm3"), (AY89/1.971)*100, AND(F89="Mouse", BA89="mL"), (AY89/0.50891)*100, AND(F89="Rat", BA89="mL"), (AY89/1.971)*100, TRUE, "NA")</f>
        <v>1.1364789446981227</v>
      </c>
      <c r="BE89" cm="1">
        <f t="array" ref="BE89">_xlfn.IFS(AX89="NA", "NA", BB89="NR", "NA", BB89="SD", AX89, BB89="SE", AX89*(SQRT(R89)), BB89="SEM", AX89*(SQRT(R89)), TRUE, "NA")</f>
        <v>69.650486717610235</v>
      </c>
      <c r="BF89" cm="1">
        <f t="array" ref="BF89">_xlfn.IFS(BE89="NA", "NA",BA89="Direct rLV % whole brain", BE89, BA89="Indirect rLV % whole brain", BE89, BA89="Direct rLV % hemisphere", BE89/2, BA89="Indirect rLV % hemisphere", BE89/2, AND(F89="Mouse", BA89="mm3"), (BE89/508.91)*100, AND(F89="Rat", BA89="mm3"), (BE89/1971)*100, AND(F89="Mouse", BA89="ul"), (BE89/508.91)*100, AND(F89="Rat", BA89="ul"), (BE89/1971)*100,  AND(F89="Mouse", BA89="nl"), (BE89/508910)*100, AND(F89="Rat", BA89="nl"), (BE89/1971000)*100, AND(F89="Mouse", BA89="cm3"), (BE89/0.50891)*100, AND(F89="Rat", BA89="cm3"), (BE89/1.971)*100, AND(F89="Mouse", BA89="mL"), (BE89/0.50891)*100, AND(F89="Rat", BA89="mL"), (BE89/1.971)*100, TRUE, "NA")</f>
        <v>3.5337639126134057</v>
      </c>
      <c r="BG89" cm="1">
        <f t="array" ref="BG89">_xlfn.IFS(AZ89="NA", "NA", BB89="NR", "NA", BB89="SD", AZ89, BB89="SE", AZ89*(SQRT(R89)), BB89="SEM", AZ89*(SQRT(R89)), TRUE, "NA")</f>
        <v>14.55487547181356</v>
      </c>
      <c r="BH89" s="32" t="s">
        <v>154</v>
      </c>
      <c r="BI89" s="31" t="s">
        <v>153</v>
      </c>
      <c r="BJ89" s="31" t="s">
        <v>154</v>
      </c>
    </row>
    <row r="90" spans="1:63" s="31" customFormat="1" x14ac:dyDescent="0.3">
      <c r="A90" s="40" t="s">
        <v>914</v>
      </c>
      <c r="B90" s="31" t="s">
        <v>910</v>
      </c>
      <c r="C90" s="31">
        <v>2009</v>
      </c>
      <c r="D90" s="31" t="s">
        <v>915</v>
      </c>
      <c r="E90" s="31" t="s">
        <v>678</v>
      </c>
      <c r="F90" s="31" t="s">
        <v>23</v>
      </c>
      <c r="G90" s="31" t="s">
        <v>48</v>
      </c>
      <c r="H90" s="31" t="s">
        <v>34</v>
      </c>
      <c r="I90" s="31" t="s">
        <v>127</v>
      </c>
      <c r="J90" s="31" t="s">
        <v>156</v>
      </c>
      <c r="K90" s="31">
        <v>15</v>
      </c>
      <c r="L90" s="31">
        <f>AVERAGE(K90,M90)</f>
        <v>15.5</v>
      </c>
      <c r="M90" s="31">
        <v>16</v>
      </c>
      <c r="N90" s="31">
        <v>270</v>
      </c>
      <c r="O90" s="31">
        <f t="shared" si="10"/>
        <v>295</v>
      </c>
      <c r="P90" s="31">
        <v>320</v>
      </c>
      <c r="Q90" s="31">
        <v>1</v>
      </c>
      <c r="R90" s="31">
        <v>11</v>
      </c>
      <c r="S90" s="31">
        <v>5</v>
      </c>
      <c r="T90" s="31">
        <v>10</v>
      </c>
      <c r="U90" s="32" t="s">
        <v>71</v>
      </c>
      <c r="V90" s="31" t="s">
        <v>288</v>
      </c>
      <c r="W90" s="31" t="s">
        <v>8</v>
      </c>
      <c r="X90" s="31" t="s">
        <v>12</v>
      </c>
      <c r="Y90" s="31" t="s">
        <v>8</v>
      </c>
      <c r="Z90" s="31" t="s">
        <v>8</v>
      </c>
      <c r="AA90" s="31" t="s">
        <v>648</v>
      </c>
      <c r="AB90" s="31" t="s">
        <v>636</v>
      </c>
      <c r="AC90" s="31" t="s">
        <v>153</v>
      </c>
      <c r="AD90" s="31" t="s">
        <v>610</v>
      </c>
      <c r="AE90" s="31">
        <v>120</v>
      </c>
      <c r="AF90" s="31">
        <v>20</v>
      </c>
      <c r="AG90" s="31" t="s">
        <v>745</v>
      </c>
      <c r="AH90" s="31">
        <v>4</v>
      </c>
      <c r="AI90" cm="1">
        <f t="array" ref="AI90">_xlfn.IFS(AF90="NR", "NA", AG90="NR", "NA", AG90="NA","NA", AND(AG90="mg/ml", AH90&lt;&gt;"NR"), ((AF90/2492)*AH90*1000000), AND(AG90="mol/L", AH90&lt;&gt;"NR"), AF90*AH90*1000000, AG90="nmol", AF90*1000, AND(AG90="nmol/uL", AH90&lt;&gt;"NR"), AF90*AH90*1000, AG90="pg", AF90/2492, AG90="pmol", AF90, AND(AG90="pmol/uL", AH90&lt;&gt;"NR"), AF90*AH90, AG90="ug", AF90/2492*1000000, AND(AG90="ug/mL", AH90&lt;&gt;"NR"), (AF90/1000*AH90)/2492*1000000, AND(AG90="ug/uL", AH90&lt;&gt;"NR"), (AF90*AH90)/2492*1000000, AND(AG90="umol/L", AH90&lt;&gt;"NR"), AH90*AF90, TRUE, "NA")</f>
        <v>80</v>
      </c>
      <c r="AJ90" s="31">
        <v>1.6</v>
      </c>
      <c r="AK90" s="31">
        <v>1</v>
      </c>
      <c r="AL90" s="31" t="s">
        <v>9</v>
      </c>
      <c r="AM90" s="31" t="s">
        <v>8</v>
      </c>
      <c r="AN90" s="31" t="s">
        <v>9</v>
      </c>
      <c r="AO90" s="32" t="s">
        <v>917</v>
      </c>
      <c r="AP90" t="s">
        <v>1228</v>
      </c>
      <c r="AQ90" s="31">
        <v>-120</v>
      </c>
      <c r="AR90" s="31" t="s">
        <v>101</v>
      </c>
      <c r="AS90" s="32">
        <v>72</v>
      </c>
      <c r="AT90" s="31" t="s">
        <v>271</v>
      </c>
      <c r="AU90" s="31" t="s">
        <v>1243</v>
      </c>
      <c r="AV90" s="31" t="s">
        <v>674</v>
      </c>
      <c r="AW90" s="31">
        <f>113.12+30.37</f>
        <v>143.49</v>
      </c>
      <c r="AX90" s="31">
        <f>SQRT((20.53*SQRT(R90))^2 + (4.42*SQRT(R90))^2)</f>
        <v>69.650486717610235</v>
      </c>
      <c r="AY90" s="31">
        <f>84.22+20.65</f>
        <v>104.87</v>
      </c>
      <c r="AZ90" s="31">
        <f>SQRT((20.34*SQRT(T90))^2 + (3.57*SQRT(T90))^2)</f>
        <v>65.303943219379946</v>
      </c>
      <c r="BA90" s="31" t="s">
        <v>656</v>
      </c>
      <c r="BB90" s="31" t="s">
        <v>122</v>
      </c>
      <c r="BC90" cm="1">
        <f t="array" ref="BC90">_xlfn.IFS(BA90="Direct rLV % whole brain", AW90, BA90="Indirect rLV % whole brain", AW90, BA90="Direct rLV % hemisphere", AW90/2, BA90="Indirect rLV % hemisphere", AW90/2, AND(F90="Mouse", BA90="mm3"), (AW90/508.91)*100, AND(F90="Rat", BA90="mm3"), (AW90/1971)*100, AND(F90="Mouse", BA90="ul"), (AW90/508.91)*100, AND(F90="Rat", BA90="ul"), (AW90/1971)*100,  AND(F90="Mouse", BA90="nl"), (AW90/508910)*100, AND(F90="Rat", BA90="nl"), (AW90/1971000)*100, AND(F90="Mouse", BA90="cm3"), (AW90/0.50891)*100, AND(F90="Rat", BA90="cm3"), (AW90/1.971)*100, AND(F90="Mouse", BA90="mL"), (AW90/0.50891)*100, AND(F90="Rat", BA90="mL"), (AW90/1.971)*100, TRUE, "NA")</f>
        <v>7.2800608828006101</v>
      </c>
      <c r="BD90" cm="1">
        <f t="array" ref="BD90">_xlfn.IFS(AZ90="NA", "NA",BA90="Direct rLV % whole brain", AY90, BA90="Indirect rLV % whole brain", AY90, BA90="Direct rLV % hemisphere", AY90/2, BA90="Indirect rLV % hemisphere", AY90/2, AND(F90="Mouse", BA90="mm3"), (AY90/508.91)*100, AND(F90="Rat", BA90="mm3"), (AY90/1971)*100, AND(F90="Mouse", BA90="ul"), (AY90/508.91)*100, AND(F90="Rat", BA90="ul"), (AY90/1971)*100,  AND(F90="Mouse", BA90="nl"), (AY90/508910)*100, AND(F90="Rat", BA90="nl"), (AY90/1971000)*100, AND(F90="Mouse", BA90="cm3"), (AY90/0.50891)*100, AND(F90="Rat", BA90="cm3"), (AY90/1.971)*100, AND(F90="Mouse", BA90="mL"), (AY90/0.50891)*100, AND(F90="Rat", BA90="mL"), (AY90/1.971)*100, TRUE, "NA")</f>
        <v>5.3206494165398279</v>
      </c>
      <c r="BE90" cm="1">
        <f t="array" ref="BE90">_xlfn.IFS(AX90="NA", "NA", BB90="NR", "NA", BB90="SD", AX90, BB90="SE", AX90*(SQRT(R90)), BB90="SEM", AX90*(SQRT(R90)), TRUE, "NA")</f>
        <v>69.650486717610235</v>
      </c>
      <c r="BF90" cm="1">
        <f t="array" ref="BF90">_xlfn.IFS(BE90="NA", "NA",BA90="Direct rLV % whole brain", BE90, BA90="Indirect rLV % whole brain", BE90, BA90="Direct rLV % hemisphere", BE90/2, BA90="Indirect rLV % hemisphere", BE90/2, AND(F90="Mouse", BA90="mm3"), (BE90/508.91)*100, AND(F90="Rat", BA90="mm3"), (BE90/1971)*100, AND(F90="Mouse", BA90="ul"), (BE90/508.91)*100, AND(F90="Rat", BA90="ul"), (BE90/1971)*100,  AND(F90="Mouse", BA90="nl"), (BE90/508910)*100, AND(F90="Rat", BA90="nl"), (BE90/1971000)*100, AND(F90="Mouse", BA90="cm3"), (BE90/0.50891)*100, AND(F90="Rat", BA90="cm3"), (BE90/1.971)*100, AND(F90="Mouse", BA90="mL"), (BE90/0.50891)*100, AND(F90="Rat", BA90="mL"), (BE90/1.971)*100, TRUE, "NA")</f>
        <v>3.5337639126134057</v>
      </c>
      <c r="BG90" cm="1">
        <f t="array" ref="BG90">_xlfn.IFS(AZ90="NA", "NA", BB90="NR", "NA", BB90="SD", AZ90, BB90="SE", AZ90*(SQRT(R90)), BB90="SEM", AZ90*(SQRT(R90)), TRUE, "NA")</f>
        <v>65.303943219379946</v>
      </c>
      <c r="BH90" s="32" t="s">
        <v>154</v>
      </c>
      <c r="BI90" s="31" t="s">
        <v>153</v>
      </c>
      <c r="BJ90" s="31" t="s">
        <v>154</v>
      </c>
    </row>
    <row r="91" spans="1:63" x14ac:dyDescent="0.3">
      <c r="A91" t="s">
        <v>918</v>
      </c>
      <c r="B91" t="s">
        <v>910</v>
      </c>
      <c r="C91">
        <v>2014</v>
      </c>
      <c r="D91" t="s">
        <v>919</v>
      </c>
      <c r="E91" t="s">
        <v>647</v>
      </c>
      <c r="F91" t="s">
        <v>23</v>
      </c>
      <c r="G91" t="s">
        <v>48</v>
      </c>
      <c r="H91" t="s">
        <v>34</v>
      </c>
      <c r="I91" t="s">
        <v>127</v>
      </c>
      <c r="J91" t="s">
        <v>156</v>
      </c>
      <c r="K91" t="s">
        <v>9</v>
      </c>
      <c r="L91" t="s">
        <v>9</v>
      </c>
      <c r="M91" t="s">
        <v>9</v>
      </c>
      <c r="N91">
        <v>330</v>
      </c>
      <c r="O91">
        <f t="shared" si="10"/>
        <v>340</v>
      </c>
      <c r="P91">
        <v>350</v>
      </c>
      <c r="Q91">
        <v>1</v>
      </c>
      <c r="R91">
        <v>12</v>
      </c>
      <c r="S91">
        <v>3</v>
      </c>
      <c r="T91">
        <v>11</v>
      </c>
      <c r="U91" s="18" t="s">
        <v>71</v>
      </c>
      <c r="V91" t="s">
        <v>288</v>
      </c>
      <c r="W91" t="s">
        <v>8</v>
      </c>
      <c r="X91" t="s">
        <v>12</v>
      </c>
      <c r="Y91" t="s">
        <v>8</v>
      </c>
      <c r="Z91" t="s">
        <v>8</v>
      </c>
      <c r="AA91" t="s">
        <v>648</v>
      </c>
      <c r="AB91" t="s">
        <v>636</v>
      </c>
      <c r="AC91" t="s">
        <v>153</v>
      </c>
      <c r="AD91" t="s">
        <v>610</v>
      </c>
      <c r="AE91">
        <v>120</v>
      </c>
      <c r="AF91">
        <v>20</v>
      </c>
      <c r="AG91" t="s">
        <v>745</v>
      </c>
      <c r="AH91" t="s">
        <v>9</v>
      </c>
      <c r="AI91" t="str" cm="1">
        <f t="array" ref="AI91">_xlfn.IFS(AF91="NR", "NA", AG91="NR", "NA", AG91="NA","NA", AND(AG91="mg/ml", AH91&lt;&gt;"NR"), ((AF91/2492)*AH91*1000000), AND(AG91="mol/L", AH91&lt;&gt;"NR"), AF91*AH91*1000000, AG91="nmol", AF91*1000, AND(AG91="nmol/uL", AH91&lt;&gt;"NR"), AF91*AH91*1000, AG91="pg", AF91/2492, AG91="pmol", AF91, AND(AG91="pmol/uL", AH91&lt;&gt;"NR"), AF91*AH91, AG91="ug", AF91/2492*1000000, AND(AG91="ug/mL", AH91&lt;&gt;"NR"), (AF91/1000*AH91)/2492*1000000, AND(AG91="ug/uL", AH91&lt;&gt;"NR"), (AF91*AH91)/2492*1000000, AND(AG91="umol/L", AH91&lt;&gt;"NR"), AH91*AF91, TRUE, "NA")</f>
        <v>NA</v>
      </c>
      <c r="AJ91" t="s">
        <v>9</v>
      </c>
      <c r="AK91">
        <v>1</v>
      </c>
      <c r="AL91" t="s">
        <v>9</v>
      </c>
      <c r="AM91" t="s">
        <v>8</v>
      </c>
      <c r="AN91" t="s">
        <v>9</v>
      </c>
      <c r="AO91" s="18" t="s">
        <v>920</v>
      </c>
      <c r="AP91" t="s">
        <v>1228</v>
      </c>
      <c r="AQ91">
        <v>6</v>
      </c>
      <c r="AR91" t="s">
        <v>103</v>
      </c>
      <c r="AS91" s="18">
        <v>72</v>
      </c>
      <c r="AT91" t="s">
        <v>271</v>
      </c>
      <c r="AU91" t="s">
        <v>1243</v>
      </c>
      <c r="AV91" t="s">
        <v>679</v>
      </c>
      <c r="AW91">
        <v>89.36</v>
      </c>
      <c r="AX91">
        <v>14.54</v>
      </c>
      <c r="AY91">
        <v>19.2</v>
      </c>
      <c r="AZ91">
        <v>7.58</v>
      </c>
      <c r="BA91" t="s">
        <v>656</v>
      </c>
      <c r="BB91" t="s">
        <v>123</v>
      </c>
      <c r="BC91" cm="1">
        <f t="array" ref="BC91">_xlfn.IFS(BA91="Direct rLV % whole brain", AW91, BA91="Indirect rLV % whole brain", AW91, BA91="Direct rLV % hemisphere", AW91/2, BA91="Indirect rLV % hemisphere", AW91/2, AND(F91="Mouse", BA91="mm3"), (AW91/508.91)*100, AND(F91="Rat", BA91="mm3"), (AW91/1971)*100, AND(F91="Mouse", BA91="ul"), (AW91/508.91)*100, AND(F91="Rat", BA91="ul"), (AW91/1971)*100,  AND(F91="Mouse", BA91="nl"), (AW91/508910)*100, AND(F91="Rat", BA91="nl"), (AW91/1971000)*100, AND(F91="Mouse", BA91="cm3"), (AW91/0.50891)*100, AND(F91="Rat", BA91="cm3"), (AW91/1.971)*100, AND(F91="Mouse", BA91="mL"), (AW91/0.50891)*100, AND(F91="Rat", BA91="mL"), (AW91/1.971)*100, TRUE, "NA")</f>
        <v>4.5337392186707257</v>
      </c>
      <c r="BD91" cm="1">
        <f t="array" ref="BD91">_xlfn.IFS(AZ91="NA", "NA",BA91="Direct rLV % whole brain", AY91, BA91="Indirect rLV % whole brain", AY91, BA91="Direct rLV % hemisphere", AY91/2, BA91="Indirect rLV % hemisphere", AY91/2, AND(F91="Mouse", BA91="mm3"), (AY91/508.91)*100, AND(F91="Rat", BA91="mm3"), (AY91/1971)*100, AND(F91="Mouse", BA91="ul"), (AY91/508.91)*100, AND(F91="Rat", BA91="ul"), (AY91/1971)*100,  AND(F91="Mouse", BA91="nl"), (AY91/508910)*100, AND(F91="Rat", BA91="nl"), (AY91/1971000)*100, AND(F91="Mouse", BA91="cm3"), (AY91/0.50891)*100, AND(F91="Rat", BA91="cm3"), (AY91/1.971)*100, AND(F91="Mouse", BA91="mL"), (AY91/0.50891)*100, AND(F91="Rat", BA91="mL"), (AY91/1.971)*100, TRUE, "NA")</f>
        <v>0.97412480974124804</v>
      </c>
      <c r="BE91" cm="1">
        <f t="array" ref="BE91">_xlfn.IFS(AX91="NA", "NA", BB91="NR", "NA", BB91="SD", AX91, BB91="SE", AX91*(SQRT(R91)), BB91="SEM", AX91*(SQRT(R91)), TRUE, "NA")</f>
        <v>50.368037484102949</v>
      </c>
      <c r="BF91" cm="1">
        <f t="array" ref="BF91">_xlfn.IFS(BE91="NA", "NA",BA91="Direct rLV % whole brain", BE91, BA91="Indirect rLV % whole brain", BE91, BA91="Direct rLV % hemisphere", BE91/2, BA91="Indirect rLV % hemisphere", BE91/2, AND(F91="Mouse", BA91="mm3"), (BE91/508.91)*100, AND(F91="Rat", BA91="mm3"), (BE91/1971)*100, AND(F91="Mouse", BA91="ul"), (BE91/508.91)*100, AND(F91="Rat", BA91="ul"), (BE91/1971)*100,  AND(F91="Mouse", BA91="nl"), (BE91/508910)*100, AND(F91="Rat", BA91="nl"), (BE91/1971000)*100, AND(F91="Mouse", BA91="cm3"), (BE91/0.50891)*100, AND(F91="Rat", BA91="cm3"), (BE91/1.971)*100, AND(F91="Mouse", BA91="mL"), (BE91/0.50891)*100, AND(F91="Rat", BA91="mL"), (BE91/1.971)*100, TRUE, "NA")</f>
        <v>2.5554559860021793</v>
      </c>
      <c r="BG91" cm="1">
        <f t="array" ref="BG91">_xlfn.IFS(AZ91="NA", "NA", BB91="NR", "NA", BB91="SD", AZ91, BB91="SE", AZ91*(SQRT(R91)), BB91="SEM", AZ91*(SQRT(R91)), TRUE, "NA")</f>
        <v>26.257890242744178</v>
      </c>
      <c r="BH91" s="18" t="s">
        <v>154</v>
      </c>
      <c r="BI91" t="s">
        <v>153</v>
      </c>
      <c r="BJ91" t="s">
        <v>154</v>
      </c>
    </row>
    <row r="92" spans="1:63" x14ac:dyDescent="0.3">
      <c r="A92" t="s">
        <v>918</v>
      </c>
      <c r="B92" t="s">
        <v>910</v>
      </c>
      <c r="C92">
        <v>2014</v>
      </c>
      <c r="D92" t="s">
        <v>919</v>
      </c>
      <c r="E92" t="s">
        <v>678</v>
      </c>
      <c r="F92" t="s">
        <v>23</v>
      </c>
      <c r="G92" t="s">
        <v>48</v>
      </c>
      <c r="H92" t="s">
        <v>34</v>
      </c>
      <c r="I92" t="s">
        <v>127</v>
      </c>
      <c r="J92" t="s">
        <v>156</v>
      </c>
      <c r="K92" t="s">
        <v>9</v>
      </c>
      <c r="L92" t="s">
        <v>9</v>
      </c>
      <c r="M92" t="s">
        <v>9</v>
      </c>
      <c r="N92">
        <v>330</v>
      </c>
      <c r="O92">
        <f t="shared" si="10"/>
        <v>340</v>
      </c>
      <c r="P92">
        <v>350</v>
      </c>
      <c r="Q92">
        <v>1</v>
      </c>
      <c r="R92">
        <v>12</v>
      </c>
      <c r="S92">
        <v>3</v>
      </c>
      <c r="T92">
        <v>12</v>
      </c>
      <c r="U92" s="18" t="s">
        <v>71</v>
      </c>
      <c r="V92" t="s">
        <v>288</v>
      </c>
      <c r="W92" t="s">
        <v>8</v>
      </c>
      <c r="X92" t="s">
        <v>12</v>
      </c>
      <c r="Y92" t="s">
        <v>8</v>
      </c>
      <c r="Z92" t="s">
        <v>8</v>
      </c>
      <c r="AA92" t="s">
        <v>648</v>
      </c>
      <c r="AB92" t="s">
        <v>636</v>
      </c>
      <c r="AC92" t="s">
        <v>153</v>
      </c>
      <c r="AD92" t="s">
        <v>610</v>
      </c>
      <c r="AE92">
        <v>120</v>
      </c>
      <c r="AF92">
        <v>20</v>
      </c>
      <c r="AG92" t="s">
        <v>745</v>
      </c>
      <c r="AH92" t="s">
        <v>9</v>
      </c>
      <c r="AI92" t="str" cm="1">
        <f t="array" ref="AI92">_xlfn.IFS(AF92="NR", "NA", AG92="NR", "NA", AG92="NA","NA", AND(AG92="mg/ml", AH92&lt;&gt;"NR"), ((AF92/2492)*AH92*1000000), AND(AG92="mol/L", AH92&lt;&gt;"NR"), AF92*AH92*1000000, AG92="nmol", AF92*1000, AND(AG92="nmol/uL", AH92&lt;&gt;"NR"), AF92*AH92*1000, AG92="pg", AF92/2492, AG92="pmol", AF92, AND(AG92="pmol/uL", AH92&lt;&gt;"NR"), AF92*AH92, AG92="ug", AF92/2492*1000000, AND(AG92="ug/mL", AH92&lt;&gt;"NR"), (AF92/1000*AH92)/2492*1000000, AND(AG92="ug/uL", AH92&lt;&gt;"NR"), (AF92*AH92)/2492*1000000, AND(AG92="umol/L", AH92&lt;&gt;"NR"), AH92*AF92, TRUE, "NA")</f>
        <v>NA</v>
      </c>
      <c r="AJ92" t="s">
        <v>9</v>
      </c>
      <c r="AK92">
        <v>1</v>
      </c>
      <c r="AL92" t="s">
        <v>9</v>
      </c>
      <c r="AM92" t="s">
        <v>8</v>
      </c>
      <c r="AN92" t="s">
        <v>9</v>
      </c>
      <c r="AO92" s="18" t="s">
        <v>917</v>
      </c>
      <c r="AP92" t="s">
        <v>1228</v>
      </c>
      <c r="AQ92">
        <v>6</v>
      </c>
      <c r="AR92" t="s">
        <v>103</v>
      </c>
      <c r="AS92" s="18">
        <v>72</v>
      </c>
      <c r="AT92" t="s">
        <v>271</v>
      </c>
      <c r="AU92" t="s">
        <v>1243</v>
      </c>
      <c r="AV92" t="s">
        <v>674</v>
      </c>
      <c r="AW92">
        <v>89.36</v>
      </c>
      <c r="AX92">
        <v>14.54</v>
      </c>
      <c r="AY92">
        <v>63.19</v>
      </c>
      <c r="AZ92">
        <v>21.7</v>
      </c>
      <c r="BA92" t="s">
        <v>656</v>
      </c>
      <c r="BB92" t="s">
        <v>123</v>
      </c>
      <c r="BC92" cm="1">
        <f t="array" ref="BC92">_xlfn.IFS(BA92="Direct rLV % whole brain", AW92, BA92="Indirect rLV % whole brain", AW92, BA92="Direct rLV % hemisphere", AW92/2, BA92="Indirect rLV % hemisphere", AW92/2, AND(F92="Mouse", BA92="mm3"), (AW92/508.91)*100, AND(F92="Rat", BA92="mm3"), (AW92/1971)*100, AND(F92="Mouse", BA92="ul"), (AW92/508.91)*100, AND(F92="Rat", BA92="ul"), (AW92/1971)*100,  AND(F92="Mouse", BA92="nl"), (AW92/508910)*100, AND(F92="Rat", BA92="nl"), (AW92/1971000)*100, AND(F92="Mouse", BA92="cm3"), (AW92/0.50891)*100, AND(F92="Rat", BA92="cm3"), (AW92/1.971)*100, AND(F92="Mouse", BA92="mL"), (AW92/0.50891)*100, AND(F92="Rat", BA92="mL"), (AW92/1.971)*100, TRUE, "NA")</f>
        <v>4.5337392186707257</v>
      </c>
      <c r="BD92" cm="1">
        <f t="array" ref="BD92">_xlfn.IFS(AZ92="NA", "NA",BA92="Direct rLV % whole brain", AY92, BA92="Indirect rLV % whole brain", AY92, BA92="Direct rLV % hemisphere", AY92/2, BA92="Indirect rLV % hemisphere", AY92/2, AND(F92="Mouse", BA92="mm3"), (AY92/508.91)*100, AND(F92="Rat", BA92="mm3"), (AY92/1971)*100, AND(F92="Mouse", BA92="ul"), (AY92/508.91)*100, AND(F92="Rat", BA92="ul"), (AY92/1971)*100,  AND(F92="Mouse", BA92="nl"), (AY92/508910)*100, AND(F92="Rat", BA92="nl"), (AY92/1971000)*100, AND(F92="Mouse", BA92="cm3"), (AY92/0.50891)*100, AND(F92="Rat", BA92="cm3"), (AY92/1.971)*100, AND(F92="Mouse", BA92="mL"), (AY92/0.50891)*100, AND(F92="Rat", BA92="mL"), (AY92/1.971)*100, TRUE, "NA")</f>
        <v>3.2059868087265344</v>
      </c>
      <c r="BE92" cm="1">
        <f t="array" ref="BE92">_xlfn.IFS(AX92="NA", "NA", BB92="NR", "NA", BB92="SD", AX92, BB92="SE", AX92*(SQRT(R92)), BB92="SEM", AX92*(SQRT(R92)), TRUE, "NA")</f>
        <v>50.368037484102949</v>
      </c>
      <c r="BF92" cm="1">
        <f t="array" ref="BF92">_xlfn.IFS(BE92="NA", "NA",BA92="Direct rLV % whole brain", BE92, BA92="Indirect rLV % whole brain", BE92, BA92="Direct rLV % hemisphere", BE92/2, BA92="Indirect rLV % hemisphere", BE92/2, AND(F92="Mouse", BA92="mm3"), (BE92/508.91)*100, AND(F92="Rat", BA92="mm3"), (BE92/1971)*100, AND(F92="Mouse", BA92="ul"), (BE92/508.91)*100, AND(F92="Rat", BA92="ul"), (BE92/1971)*100,  AND(F92="Mouse", BA92="nl"), (BE92/508910)*100, AND(F92="Rat", BA92="nl"), (BE92/1971000)*100, AND(F92="Mouse", BA92="cm3"), (BE92/0.50891)*100, AND(F92="Rat", BA92="cm3"), (BE92/1.971)*100, AND(F92="Mouse", BA92="mL"), (BE92/0.50891)*100, AND(F92="Rat", BA92="mL"), (BE92/1.971)*100, TRUE, "NA")</f>
        <v>2.5554559860021793</v>
      </c>
      <c r="BG92" cm="1">
        <f t="array" ref="BG92">_xlfn.IFS(AZ92="NA", "NA", BB92="NR", "NA", BB92="SD", AZ92, BB92="SE", AZ92*(SQRT(R92)), BB92="SEM", AZ92*(SQRT(R92)), TRUE, "NA")</f>
        <v>75.171005048489263</v>
      </c>
      <c r="BH92" s="18" t="s">
        <v>154</v>
      </c>
      <c r="BI92" t="s">
        <v>153</v>
      </c>
      <c r="BJ92" t="s">
        <v>154</v>
      </c>
    </row>
    <row r="93" spans="1:63" s="31" customFormat="1" x14ac:dyDescent="0.3">
      <c r="A93" s="31" t="s">
        <v>922</v>
      </c>
      <c r="B93" s="31" t="s">
        <v>921</v>
      </c>
      <c r="C93" s="31">
        <v>2007</v>
      </c>
      <c r="D93" s="31" t="s">
        <v>923</v>
      </c>
      <c r="E93" s="31" t="s">
        <v>647</v>
      </c>
      <c r="F93" s="31" t="s">
        <v>23</v>
      </c>
      <c r="G93" s="31" t="s">
        <v>11</v>
      </c>
      <c r="H93" s="31" t="s">
        <v>34</v>
      </c>
      <c r="I93" s="31" t="s">
        <v>12</v>
      </c>
      <c r="J93" s="31" t="s">
        <v>8</v>
      </c>
      <c r="K93" s="31" t="s">
        <v>9</v>
      </c>
      <c r="L93" s="31" t="s">
        <v>9</v>
      </c>
      <c r="M93" s="31" t="s">
        <v>9</v>
      </c>
      <c r="N93" s="31" t="s">
        <v>9</v>
      </c>
      <c r="O93" s="31" t="s">
        <v>9</v>
      </c>
      <c r="P93" s="31" t="s">
        <v>9</v>
      </c>
      <c r="Q93" s="31">
        <v>1</v>
      </c>
      <c r="R93" s="31">
        <v>14</v>
      </c>
      <c r="S93" s="31">
        <v>1</v>
      </c>
      <c r="T93" s="31">
        <v>14</v>
      </c>
      <c r="U93" s="32" t="s">
        <v>71</v>
      </c>
      <c r="V93" s="31" t="s">
        <v>288</v>
      </c>
      <c r="W93" s="31" t="s">
        <v>8</v>
      </c>
      <c r="X93" s="31" t="s">
        <v>12</v>
      </c>
      <c r="Y93" s="31" t="s">
        <v>8</v>
      </c>
      <c r="Z93" s="31" t="s">
        <v>8</v>
      </c>
      <c r="AA93" s="31" t="s">
        <v>648</v>
      </c>
      <c r="AB93" s="31" t="s">
        <v>636</v>
      </c>
      <c r="AC93" s="31" t="s">
        <v>153</v>
      </c>
      <c r="AD93" s="31" t="s">
        <v>610</v>
      </c>
      <c r="AE93" s="31">
        <v>372</v>
      </c>
      <c r="AF93" s="31">
        <v>60</v>
      </c>
      <c r="AG93" s="31" t="s">
        <v>650</v>
      </c>
      <c r="AH93" s="31">
        <v>3</v>
      </c>
      <c r="AI93" cm="1">
        <f t="array" ref="AI93">_xlfn.IFS(AF93="NR", "NA", AG93="NR", "NA", AG93="NA","NA", AND(AG93="mg/ml", AH93&lt;&gt;"NR"), ((AF93/2492)*AH93*1000000), AND(AG93="mol/L", AH93&lt;&gt;"NR"), AF93*AH93*1000000, AG93="nmol", AF93*1000, AND(AG93="nmol/uL", AH93&lt;&gt;"NR"), AF93*AH93*1000, AG93="pg", AF93/2492, AG93="pmol", AF93, AND(AG93="pmol/uL", AH93&lt;&gt;"NR"), AF93*AH93, AG93="ug", AF93/2492*1000000, AND(AG93="ug/mL", AH93&lt;&gt;"NR"), (AF93/1000*AH93)/2492*1000000, AND(AG93="ug/uL", AH93&lt;&gt;"NR"), (AF93*AH93)/2492*1000000, AND(AG93="umol/L", AH93&lt;&gt;"NR"), AH93*AF93, TRUE, "NA")</f>
        <v>60</v>
      </c>
      <c r="AJ93" s="31">
        <v>3</v>
      </c>
      <c r="AK93" s="31">
        <v>1</v>
      </c>
      <c r="AL93" s="31" t="s">
        <v>924</v>
      </c>
      <c r="AM93" s="31" t="s">
        <v>8</v>
      </c>
      <c r="AN93" s="31" t="s">
        <v>925</v>
      </c>
      <c r="AO93" s="32" t="s">
        <v>176</v>
      </c>
      <c r="AP93" t="s">
        <v>1228</v>
      </c>
      <c r="AQ93" s="31">
        <v>0.33</v>
      </c>
      <c r="AR93" s="31" t="s">
        <v>103</v>
      </c>
      <c r="AS93" s="32">
        <v>72</v>
      </c>
      <c r="AT93" s="31" t="s">
        <v>270</v>
      </c>
      <c r="AU93" s="31" t="s">
        <v>8</v>
      </c>
      <c r="AV93" s="31" t="s">
        <v>679</v>
      </c>
      <c r="AW93" s="31">
        <v>170.5</v>
      </c>
      <c r="AX93" s="31">
        <v>22.7</v>
      </c>
      <c r="AY93" s="31">
        <v>85.5</v>
      </c>
      <c r="AZ93" s="31">
        <v>5.2</v>
      </c>
      <c r="BA93" s="31" t="s">
        <v>656</v>
      </c>
      <c r="BB93" s="31" t="s">
        <v>123</v>
      </c>
      <c r="BC93" cm="1">
        <f t="array" ref="BC93">_xlfn.IFS(BA93="Direct rLV % whole brain", AW93, BA93="Indirect rLV % whole brain", AW93, BA93="Direct rLV % hemisphere", AW93/2, BA93="Indirect rLV % hemisphere", AW93/2, AND(F93="Mouse", BA93="mm3"), (AW93/508.91)*100, AND(F93="Rat", BA93="mm3"), (AW93/1971)*100, AND(F93="Mouse", BA93="ul"), (AW93/508.91)*100, AND(F93="Rat", BA93="ul"), (AW93/1971)*100,  AND(F93="Mouse", BA93="nl"), (AW93/508910)*100, AND(F93="Rat", BA93="nl"), (AW93/1971000)*100, AND(F93="Mouse", BA93="cm3"), (AW93/0.50891)*100, AND(F93="Rat", BA93="cm3"), (AW93/1.971)*100, AND(F93="Mouse", BA93="mL"), (AW93/0.50891)*100, AND(F93="Rat", BA93="mL"), (AW93/1.971)*100, TRUE, "NA")</f>
        <v>8.6504312531709786</v>
      </c>
      <c r="BD93" cm="1">
        <f t="array" ref="BD93">_xlfn.IFS(AZ93="NA", "NA",BA93="Direct rLV % whole brain", AY93, BA93="Indirect rLV % whole brain", AY93, BA93="Direct rLV % hemisphere", AY93/2, BA93="Indirect rLV % hemisphere", AY93/2, AND(F93="Mouse", BA93="mm3"), (AY93/508.91)*100, AND(F93="Rat", BA93="mm3"), (AY93/1971)*100, AND(F93="Mouse", BA93="ul"), (AY93/508.91)*100, AND(F93="Rat", BA93="ul"), (AY93/1971)*100,  AND(F93="Mouse", BA93="nl"), (AY93/508910)*100, AND(F93="Rat", BA93="nl"), (AY93/1971000)*100, AND(F93="Mouse", BA93="cm3"), (AY93/0.50891)*100, AND(F93="Rat", BA93="cm3"), (AY93/1.971)*100, AND(F93="Mouse", BA93="mL"), (AY93/0.50891)*100, AND(F93="Rat", BA93="mL"), (AY93/1.971)*100, TRUE, "NA")</f>
        <v>4.3378995433789953</v>
      </c>
      <c r="BE93" cm="1">
        <f t="array" ref="BE93">_xlfn.IFS(AX93="NA", "NA", BB93="NR", "NA", BB93="SD", AX93, BB93="SE", AX93*(SQRT(R93)), BB93="SEM", AX93*(SQRT(R93)), TRUE, "NA")</f>
        <v>84.935622679768471</v>
      </c>
      <c r="BF93" cm="1">
        <f t="array" ref="BF93">_xlfn.IFS(BE93="NA", "NA",BA93="Direct rLV % whole brain", BE93, BA93="Indirect rLV % whole brain", BE93, BA93="Direct rLV % hemisphere", BE93/2, BA93="Indirect rLV % hemisphere", BE93/2, AND(F93="Mouse", BA93="mm3"), (BE93/508.91)*100, AND(F93="Rat", BA93="mm3"), (BE93/1971)*100, AND(F93="Mouse", BA93="ul"), (BE93/508.91)*100, AND(F93="Rat", BA93="ul"), (BE93/1971)*100,  AND(F93="Mouse", BA93="nl"), (BE93/508910)*100, AND(F93="Rat", BA93="nl"), (BE93/1971000)*100, AND(F93="Mouse", BA93="cm3"), (BE93/0.50891)*100, AND(F93="Rat", BA93="cm3"), (BE93/1.971)*100, AND(F93="Mouse", BA93="mL"), (BE93/0.50891)*100, AND(F93="Rat", BA93="mL"), (BE93/1.971)*100, TRUE, "NA")</f>
        <v>4.3092654834991615</v>
      </c>
      <c r="BG93" cm="1">
        <f t="array" ref="BG93">_xlfn.IFS(AZ93="NA", "NA", BB93="NR", "NA", BB93="SD", AZ93, BB93="SE", AZ93*(SQRT(R93)), BB93="SEM", AZ93*(SQRT(R93)), TRUE, "NA")</f>
        <v>19.456618411224497</v>
      </c>
      <c r="BH93" s="32" t="s">
        <v>154</v>
      </c>
      <c r="BI93" s="31" t="s">
        <v>154</v>
      </c>
      <c r="BJ93" s="31" t="s">
        <v>153</v>
      </c>
      <c r="BK93" s="31" t="s">
        <v>926</v>
      </c>
    </row>
    <row r="94" spans="1:63" x14ac:dyDescent="0.3">
      <c r="A94" t="s">
        <v>927</v>
      </c>
      <c r="B94" t="s">
        <v>921</v>
      </c>
      <c r="C94">
        <v>2011</v>
      </c>
      <c r="D94" t="s">
        <v>928</v>
      </c>
      <c r="E94" t="s">
        <v>647</v>
      </c>
      <c r="F94" t="s">
        <v>23</v>
      </c>
      <c r="G94" t="s">
        <v>11</v>
      </c>
      <c r="H94" t="s">
        <v>34</v>
      </c>
      <c r="I94" t="s">
        <v>12</v>
      </c>
      <c r="J94" t="s">
        <v>8</v>
      </c>
      <c r="K94" t="s">
        <v>9</v>
      </c>
      <c r="L94" t="s">
        <v>9</v>
      </c>
      <c r="M94" t="s">
        <v>9</v>
      </c>
      <c r="N94">
        <v>320</v>
      </c>
      <c r="O94">
        <f>AVERAGE(N94,P94)</f>
        <v>377.5</v>
      </c>
      <c r="P94">
        <v>435</v>
      </c>
      <c r="Q94">
        <v>1</v>
      </c>
      <c r="R94">
        <v>8</v>
      </c>
      <c r="S94">
        <v>1</v>
      </c>
      <c r="T94">
        <v>8</v>
      </c>
      <c r="U94" s="18" t="s">
        <v>9</v>
      </c>
      <c r="V94" t="s">
        <v>8</v>
      </c>
      <c r="W94" t="s">
        <v>8</v>
      </c>
      <c r="X94" t="s">
        <v>12</v>
      </c>
      <c r="Y94" t="s">
        <v>8</v>
      </c>
      <c r="Z94" t="s">
        <v>8</v>
      </c>
      <c r="AA94" t="s">
        <v>648</v>
      </c>
      <c r="AB94" t="s">
        <v>636</v>
      </c>
      <c r="AC94" t="s">
        <v>153</v>
      </c>
      <c r="AD94" t="s">
        <v>610</v>
      </c>
      <c r="AE94">
        <v>168</v>
      </c>
      <c r="AF94">
        <v>150</v>
      </c>
      <c r="AG94" t="s">
        <v>650</v>
      </c>
      <c r="AH94">
        <v>3</v>
      </c>
      <c r="AI94" cm="1">
        <f t="array" ref="AI94">_xlfn.IFS(AF94="NR", "NA", AG94="NR", "NA", AG94="NA","NA", AND(AG94="mg/ml", AH94&lt;&gt;"NR"), ((AF94/2492)*AH94*1000000), AND(AG94="mol/L", AH94&lt;&gt;"NR"), AF94*AH94*1000000, AG94="nmol", AF94*1000, AND(AG94="nmol/uL", AH94&lt;&gt;"NR"), AF94*AH94*1000, AG94="pg", AF94/2492, AG94="pmol", AF94, AND(AG94="pmol/uL", AH94&lt;&gt;"NR"), AF94*AH94, AG94="ug", AF94/2492*1000000, AND(AG94="ug/mL", AH94&lt;&gt;"NR"), (AF94/1000*AH94)/2492*1000000, AND(AG94="ug/uL", AH94&lt;&gt;"NR"), (AF94*AH94)/2492*1000000, AND(AG94="umol/L", AH94&lt;&gt;"NR"), AH94*AF94, TRUE, "NA")</f>
        <v>150</v>
      </c>
      <c r="AJ94">
        <v>3</v>
      </c>
      <c r="AK94">
        <v>1</v>
      </c>
      <c r="AL94" t="s">
        <v>9</v>
      </c>
      <c r="AM94" t="s">
        <v>8</v>
      </c>
      <c r="AN94" t="s">
        <v>9</v>
      </c>
      <c r="AO94" s="18" t="s">
        <v>929</v>
      </c>
      <c r="AP94" t="s">
        <v>1228</v>
      </c>
      <c r="AQ94">
        <v>0.33</v>
      </c>
      <c r="AR94" t="s">
        <v>103</v>
      </c>
      <c r="AS94" s="18">
        <v>72</v>
      </c>
      <c r="AT94" t="s">
        <v>271</v>
      </c>
      <c r="AU94" t="s">
        <v>684</v>
      </c>
      <c r="AV94" t="s">
        <v>679</v>
      </c>
      <c r="AW94">
        <v>43.74</v>
      </c>
      <c r="AX94">
        <v>5.16</v>
      </c>
      <c r="AY94">
        <v>28.52</v>
      </c>
      <c r="AZ94">
        <v>1.93</v>
      </c>
      <c r="BA94" t="s">
        <v>656</v>
      </c>
      <c r="BB94" t="s">
        <v>123</v>
      </c>
      <c r="BC94" cm="1">
        <f t="array" ref="BC94">_xlfn.IFS(BA94="Direct rLV % whole brain", AW94, BA94="Indirect rLV % whole brain", AW94, BA94="Direct rLV % hemisphere", AW94/2, BA94="Indirect rLV % hemisphere", AW94/2, AND(F94="Mouse", BA94="mm3"), (AW94/508.91)*100, AND(F94="Rat", BA94="mm3"), (AW94/1971)*100, AND(F94="Mouse", BA94="ul"), (AW94/508.91)*100, AND(F94="Rat", BA94="ul"), (AW94/1971)*100,  AND(F94="Mouse", BA94="nl"), (AW94/508910)*100, AND(F94="Rat", BA94="nl"), (AW94/1971000)*100, AND(F94="Mouse", BA94="cm3"), (AW94/0.50891)*100, AND(F94="Rat", BA94="cm3"), (AW94/1.971)*100, AND(F94="Mouse", BA94="mL"), (AW94/0.50891)*100, AND(F94="Rat", BA94="mL"), (AW94/1.971)*100, TRUE, "NA")</f>
        <v>2.2191780821917808</v>
      </c>
      <c r="BD94" cm="1">
        <f t="array" ref="BD94">_xlfn.IFS(AZ94="NA", "NA",BA94="Direct rLV % whole brain", AY94, BA94="Indirect rLV % whole brain", AY94, BA94="Direct rLV % hemisphere", AY94/2, BA94="Indirect rLV % hemisphere", AY94/2, AND(F94="Mouse", BA94="mm3"), (AY94/508.91)*100, AND(F94="Rat", BA94="mm3"), (AY94/1971)*100, AND(F94="Mouse", BA94="ul"), (AY94/508.91)*100, AND(F94="Rat", BA94="ul"), (AY94/1971)*100,  AND(F94="Mouse", BA94="nl"), (AY94/508910)*100, AND(F94="Rat", BA94="nl"), (AY94/1971000)*100, AND(F94="Mouse", BA94="cm3"), (AY94/0.50891)*100, AND(F94="Rat", BA94="cm3"), (AY94/1.971)*100, AND(F94="Mouse", BA94="mL"), (AY94/0.50891)*100, AND(F94="Rat", BA94="mL"), (AY94/1.971)*100, TRUE, "NA")</f>
        <v>1.4469812278031455</v>
      </c>
      <c r="BE94" cm="1">
        <f t="array" ref="BE94">_xlfn.IFS(AX94="NA", "NA", BB94="NR", "NA", BB94="SD", AX94, BB94="SE", AX94*(SQRT(R94)), BB94="SEM", AX94*(SQRT(R94)), TRUE, "NA")</f>
        <v>14.594683963690342</v>
      </c>
      <c r="BF94" cm="1">
        <f t="array" ref="BF94">_xlfn.IFS(BE94="NA", "NA",BA94="Direct rLV % whole brain", BE94, BA94="Indirect rLV % whole brain", BE94, BA94="Direct rLV % hemisphere", BE94/2, BA94="Indirect rLV % hemisphere", BE94/2, AND(F94="Mouse", BA94="mm3"), (BE94/508.91)*100, AND(F94="Rat", BA94="mm3"), (BE94/1971)*100, AND(F94="Mouse", BA94="ul"), (BE94/508.91)*100, AND(F94="Rat", BA94="ul"), (BE94/1971)*100,  AND(F94="Mouse", BA94="nl"), (BE94/508910)*100, AND(F94="Rat", BA94="nl"), (BE94/1971000)*100, AND(F94="Mouse", BA94="cm3"), (BE94/0.50891)*100, AND(F94="Rat", BA94="cm3"), (BE94/1.971)*100, AND(F94="Mouse", BA94="mL"), (BE94/0.50891)*100, AND(F94="Rat", BA94="mL"), (BE94/1.971)*100, TRUE, "NA")</f>
        <v>0.74047102809184895</v>
      </c>
      <c r="BG94" cm="1">
        <f t="array" ref="BG94">_xlfn.IFS(AZ94="NA", "NA", BB94="NR", "NA", BB94="SD", AZ94, BB94="SE", AZ94*(SQRT(R94)), BB94="SEM", AZ94*(SQRT(R94)), TRUE, "NA")</f>
        <v>5.4588643507601473</v>
      </c>
      <c r="BH94" s="18" t="s">
        <v>154</v>
      </c>
      <c r="BI94" t="s">
        <v>154</v>
      </c>
      <c r="BJ94" t="s">
        <v>153</v>
      </c>
    </row>
    <row r="95" spans="1:63" s="31" customFormat="1" x14ac:dyDescent="0.3">
      <c r="A95" s="31" t="s">
        <v>930</v>
      </c>
      <c r="B95" s="31" t="s">
        <v>921</v>
      </c>
      <c r="C95" s="31">
        <v>2013</v>
      </c>
      <c r="D95" s="31" t="s">
        <v>931</v>
      </c>
      <c r="E95" s="31" t="s">
        <v>647</v>
      </c>
      <c r="F95" s="31" t="s">
        <v>23</v>
      </c>
      <c r="G95" s="31" t="s">
        <v>11</v>
      </c>
      <c r="H95" s="31" t="s">
        <v>34</v>
      </c>
      <c r="I95" s="31" t="s">
        <v>12</v>
      </c>
      <c r="J95" s="31" t="s">
        <v>8</v>
      </c>
      <c r="K95" s="31">
        <v>13</v>
      </c>
      <c r="L95" s="31">
        <f>AVERAGE(K95,M95)</f>
        <v>15</v>
      </c>
      <c r="M95" s="31">
        <v>17</v>
      </c>
      <c r="N95" s="31">
        <v>240</v>
      </c>
      <c r="O95" s="31">
        <f t="shared" ref="O95:O97" si="11">AVERAGE(N95,P95)</f>
        <v>260</v>
      </c>
      <c r="P95" s="31">
        <v>280</v>
      </c>
      <c r="Q95" s="31">
        <v>1</v>
      </c>
      <c r="R95" s="31">
        <v>11</v>
      </c>
      <c r="S95" s="31" t="s">
        <v>8</v>
      </c>
      <c r="T95" s="31" t="s">
        <v>8</v>
      </c>
      <c r="U95" s="32" t="s">
        <v>71</v>
      </c>
      <c r="V95" s="31" t="s">
        <v>288</v>
      </c>
      <c r="W95" s="31" t="s">
        <v>8</v>
      </c>
      <c r="X95" s="31" t="s">
        <v>12</v>
      </c>
      <c r="Y95" s="31" t="s">
        <v>8</v>
      </c>
      <c r="Z95" s="31" t="s">
        <v>8</v>
      </c>
      <c r="AA95" s="31" t="s">
        <v>648</v>
      </c>
      <c r="AB95" s="31" t="s">
        <v>636</v>
      </c>
      <c r="AC95" s="31" t="s">
        <v>153</v>
      </c>
      <c r="AD95" s="31" t="s">
        <v>610</v>
      </c>
      <c r="AE95" s="31">
        <v>336</v>
      </c>
      <c r="AF95" s="31">
        <v>150</v>
      </c>
      <c r="AG95" s="31" t="s">
        <v>650</v>
      </c>
      <c r="AH95" s="31">
        <v>3</v>
      </c>
      <c r="AI95" cm="1">
        <f t="array" ref="AI95">_xlfn.IFS(AF95="NR", "NA", AG95="NR", "NA", AG95="NA","NA", AND(AG95="mg/ml", AH95&lt;&gt;"NR"), ((AF95/2492)*AH95*1000000), AND(AG95="mol/L", AH95&lt;&gt;"NR"), AF95*AH95*1000000, AG95="nmol", AF95*1000, AND(AG95="nmol/uL", AH95&lt;&gt;"NR"), AF95*AH95*1000, AG95="pg", AF95/2492, AG95="pmol", AF95, AND(AG95="pmol/uL", AH95&lt;&gt;"NR"), AF95*AH95, AG95="ug", AF95/2492*1000000, AND(AG95="ug/mL", AH95&lt;&gt;"NR"), (AF95/1000*AH95)/2492*1000000, AND(AG95="ug/uL", AH95&lt;&gt;"NR"), (AF95*AH95)/2492*1000000, AND(AG95="umol/L", AH95&lt;&gt;"NR"), AH95*AF95, TRUE, "NA")</f>
        <v>150</v>
      </c>
      <c r="AJ95" s="31">
        <v>3</v>
      </c>
      <c r="AK95" s="31">
        <v>1</v>
      </c>
      <c r="AL95" s="31" t="s">
        <v>9</v>
      </c>
      <c r="AM95" s="31" t="s">
        <v>8</v>
      </c>
      <c r="AN95" s="31" t="s">
        <v>9</v>
      </c>
      <c r="AO95" s="32" t="s">
        <v>12</v>
      </c>
      <c r="AP95" s="31" t="s">
        <v>8</v>
      </c>
      <c r="AQ95" s="31" t="s">
        <v>8</v>
      </c>
      <c r="AR95" s="31" t="s">
        <v>8</v>
      </c>
      <c r="AS95" s="32">
        <v>72</v>
      </c>
      <c r="AT95" s="31" t="s">
        <v>270</v>
      </c>
      <c r="AU95" s="31" t="s">
        <v>8</v>
      </c>
      <c r="AV95" s="31" t="s">
        <v>674</v>
      </c>
      <c r="AW95" s="31">
        <v>37</v>
      </c>
      <c r="AX95" s="31">
        <v>5.0999999999999996</v>
      </c>
      <c r="AY95" s="31" t="s">
        <v>8</v>
      </c>
      <c r="AZ95" s="31" t="s">
        <v>8</v>
      </c>
      <c r="BA95" s="31" t="s">
        <v>203</v>
      </c>
      <c r="BB95" s="31" t="s">
        <v>123</v>
      </c>
      <c r="BC95" cm="1">
        <f t="array" ref="BC95">_xlfn.IFS(BA95="Direct rLV % whole brain", AW95, BA95="Indirect rLV % whole brain", AW95, BA95="Direct rLV % hemisphere", AW95/2, BA95="Indirect rLV % hemisphere", AW95/2, AND(F95="Mouse", BA95="mm3"), (AW95/508.91)*100, AND(F95="Rat", BA95="mm3"), (AW95/1971)*100, AND(F95="Mouse", BA95="ul"), (AW95/508.91)*100, AND(F95="Rat", BA95="ul"), (AW95/1971)*100,  AND(F95="Mouse", BA95="nl"), (AW95/508910)*100, AND(F95="Rat", BA95="nl"), (AW95/1971000)*100, AND(F95="Mouse", BA95="cm3"), (AW95/0.50891)*100, AND(F95="Rat", BA95="cm3"), (AW95/1.971)*100, AND(F95="Mouse", BA95="mL"), (AW95/0.50891)*100, AND(F95="Rat", BA95="mL"), (AW95/1.971)*100, TRUE, "NA")</f>
        <v>18.5</v>
      </c>
      <c r="BD95" t="str" cm="1">
        <f t="array" ref="BD95">_xlfn.IFS(AZ95="NA", "NA",BA95="Direct rLV % whole brain", AY95, BA95="Indirect rLV % whole brain", AY95, BA95="Direct rLV % hemisphere", AY95/2, BA95="Indirect rLV % hemisphere", AY95/2, AND(F95="Mouse", BA95="mm3"), (AY95/508.91)*100, AND(F95="Rat", BA95="mm3"), (AY95/1971)*100, AND(F95="Mouse", BA95="ul"), (AY95/508.91)*100, AND(F95="Rat", BA95="ul"), (AY95/1971)*100,  AND(F95="Mouse", BA95="nl"), (AY95/508910)*100, AND(F95="Rat", BA95="nl"), (AY95/1971000)*100, AND(F95="Mouse", BA95="cm3"), (AY95/0.50891)*100, AND(F95="Rat", BA95="cm3"), (AY95/1.971)*100, AND(F95="Mouse", BA95="mL"), (AY95/0.50891)*100, AND(F95="Rat", BA95="mL"), (AY95/1.971)*100, TRUE, "NA")</f>
        <v>NA</v>
      </c>
      <c r="BE95" cm="1">
        <f t="array" ref="BE95">_xlfn.IFS(AX95="NA", "NA", BB95="NR", "NA", BB95="SD", AX95, BB95="SE", AX95*(SQRT(R95)), BB95="SEM", AX95*(SQRT(R95)), TRUE, "NA")</f>
        <v>16.914786430812537</v>
      </c>
      <c r="BF95" cm="1">
        <f t="array" ref="BF95">_xlfn.IFS(BE95="NA", "NA",BA95="Direct rLV % whole brain", BE95, BA95="Indirect rLV % whole brain", BE95, BA95="Direct rLV % hemisphere", BE95/2, BA95="Indirect rLV % hemisphere", BE95/2, AND(F95="Mouse", BA95="mm3"), (BE95/508.91)*100, AND(F95="Rat", BA95="mm3"), (BE95/1971)*100, AND(F95="Mouse", BA95="ul"), (BE95/508.91)*100, AND(F95="Rat", BA95="ul"), (BE95/1971)*100,  AND(F95="Mouse", BA95="nl"), (BE95/508910)*100, AND(F95="Rat", BA95="nl"), (BE95/1971000)*100, AND(F95="Mouse", BA95="cm3"), (BE95/0.50891)*100, AND(F95="Rat", BA95="cm3"), (BE95/1.971)*100, AND(F95="Mouse", BA95="mL"), (BE95/0.50891)*100, AND(F95="Rat", BA95="mL"), (BE95/1.971)*100, TRUE, "NA")</f>
        <v>8.4573932154062685</v>
      </c>
      <c r="BG95" t="str" cm="1">
        <f t="array" ref="BG95">_xlfn.IFS(AZ95="NA", "NA", BB95="NR", "NA", BB95="SD", AZ95, BB95="SE", AZ95*(SQRT(R95)), BB95="SEM", AZ95*(SQRT(R95)), TRUE, "NA")</f>
        <v>NA</v>
      </c>
      <c r="BH95" s="32" t="s">
        <v>154</v>
      </c>
      <c r="BI95" s="31" t="s">
        <v>154</v>
      </c>
      <c r="BJ95" s="31" t="s">
        <v>154</v>
      </c>
    </row>
    <row r="96" spans="1:63" s="31" customFormat="1" x14ac:dyDescent="0.3">
      <c r="A96" s="31" t="s">
        <v>930</v>
      </c>
      <c r="B96" s="31" t="s">
        <v>921</v>
      </c>
      <c r="C96" s="31">
        <v>2013</v>
      </c>
      <c r="D96" s="31" t="s">
        <v>931</v>
      </c>
      <c r="E96" s="31" t="s">
        <v>678</v>
      </c>
      <c r="F96" s="31" t="s">
        <v>23</v>
      </c>
      <c r="G96" s="31" t="s">
        <v>11</v>
      </c>
      <c r="H96" s="31" t="s">
        <v>34</v>
      </c>
      <c r="I96" s="31" t="s">
        <v>168</v>
      </c>
      <c r="J96" s="31" t="s">
        <v>8</v>
      </c>
      <c r="K96" s="31">
        <v>48</v>
      </c>
      <c r="L96" s="31">
        <f>AVERAGE(K96,M96)</f>
        <v>50</v>
      </c>
      <c r="M96" s="31">
        <v>52</v>
      </c>
      <c r="N96" s="31">
        <v>350</v>
      </c>
      <c r="O96" s="31">
        <f t="shared" si="11"/>
        <v>375</v>
      </c>
      <c r="P96" s="31">
        <v>400</v>
      </c>
      <c r="Q96" s="31">
        <v>1</v>
      </c>
      <c r="R96" s="31">
        <v>11</v>
      </c>
      <c r="S96" s="31" t="s">
        <v>8</v>
      </c>
      <c r="T96" s="31" t="s">
        <v>8</v>
      </c>
      <c r="U96" s="32" t="s">
        <v>71</v>
      </c>
      <c r="V96" s="31" t="s">
        <v>288</v>
      </c>
      <c r="W96" s="31" t="s">
        <v>8</v>
      </c>
      <c r="X96" s="31" t="s">
        <v>12</v>
      </c>
      <c r="Y96" s="31" t="s">
        <v>8</v>
      </c>
      <c r="Z96" s="31" t="s">
        <v>8</v>
      </c>
      <c r="AA96" s="31" t="s">
        <v>648</v>
      </c>
      <c r="AB96" s="31" t="s">
        <v>636</v>
      </c>
      <c r="AC96" s="31" t="s">
        <v>153</v>
      </c>
      <c r="AD96" s="31" t="s">
        <v>610</v>
      </c>
      <c r="AE96" s="31">
        <v>336</v>
      </c>
      <c r="AF96" s="31">
        <v>150</v>
      </c>
      <c r="AG96" s="31" t="s">
        <v>650</v>
      </c>
      <c r="AH96" s="31">
        <v>3</v>
      </c>
      <c r="AI96" cm="1">
        <f t="array" ref="AI96">_xlfn.IFS(AF96="NR", "NA", AG96="NR", "NA", AG96="NA","NA", AND(AG96="mg/ml", AH96&lt;&gt;"NR"), ((AF96/2492)*AH96*1000000), AND(AG96="mol/L", AH96&lt;&gt;"NR"), AF96*AH96*1000000, AG96="nmol", AF96*1000, AND(AG96="nmol/uL", AH96&lt;&gt;"NR"), AF96*AH96*1000, AG96="pg", AF96/2492, AG96="pmol", AF96, AND(AG96="pmol/uL", AH96&lt;&gt;"NR"), AF96*AH96, AG96="ug", AF96/2492*1000000, AND(AG96="ug/mL", AH96&lt;&gt;"NR"), (AF96/1000*AH96)/2492*1000000, AND(AG96="ug/uL", AH96&lt;&gt;"NR"), (AF96*AH96)/2492*1000000, AND(AG96="umol/L", AH96&lt;&gt;"NR"), AH96*AF96, TRUE, "NA")</f>
        <v>150</v>
      </c>
      <c r="AJ96" s="31">
        <v>3</v>
      </c>
      <c r="AK96" s="31">
        <v>1</v>
      </c>
      <c r="AL96" s="31" t="s">
        <v>9</v>
      </c>
      <c r="AM96" s="31" t="s">
        <v>8</v>
      </c>
      <c r="AN96" s="31" t="s">
        <v>9</v>
      </c>
      <c r="AO96" s="32" t="s">
        <v>12</v>
      </c>
      <c r="AP96" s="31" t="s">
        <v>8</v>
      </c>
      <c r="AQ96" s="31" t="s">
        <v>8</v>
      </c>
      <c r="AR96" s="31" t="s">
        <v>8</v>
      </c>
      <c r="AS96" s="32">
        <v>72</v>
      </c>
      <c r="AT96" s="31" t="s">
        <v>270</v>
      </c>
      <c r="AU96" s="31" t="s">
        <v>8</v>
      </c>
      <c r="AV96" s="31" t="s">
        <v>674</v>
      </c>
      <c r="AW96" s="31">
        <v>41</v>
      </c>
      <c r="AX96" s="31">
        <v>3.9</v>
      </c>
      <c r="AY96" s="31" t="s">
        <v>8</v>
      </c>
      <c r="AZ96" s="31" t="s">
        <v>8</v>
      </c>
      <c r="BA96" s="31" t="s">
        <v>203</v>
      </c>
      <c r="BB96" s="31" t="s">
        <v>123</v>
      </c>
      <c r="BC96" cm="1">
        <f t="array" ref="BC96">_xlfn.IFS(BA96="Direct rLV % whole brain", AW96, BA96="Indirect rLV % whole brain", AW96, BA96="Direct rLV % hemisphere", AW96/2, BA96="Indirect rLV % hemisphere", AW96/2, AND(F96="Mouse", BA96="mm3"), (AW96/508.91)*100, AND(F96="Rat", BA96="mm3"), (AW96/1971)*100, AND(F96="Mouse", BA96="ul"), (AW96/508.91)*100, AND(F96="Rat", BA96="ul"), (AW96/1971)*100,  AND(F96="Mouse", BA96="nl"), (AW96/508910)*100, AND(F96="Rat", BA96="nl"), (AW96/1971000)*100, AND(F96="Mouse", BA96="cm3"), (AW96/0.50891)*100, AND(F96="Rat", BA96="cm3"), (AW96/1.971)*100, AND(F96="Mouse", BA96="mL"), (AW96/0.50891)*100, AND(F96="Rat", BA96="mL"), (AW96/1.971)*100, TRUE, "NA")</f>
        <v>20.5</v>
      </c>
      <c r="BD96" t="str" cm="1">
        <f t="array" ref="BD96">_xlfn.IFS(AZ96="NA", "NA",BA96="Direct rLV % whole brain", AY96, BA96="Indirect rLV % whole brain", AY96, BA96="Direct rLV % hemisphere", AY96/2, BA96="Indirect rLV % hemisphere", AY96/2, AND(F96="Mouse", BA96="mm3"), (AY96/508.91)*100, AND(F96="Rat", BA96="mm3"), (AY96/1971)*100, AND(F96="Mouse", BA96="ul"), (AY96/508.91)*100, AND(F96="Rat", BA96="ul"), (AY96/1971)*100,  AND(F96="Mouse", BA96="nl"), (AY96/508910)*100, AND(F96="Rat", BA96="nl"), (AY96/1971000)*100, AND(F96="Mouse", BA96="cm3"), (AY96/0.50891)*100, AND(F96="Rat", BA96="cm3"), (AY96/1.971)*100, AND(F96="Mouse", BA96="mL"), (AY96/0.50891)*100, AND(F96="Rat", BA96="mL"), (AY96/1.971)*100, TRUE, "NA")</f>
        <v>NA</v>
      </c>
      <c r="BE96" cm="1">
        <f t="array" ref="BE96">_xlfn.IFS(AX96="NA", "NA", BB96="NR", "NA", BB96="SD", AX96, BB96="SE", AX96*(SQRT(R96)), BB96="SEM", AX96*(SQRT(R96)), TRUE, "NA")</f>
        <v>12.934836682386059</v>
      </c>
      <c r="BF96" cm="1">
        <f t="array" ref="BF96">_xlfn.IFS(BE96="NA", "NA",BA96="Direct rLV % whole brain", BE96, BA96="Indirect rLV % whole brain", BE96, BA96="Direct rLV % hemisphere", BE96/2, BA96="Indirect rLV % hemisphere", BE96/2, AND(F96="Mouse", BA96="mm3"), (BE96/508.91)*100, AND(F96="Rat", BA96="mm3"), (BE96/1971)*100, AND(F96="Mouse", BA96="ul"), (BE96/508.91)*100, AND(F96="Rat", BA96="ul"), (BE96/1971)*100,  AND(F96="Mouse", BA96="nl"), (BE96/508910)*100, AND(F96="Rat", BA96="nl"), (BE96/1971000)*100, AND(F96="Mouse", BA96="cm3"), (BE96/0.50891)*100, AND(F96="Rat", BA96="cm3"), (BE96/1.971)*100, AND(F96="Mouse", BA96="mL"), (BE96/0.50891)*100, AND(F96="Rat", BA96="mL"), (BE96/1.971)*100, TRUE, "NA")</f>
        <v>6.4674183411930297</v>
      </c>
      <c r="BG96" t="str" cm="1">
        <f t="array" ref="BG96">_xlfn.IFS(AZ96="NA", "NA", BB96="NR", "NA", BB96="SD", AZ96, BB96="SE", AZ96*(SQRT(R96)), BB96="SEM", AZ96*(SQRT(R96)), TRUE, "NA")</f>
        <v>NA</v>
      </c>
      <c r="BH96" s="32" t="s">
        <v>154</v>
      </c>
      <c r="BI96" s="31" t="s">
        <v>154</v>
      </c>
      <c r="BJ96" s="31" t="s">
        <v>154</v>
      </c>
    </row>
    <row r="97" spans="1:63" x14ac:dyDescent="0.3">
      <c r="A97" t="s">
        <v>933</v>
      </c>
      <c r="B97" t="s">
        <v>932</v>
      </c>
      <c r="C97">
        <v>2017</v>
      </c>
      <c r="D97" t="s">
        <v>934</v>
      </c>
      <c r="E97" t="s">
        <v>647</v>
      </c>
      <c r="F97" t="s">
        <v>23</v>
      </c>
      <c r="G97" t="s">
        <v>11</v>
      </c>
      <c r="H97" t="s">
        <v>34</v>
      </c>
      <c r="I97" t="s">
        <v>12</v>
      </c>
      <c r="J97" t="s">
        <v>8</v>
      </c>
      <c r="K97" t="s">
        <v>9</v>
      </c>
      <c r="L97" t="s">
        <v>9</v>
      </c>
      <c r="M97" t="s">
        <v>9</v>
      </c>
      <c r="N97">
        <v>200</v>
      </c>
      <c r="O97">
        <f t="shared" si="11"/>
        <v>225</v>
      </c>
      <c r="P97">
        <v>250</v>
      </c>
      <c r="Q97">
        <v>1</v>
      </c>
      <c r="R97">
        <v>6</v>
      </c>
      <c r="S97">
        <v>1</v>
      </c>
      <c r="T97">
        <v>6</v>
      </c>
      <c r="U97" s="18" t="s">
        <v>68</v>
      </c>
      <c r="V97" t="s">
        <v>96</v>
      </c>
      <c r="W97" t="s">
        <v>8</v>
      </c>
      <c r="X97" t="s">
        <v>68</v>
      </c>
      <c r="Y97" t="s">
        <v>96</v>
      </c>
      <c r="Z97" t="s">
        <v>8</v>
      </c>
      <c r="AA97" t="s">
        <v>640</v>
      </c>
      <c r="AB97" t="s">
        <v>636</v>
      </c>
      <c r="AC97" t="s">
        <v>154</v>
      </c>
      <c r="AD97" t="s">
        <v>634</v>
      </c>
      <c r="AE97">
        <v>0</v>
      </c>
      <c r="AF97">
        <v>0.5</v>
      </c>
      <c r="AG97" t="s">
        <v>580</v>
      </c>
      <c r="AH97">
        <v>2</v>
      </c>
      <c r="AI97" cm="1">
        <f t="array" ref="AI97">_xlfn.IFS(AF97="NR", "NA", AG97="NR", "NA", AG97="NA","NA", AND(AG97="mg/ml", AH97&lt;&gt;"NR"), ((AF97/2492)*AH97*1000000), AND(AG97="mol/L", AH97&lt;&gt;"NR"), AF97*AH97*1000000, AG97="nmol", AF97*1000, AND(AG97="nmol/uL", AH97&lt;&gt;"NR"), AF97*AH97*1000, AG97="pg", AF97/2492, AG97="pmol", AF97, AND(AG97="pmol/uL", AH97&lt;&gt;"NR"), AF97*AH97, AG97="ug", AF97/2492*1000000, AND(AG97="ug/mL", AH97&lt;&gt;"NR"), (AF97/1000*AH97)/2492*1000000, AND(AG97="ug/uL", AH97&lt;&gt;"NR"), (AF97*AH97)/2492*1000000, AND(AG97="umol/L", AH97&lt;&gt;"NR"), AH97*AF97, TRUE, "NA")</f>
        <v>401.2841091492777</v>
      </c>
      <c r="AJ97">
        <v>4</v>
      </c>
      <c r="AK97">
        <v>3</v>
      </c>
      <c r="AL97" t="s">
        <v>9</v>
      </c>
      <c r="AM97" t="s">
        <v>8</v>
      </c>
      <c r="AN97" t="s">
        <v>9</v>
      </c>
      <c r="AO97" s="18" t="s">
        <v>935</v>
      </c>
      <c r="AP97" t="s">
        <v>1228</v>
      </c>
      <c r="AQ97">
        <v>168</v>
      </c>
      <c r="AR97" t="s">
        <v>103</v>
      </c>
      <c r="AS97" s="18">
        <v>792</v>
      </c>
      <c r="AT97" t="s">
        <v>271</v>
      </c>
      <c r="AU97" t="s">
        <v>652</v>
      </c>
      <c r="AV97" t="s">
        <v>674</v>
      </c>
      <c r="AW97">
        <v>126.9</v>
      </c>
      <c r="AX97">
        <v>10.1</v>
      </c>
      <c r="AY97">
        <v>130.80000000000001</v>
      </c>
      <c r="AZ97">
        <v>12.2</v>
      </c>
      <c r="BA97" t="s">
        <v>656</v>
      </c>
      <c r="BB97" t="s">
        <v>122</v>
      </c>
      <c r="BC97" cm="1">
        <f t="array" ref="BC97">_xlfn.IFS(BA97="Direct rLV % whole brain", AW97, BA97="Indirect rLV % whole brain", AW97, BA97="Direct rLV % hemisphere", AW97/2, BA97="Indirect rLV % hemisphere", AW97/2, AND(F97="Mouse", BA97="mm3"), (AW97/508.91)*100, AND(F97="Rat", BA97="mm3"), (AW97/1971)*100, AND(F97="Mouse", BA97="ul"), (AW97/508.91)*100, AND(F97="Rat", BA97="ul"), (AW97/1971)*100,  AND(F97="Mouse", BA97="nl"), (AW97/508910)*100, AND(F97="Rat", BA97="nl"), (AW97/1971000)*100, AND(F97="Mouse", BA97="cm3"), (AW97/0.50891)*100, AND(F97="Rat", BA97="cm3"), (AW97/1.971)*100, AND(F97="Mouse", BA97="mL"), (AW97/0.50891)*100, AND(F97="Rat", BA97="mL"), (AW97/1.971)*100, TRUE, "NA")</f>
        <v>6.4383561643835616</v>
      </c>
      <c r="BD97" cm="1">
        <f t="array" ref="BD97">_xlfn.IFS(AZ97="NA", "NA",BA97="Direct rLV % whole brain", AY97, BA97="Indirect rLV % whole brain", AY97, BA97="Direct rLV % hemisphere", AY97/2, BA97="Indirect rLV % hemisphere", AY97/2, AND(F97="Mouse", BA97="mm3"), (AY97/508.91)*100, AND(F97="Rat", BA97="mm3"), (AY97/1971)*100, AND(F97="Mouse", BA97="ul"), (AY97/508.91)*100, AND(F97="Rat", BA97="ul"), (AY97/1971)*100,  AND(F97="Mouse", BA97="nl"), (AY97/508910)*100, AND(F97="Rat", BA97="nl"), (AY97/1971000)*100, AND(F97="Mouse", BA97="cm3"), (AY97/0.50891)*100, AND(F97="Rat", BA97="cm3"), (AY97/1.971)*100, AND(F97="Mouse", BA97="mL"), (AY97/0.50891)*100, AND(F97="Rat", BA97="mL"), (AY97/1.971)*100, TRUE, "NA")</f>
        <v>6.6362252663622527</v>
      </c>
      <c r="BE97" cm="1">
        <f t="array" ref="BE97">_xlfn.IFS(AX97="NA", "NA", BB97="NR", "NA", BB97="SD", AX97, BB97="SE", AX97*(SQRT(R97)), BB97="SEM", AX97*(SQRT(R97)), TRUE, "NA")</f>
        <v>10.1</v>
      </c>
      <c r="BF97" cm="1">
        <f t="array" ref="BF97">_xlfn.IFS(BE97="NA", "NA",BA97="Direct rLV % whole brain", BE97, BA97="Indirect rLV % whole brain", BE97, BA97="Direct rLV % hemisphere", BE97/2, BA97="Indirect rLV % hemisphere", BE97/2, AND(F97="Mouse", BA97="mm3"), (BE97/508.91)*100, AND(F97="Rat", BA97="mm3"), (BE97/1971)*100, AND(F97="Mouse", BA97="ul"), (BE97/508.91)*100, AND(F97="Rat", BA97="ul"), (BE97/1971)*100,  AND(F97="Mouse", BA97="nl"), (BE97/508910)*100, AND(F97="Rat", BA97="nl"), (BE97/1971000)*100, AND(F97="Mouse", BA97="cm3"), (BE97/0.50891)*100, AND(F97="Rat", BA97="cm3"), (BE97/1.971)*100, AND(F97="Mouse", BA97="mL"), (BE97/0.50891)*100, AND(F97="Rat", BA97="mL"), (BE97/1.971)*100, TRUE, "NA")</f>
        <v>0.51243023845763569</v>
      </c>
      <c r="BG97" cm="1">
        <f t="array" ref="BG97">_xlfn.IFS(AZ97="NA", "NA", BB97="NR", "NA", BB97="SD", AZ97, BB97="SE", AZ97*(SQRT(R97)), BB97="SEM", AZ97*(SQRT(R97)), TRUE, "NA")</f>
        <v>12.2</v>
      </c>
      <c r="BH97" s="18" t="s">
        <v>154</v>
      </c>
      <c r="BI97" t="s">
        <v>153</v>
      </c>
      <c r="BJ97" t="s">
        <v>154</v>
      </c>
    </row>
    <row r="98" spans="1:63" s="31" customFormat="1" x14ac:dyDescent="0.3">
      <c r="A98" s="31" t="s">
        <v>937</v>
      </c>
      <c r="B98" s="31" t="s">
        <v>936</v>
      </c>
      <c r="C98" s="31">
        <v>2018</v>
      </c>
      <c r="D98" s="31" t="s">
        <v>938</v>
      </c>
      <c r="E98" s="31" t="s">
        <v>647</v>
      </c>
      <c r="F98" s="31" t="s">
        <v>23</v>
      </c>
      <c r="G98" s="31" t="s">
        <v>10</v>
      </c>
      <c r="H98" s="31" t="s">
        <v>34</v>
      </c>
      <c r="I98" s="31" t="s">
        <v>12</v>
      </c>
      <c r="J98" s="31" t="s">
        <v>8</v>
      </c>
      <c r="K98" s="31" t="s">
        <v>9</v>
      </c>
      <c r="L98" s="31" t="s">
        <v>9</v>
      </c>
      <c r="M98" s="31" t="s">
        <v>9</v>
      </c>
      <c r="N98" s="31">
        <v>300</v>
      </c>
      <c r="O98" s="31">
        <f>AVERAGE(N98,P98)</f>
        <v>325</v>
      </c>
      <c r="P98" s="31">
        <v>350</v>
      </c>
      <c r="Q98" s="31">
        <v>1</v>
      </c>
      <c r="R98" s="31">
        <v>16</v>
      </c>
      <c r="S98" s="31">
        <v>1</v>
      </c>
      <c r="T98" s="31">
        <v>18</v>
      </c>
      <c r="U98" s="32" t="s">
        <v>68</v>
      </c>
      <c r="V98" s="31" t="s">
        <v>8</v>
      </c>
      <c r="W98" s="31" t="s">
        <v>8</v>
      </c>
      <c r="X98" s="31" t="s">
        <v>12</v>
      </c>
      <c r="Y98" s="31" t="s">
        <v>8</v>
      </c>
      <c r="Z98" s="31" t="s">
        <v>8</v>
      </c>
      <c r="AA98" s="31" t="s">
        <v>648</v>
      </c>
      <c r="AB98" s="31" t="s">
        <v>636</v>
      </c>
      <c r="AC98" s="31" t="s">
        <v>153</v>
      </c>
      <c r="AD98" s="31" t="s">
        <v>610</v>
      </c>
      <c r="AE98" s="31">
        <v>168</v>
      </c>
      <c r="AF98" s="31">
        <v>120</v>
      </c>
      <c r="AG98" s="31" t="s">
        <v>650</v>
      </c>
      <c r="AH98" s="31">
        <v>6</v>
      </c>
      <c r="AI98" cm="1">
        <f t="array" ref="AI98">_xlfn.IFS(AF98="NR", "NA", AG98="NR", "NA", AG98="NA","NA", AND(AG98="mg/ml", AH98&lt;&gt;"NR"), ((AF98/2492)*AH98*1000000), AND(AG98="mol/L", AH98&lt;&gt;"NR"), AF98*AH98*1000000, AG98="nmol", AF98*1000, AND(AG98="nmol/uL", AH98&lt;&gt;"NR"), AF98*AH98*1000, AG98="pg", AF98/2492, AG98="pmol", AF98, AND(AG98="pmol/uL", AH98&lt;&gt;"NR"), AF98*AH98, AG98="ug", AF98/2492*1000000, AND(AG98="ug/mL", AH98&lt;&gt;"NR"), (AF98/1000*AH98)/2492*1000000, AND(AG98="ug/uL", AH98&lt;&gt;"NR"), (AF98*AH98)/2492*1000000, AND(AG98="umol/L", AH98&lt;&gt;"NR"), AH98*AF98, TRUE, "NA")</f>
        <v>120</v>
      </c>
      <c r="AJ98" s="31">
        <v>6</v>
      </c>
      <c r="AK98" s="31">
        <v>1</v>
      </c>
      <c r="AL98" s="31" t="s">
        <v>9</v>
      </c>
      <c r="AM98" s="31" t="s">
        <v>8</v>
      </c>
      <c r="AN98" s="31" t="s">
        <v>9</v>
      </c>
      <c r="AO98" s="32" t="s">
        <v>388</v>
      </c>
      <c r="AP98" t="s">
        <v>1228</v>
      </c>
      <c r="AQ98" s="31">
        <v>24</v>
      </c>
      <c r="AR98" s="31" t="s">
        <v>103</v>
      </c>
      <c r="AS98" s="32">
        <v>144</v>
      </c>
      <c r="AT98" s="31" t="s">
        <v>271</v>
      </c>
      <c r="AU98" s="31" t="s">
        <v>653</v>
      </c>
      <c r="AV98" s="31" t="s">
        <v>733</v>
      </c>
      <c r="AW98" s="31">
        <v>19.7</v>
      </c>
      <c r="AX98" s="31">
        <v>3.08</v>
      </c>
      <c r="AY98" s="31">
        <v>5.84</v>
      </c>
      <c r="AZ98" s="31">
        <v>1.18</v>
      </c>
      <c r="BA98" s="31" t="s">
        <v>656</v>
      </c>
      <c r="BB98" s="31" t="s">
        <v>123</v>
      </c>
      <c r="BC98" cm="1">
        <f t="array" ref="BC98">_xlfn.IFS(BA98="Direct rLV % whole brain", AW98, BA98="Indirect rLV % whole brain", AW98, BA98="Direct rLV % hemisphere", AW98/2, BA98="Indirect rLV % hemisphere", AW98/2, AND(F98="Mouse", BA98="mm3"), (AW98/508.91)*100, AND(F98="Rat", BA98="mm3"), (AW98/1971)*100, AND(F98="Mouse", BA98="ul"), (AW98/508.91)*100, AND(F98="Rat", BA98="ul"), (AW98/1971)*100,  AND(F98="Mouse", BA98="nl"), (AW98/508910)*100, AND(F98="Rat", BA98="nl"), (AW98/1971000)*100, AND(F98="Mouse", BA98="cm3"), (AW98/0.50891)*100, AND(F98="Rat", BA98="cm3"), (AW98/1.971)*100, AND(F98="Mouse", BA98="mL"), (AW98/0.50891)*100, AND(F98="Rat", BA98="mL"), (AW98/1.971)*100, TRUE, "NA")</f>
        <v>0.99949264332825971</v>
      </c>
      <c r="BD98" cm="1">
        <f t="array" ref="BD98">_xlfn.IFS(AZ98="NA", "NA",BA98="Direct rLV % whole brain", AY98, BA98="Indirect rLV % whole brain", AY98, BA98="Direct rLV % hemisphere", AY98/2, BA98="Indirect rLV % hemisphere", AY98/2, AND(F98="Mouse", BA98="mm3"), (AY98/508.91)*100, AND(F98="Rat", BA98="mm3"), (AY98/1971)*100, AND(F98="Mouse", BA98="ul"), (AY98/508.91)*100, AND(F98="Rat", BA98="ul"), (AY98/1971)*100,  AND(F98="Mouse", BA98="nl"), (AY98/508910)*100, AND(F98="Rat", BA98="nl"), (AY98/1971000)*100, AND(F98="Mouse", BA98="cm3"), (AY98/0.50891)*100, AND(F98="Rat", BA98="cm3"), (AY98/1.971)*100, AND(F98="Mouse", BA98="mL"), (AY98/0.50891)*100, AND(F98="Rat", BA98="mL"), (AY98/1.971)*100, TRUE, "NA")</f>
        <v>0.29629629629629628</v>
      </c>
      <c r="BE98" cm="1">
        <f t="array" ref="BE98">_xlfn.IFS(AX98="NA", "NA", BB98="NR", "NA", BB98="SD", AX98, BB98="SE", AX98*(SQRT(R98)), BB98="SEM", AX98*(SQRT(R98)), TRUE, "NA")</f>
        <v>12.32</v>
      </c>
      <c r="BF98" cm="1">
        <f t="array" ref="BF98">_xlfn.IFS(BE98="NA", "NA",BA98="Direct rLV % whole brain", BE98, BA98="Indirect rLV % whole brain", BE98, BA98="Direct rLV % hemisphere", BE98/2, BA98="Indirect rLV % hemisphere", BE98/2, AND(F98="Mouse", BA98="mm3"), (BE98/508.91)*100, AND(F98="Rat", BA98="mm3"), (BE98/1971)*100, AND(F98="Mouse", BA98="ul"), (BE98/508.91)*100, AND(F98="Rat", BA98="ul"), (BE98/1971)*100,  AND(F98="Mouse", BA98="nl"), (BE98/508910)*100, AND(F98="Rat", BA98="nl"), (BE98/1971000)*100, AND(F98="Mouse", BA98="cm3"), (BE98/0.50891)*100, AND(F98="Rat", BA98="cm3"), (BE98/1.971)*100, AND(F98="Mouse", BA98="mL"), (BE98/0.50891)*100, AND(F98="Rat", BA98="mL"), (BE98/1.971)*100, TRUE, "NA")</f>
        <v>0.62506341958396761</v>
      </c>
      <c r="BG98" cm="1">
        <f t="array" ref="BG98">_xlfn.IFS(AZ98="NA", "NA", BB98="NR", "NA", BB98="SD", AZ98, BB98="SE", AZ98*(SQRT(R98)), BB98="SEM", AZ98*(SQRT(R98)), TRUE, "NA")</f>
        <v>4.72</v>
      </c>
      <c r="BH98" s="32" t="s">
        <v>154</v>
      </c>
      <c r="BI98" s="31" t="s">
        <v>153</v>
      </c>
      <c r="BJ98" s="31" t="s">
        <v>154</v>
      </c>
    </row>
    <row r="99" spans="1:63" x14ac:dyDescent="0.3">
      <c r="A99" t="s">
        <v>940</v>
      </c>
      <c r="B99" t="s">
        <v>939</v>
      </c>
      <c r="C99">
        <v>2015</v>
      </c>
      <c r="D99" t="s">
        <v>941</v>
      </c>
      <c r="E99" t="s">
        <v>647</v>
      </c>
      <c r="F99" t="s">
        <v>23</v>
      </c>
      <c r="G99" t="s">
        <v>47</v>
      </c>
      <c r="H99" t="s">
        <v>34</v>
      </c>
      <c r="I99" t="s">
        <v>12</v>
      </c>
      <c r="J99" t="s">
        <v>8</v>
      </c>
      <c r="K99" t="s">
        <v>9</v>
      </c>
      <c r="L99" t="s">
        <v>9</v>
      </c>
      <c r="M99" t="s">
        <v>9</v>
      </c>
      <c r="N99">
        <v>300</v>
      </c>
      <c r="O99">
        <f t="shared" ref="O99:O101" si="12">AVERAGE(N99,P99)</f>
        <v>350</v>
      </c>
      <c r="P99">
        <v>400</v>
      </c>
      <c r="Q99">
        <v>1</v>
      </c>
      <c r="R99">
        <v>6</v>
      </c>
      <c r="S99">
        <v>1</v>
      </c>
      <c r="T99">
        <v>7</v>
      </c>
      <c r="U99" s="18" t="s">
        <v>68</v>
      </c>
      <c r="V99" t="s">
        <v>71</v>
      </c>
      <c r="W99" t="s">
        <v>288</v>
      </c>
      <c r="X99" t="s">
        <v>68</v>
      </c>
      <c r="Y99" t="s">
        <v>71</v>
      </c>
      <c r="Z99" t="s">
        <v>288</v>
      </c>
      <c r="AA99" t="s">
        <v>640</v>
      </c>
      <c r="AB99" t="s">
        <v>636</v>
      </c>
      <c r="AC99" t="s">
        <v>154</v>
      </c>
      <c r="AD99" t="s">
        <v>634</v>
      </c>
      <c r="AE99">
        <v>0</v>
      </c>
      <c r="AF99">
        <v>0.3</v>
      </c>
      <c r="AG99" t="s">
        <v>162</v>
      </c>
      <c r="AH99">
        <v>2</v>
      </c>
      <c r="AI99" cm="1">
        <f t="array" ref="AI99">_xlfn.IFS(AF99="NR", "NA", AG99="NR", "NA", AG99="NA","NA", AND(AG99="mg/ml", AH99&lt;&gt;"NR"), ((AF99/2492)*AH99*1000000), AND(AG99="mol/L", AH99&lt;&gt;"NR"), AF99*AH99*1000000, AG99="nmol", AF99*1000, AND(AG99="nmol/uL", AH99&lt;&gt;"NR"), AF99*AH99*1000, AG99="pg", AF99/2492, AG99="pmol", AF99, AND(AG99="pmol/uL", AH99&lt;&gt;"NR"), AF99*AH99, AG99="ug", AF99/2492*1000000, AND(AG99="ug/mL", AH99&lt;&gt;"NR"), (AF99/1000*AH99)/2492*1000000, AND(AG99="ug/uL", AH99&lt;&gt;"NR"), (AF99*AH99)/2492*1000000, AND(AG99="umol/L", AH99&lt;&gt;"NR"), AH99*AF99, TRUE, "NA")</f>
        <v>240.77046548956662</v>
      </c>
      <c r="AJ99" t="s">
        <v>9</v>
      </c>
      <c r="AK99">
        <v>6</v>
      </c>
      <c r="AL99" t="s">
        <v>9</v>
      </c>
      <c r="AM99" t="s">
        <v>8</v>
      </c>
      <c r="AN99" t="s">
        <v>9</v>
      </c>
      <c r="AO99" s="18" t="s">
        <v>773</v>
      </c>
      <c r="AP99" t="s">
        <v>1228</v>
      </c>
      <c r="AQ99">
        <v>192</v>
      </c>
      <c r="AR99" t="s">
        <v>103</v>
      </c>
      <c r="AS99" s="18">
        <v>912</v>
      </c>
      <c r="AT99" t="s">
        <v>271</v>
      </c>
      <c r="AU99" t="s">
        <v>652</v>
      </c>
      <c r="AV99">
        <v>6.54E-2</v>
      </c>
      <c r="AW99">
        <v>8.91</v>
      </c>
      <c r="AX99">
        <v>2.1</v>
      </c>
      <c r="AY99">
        <v>14.17</v>
      </c>
      <c r="AZ99">
        <v>0.82</v>
      </c>
      <c r="BA99" t="s">
        <v>656</v>
      </c>
      <c r="BB99" t="s">
        <v>123</v>
      </c>
      <c r="BC99" cm="1">
        <f t="array" ref="BC99">_xlfn.IFS(BA99="Direct rLV % whole brain", AW99, BA99="Indirect rLV % whole brain", AW99, BA99="Direct rLV % hemisphere", AW99/2, BA99="Indirect rLV % hemisphere", AW99/2, AND(F99="Mouse", BA99="mm3"), (AW99/508.91)*100, AND(F99="Rat", BA99="mm3"), (AW99/1971)*100, AND(F99="Mouse", BA99="ul"), (AW99/508.91)*100, AND(F99="Rat", BA99="ul"), (AW99/1971)*100,  AND(F99="Mouse", BA99="nl"), (AW99/508910)*100, AND(F99="Rat", BA99="nl"), (AW99/1971000)*100, AND(F99="Mouse", BA99="cm3"), (AW99/0.50891)*100, AND(F99="Rat", BA99="cm3"), (AW99/1.971)*100, AND(F99="Mouse", BA99="mL"), (AW99/0.50891)*100, AND(F99="Rat", BA99="mL"), (AW99/1.971)*100, TRUE, "NA")</f>
        <v>0.45205479452054798</v>
      </c>
      <c r="BD99" cm="1">
        <f t="array" ref="BD99">_xlfn.IFS(AZ99="NA", "NA",BA99="Direct rLV % whole brain", AY99, BA99="Indirect rLV % whole brain", AY99, BA99="Direct rLV % hemisphere", AY99/2, BA99="Indirect rLV % hemisphere", AY99/2, AND(F99="Mouse", BA99="mm3"), (AY99/508.91)*100, AND(F99="Rat", BA99="mm3"), (AY99/1971)*100, AND(F99="Mouse", BA99="ul"), (AY99/508.91)*100, AND(F99="Rat", BA99="ul"), (AY99/1971)*100,  AND(F99="Mouse", BA99="nl"), (AY99/508910)*100, AND(F99="Rat", BA99="nl"), (AY99/1971000)*100, AND(F99="Mouse", BA99="cm3"), (AY99/0.50891)*100, AND(F99="Rat", BA99="cm3"), (AY99/1.971)*100, AND(F99="Mouse", BA99="mL"), (AY99/0.50891)*100, AND(F99="Rat", BA99="mL"), (AY99/1.971)*100, TRUE, "NA")</f>
        <v>0.71892440385591072</v>
      </c>
      <c r="BE99" cm="1">
        <f t="array" ref="BE99">_xlfn.IFS(AX99="NA", "NA", BB99="NR", "NA", BB99="SD", AX99, BB99="SE", AX99*(SQRT(R99)), BB99="SEM", AX99*(SQRT(R99)), TRUE, "NA")</f>
        <v>5.1439284598446742</v>
      </c>
      <c r="BF99" cm="1">
        <f t="array" ref="BF99">_xlfn.IFS(BE99="NA", "NA",BA99="Direct rLV % whole brain", BE99, BA99="Indirect rLV % whole brain", BE99, BA99="Direct rLV % hemisphere", BE99/2, BA99="Indirect rLV % hemisphere", BE99/2, AND(F99="Mouse", BA99="mm3"), (BE99/508.91)*100, AND(F99="Rat", BA99="mm3"), (BE99/1971)*100, AND(F99="Mouse", BA99="ul"), (BE99/508.91)*100, AND(F99="Rat", BA99="ul"), (BE99/1971)*100,  AND(F99="Mouse", BA99="nl"), (BE99/508910)*100, AND(F99="Rat", BA99="nl"), (BE99/1971000)*100, AND(F99="Mouse", BA99="cm3"), (BE99/0.50891)*100, AND(F99="Rat", BA99="cm3"), (BE99/1.971)*100, AND(F99="Mouse", BA99="mL"), (BE99/0.50891)*100, AND(F99="Rat", BA99="mL"), (BE99/1.971)*100, TRUE, "NA")</f>
        <v>0.26098064230566587</v>
      </c>
      <c r="BG99" cm="1">
        <f t="array" ref="BG99">_xlfn.IFS(AZ99="NA", "NA", BB99="NR", "NA", BB99="SD", AZ99, BB99="SE", AZ99*(SQRT(R99)), BB99="SEM", AZ99*(SQRT(R99)), TRUE, "NA")</f>
        <v>2.0085815890822056</v>
      </c>
      <c r="BH99" s="18" t="s">
        <v>153</v>
      </c>
      <c r="BI99" t="s">
        <v>154</v>
      </c>
      <c r="BJ99" t="s">
        <v>154</v>
      </c>
    </row>
    <row r="100" spans="1:63" s="31" customFormat="1" x14ac:dyDescent="0.3">
      <c r="A100" s="31" t="s">
        <v>947</v>
      </c>
      <c r="B100" s="31" t="s">
        <v>942</v>
      </c>
      <c r="C100" s="31">
        <v>2000</v>
      </c>
      <c r="D100" s="31" t="s">
        <v>943</v>
      </c>
      <c r="E100" s="31" t="s">
        <v>647</v>
      </c>
      <c r="F100" s="31" t="s">
        <v>23</v>
      </c>
      <c r="G100" s="31" t="s">
        <v>10</v>
      </c>
      <c r="H100" s="31" t="s">
        <v>34</v>
      </c>
      <c r="I100" s="31" t="s">
        <v>12</v>
      </c>
      <c r="J100" s="31" t="s">
        <v>8</v>
      </c>
      <c r="K100" s="31" t="s">
        <v>9</v>
      </c>
      <c r="L100" s="31" t="s">
        <v>9</v>
      </c>
      <c r="M100" s="31" t="s">
        <v>9</v>
      </c>
      <c r="N100" s="31">
        <v>280</v>
      </c>
      <c r="O100" s="31">
        <f t="shared" si="12"/>
        <v>300</v>
      </c>
      <c r="P100" s="31">
        <v>320</v>
      </c>
      <c r="Q100" s="31">
        <v>1</v>
      </c>
      <c r="R100" s="31">
        <v>11</v>
      </c>
      <c r="S100" s="31">
        <v>2</v>
      </c>
      <c r="T100" s="31">
        <v>11</v>
      </c>
      <c r="U100" s="32" t="s">
        <v>66</v>
      </c>
      <c r="V100" s="31" t="s">
        <v>8</v>
      </c>
      <c r="W100" s="31" t="s">
        <v>8</v>
      </c>
      <c r="X100" s="31" t="s">
        <v>66</v>
      </c>
      <c r="Y100" s="31" t="s">
        <v>8</v>
      </c>
      <c r="Z100" s="31" t="s">
        <v>8</v>
      </c>
      <c r="AA100" s="31" t="s">
        <v>648</v>
      </c>
      <c r="AB100" s="31" t="s">
        <v>636</v>
      </c>
      <c r="AC100" s="31" t="s">
        <v>153</v>
      </c>
      <c r="AD100" s="31" t="s">
        <v>634</v>
      </c>
      <c r="AE100" s="31">
        <v>0</v>
      </c>
      <c r="AF100" s="31">
        <v>200</v>
      </c>
      <c r="AG100" s="31" t="s">
        <v>650</v>
      </c>
      <c r="AH100" s="31">
        <v>3</v>
      </c>
      <c r="AI100" cm="1">
        <f t="array" ref="AI100">_xlfn.IFS(AF100="NR", "NA", AG100="NR", "NA", AG100="NA","NA", AND(AG100="mg/ml", AH100&lt;&gt;"NR"), ((AF100/2492)*AH100*1000000), AND(AG100="mol/L", AH100&lt;&gt;"NR"), AF100*AH100*1000000, AG100="nmol", AF100*1000, AND(AG100="nmol/uL", AH100&lt;&gt;"NR"), AF100*AH100*1000, AG100="pg", AF100/2492, AG100="pmol", AF100, AND(AG100="pmol/uL", AH100&lt;&gt;"NR"), AF100*AH100, AG100="ug", AF100/2492*1000000, AND(AG100="ug/mL", AH100&lt;&gt;"NR"), (AF100/1000*AH100)/2492*1000000, AND(AG100="ug/uL", AH100&lt;&gt;"NR"), (AF100*AH100)/2492*1000000, AND(AG100="umol/L", AH100&lt;&gt;"NR"), AH100*AF100, TRUE, "NA")</f>
        <v>200</v>
      </c>
      <c r="AJ100" s="31">
        <v>3.5</v>
      </c>
      <c r="AK100" s="31">
        <v>1</v>
      </c>
      <c r="AL100" s="31" t="s">
        <v>9</v>
      </c>
      <c r="AM100" s="31" t="s">
        <v>8</v>
      </c>
      <c r="AN100" s="31" t="s">
        <v>9</v>
      </c>
      <c r="AO100" s="32" t="s">
        <v>944</v>
      </c>
      <c r="AP100" t="s">
        <v>1228</v>
      </c>
      <c r="AQ100" s="31">
        <v>0</v>
      </c>
      <c r="AR100" s="31" t="s">
        <v>102</v>
      </c>
      <c r="AS100" s="32">
        <v>72</v>
      </c>
      <c r="AT100" s="31" t="s">
        <v>270</v>
      </c>
      <c r="AU100" s="31" t="s">
        <v>8</v>
      </c>
      <c r="AV100" s="31" t="s">
        <v>679</v>
      </c>
      <c r="AW100" s="31">
        <v>217.9</v>
      </c>
      <c r="AX100" s="31">
        <v>13.03</v>
      </c>
      <c r="AY100" s="31">
        <v>140.83000000000001</v>
      </c>
      <c r="AZ100" s="31">
        <v>22.1</v>
      </c>
      <c r="BA100" s="31" t="s">
        <v>656</v>
      </c>
      <c r="BB100" s="31" t="s">
        <v>123</v>
      </c>
      <c r="BC100" cm="1">
        <f t="array" ref="BC100">_xlfn.IFS(BA100="Direct rLV % whole brain", AW100, BA100="Indirect rLV % whole brain", AW100, BA100="Direct rLV % hemisphere", AW100/2, BA100="Indirect rLV % hemisphere", AW100/2, AND(F100="Mouse", BA100="mm3"), (AW100/508.91)*100, AND(F100="Rat", BA100="mm3"), (AW100/1971)*100, AND(F100="Mouse", BA100="ul"), (AW100/508.91)*100, AND(F100="Rat", BA100="ul"), (AW100/1971)*100,  AND(F100="Mouse", BA100="nl"), (AW100/508910)*100, AND(F100="Rat", BA100="nl"), (AW100/1971000)*100, AND(F100="Mouse", BA100="cm3"), (AW100/0.50891)*100, AND(F100="Rat", BA100="cm3"), (AW100/1.971)*100, AND(F100="Mouse", BA100="mL"), (AW100/0.50891)*100, AND(F100="Rat", BA100="mL"), (AW100/1.971)*100, TRUE, "NA")</f>
        <v>11.055301877219685</v>
      </c>
      <c r="BD100" cm="1">
        <f t="array" ref="BD100">_xlfn.IFS(AZ100="NA", "NA",BA100="Direct rLV % whole brain", AY100, BA100="Indirect rLV % whole brain", AY100, BA100="Direct rLV % hemisphere", AY100/2, BA100="Indirect rLV % hemisphere", AY100/2, AND(F100="Mouse", BA100="mm3"), (AY100/508.91)*100, AND(F100="Rat", BA100="mm3"), (AY100/1971)*100, AND(F100="Mouse", BA100="ul"), (AY100/508.91)*100, AND(F100="Rat", BA100="ul"), (AY100/1971)*100,  AND(F100="Mouse", BA100="nl"), (AY100/508910)*100, AND(F100="Rat", BA100="nl"), (AY100/1971000)*100, AND(F100="Mouse", BA100="cm3"), (AY100/0.50891)*100, AND(F100="Rat", BA100="cm3"), (AY100/1.971)*100, AND(F100="Mouse", BA100="mL"), (AY100/0.50891)*100, AND(F100="Rat", BA100="mL"), (AY100/1.971)*100, TRUE, "NA")</f>
        <v>7.1451040081177073</v>
      </c>
      <c r="BE100" cm="1">
        <f t="array" ref="BE100">_xlfn.IFS(AX100="NA", "NA", BB100="NR", "NA", BB100="SD", AX100, BB100="SE", AX100*(SQRT(R100)), BB100="SEM", AX100*(SQRT(R100)), TRUE, "NA")</f>
        <v>43.215621018330857</v>
      </c>
      <c r="BF100" cm="1">
        <f t="array" ref="BF100">_xlfn.IFS(BE100="NA", "NA",BA100="Direct rLV % whole brain", BE100, BA100="Indirect rLV % whole brain", BE100, BA100="Direct rLV % hemisphere", BE100/2, BA100="Indirect rLV % hemisphere", BE100/2, AND(F100="Mouse", BA100="mm3"), (BE100/508.91)*100, AND(F100="Rat", BA100="mm3"), (BE100/1971)*100, AND(F100="Mouse", BA100="ul"), (BE100/508.91)*100, AND(F100="Rat", BA100="ul"), (BE100/1971)*100,  AND(F100="Mouse", BA100="nl"), (BE100/508910)*100, AND(F100="Rat", BA100="nl"), (BE100/1971000)*100, AND(F100="Mouse", BA100="cm3"), (BE100/0.50891)*100, AND(F100="Rat", BA100="cm3"), (BE100/1.971)*100, AND(F100="Mouse", BA100="mL"), (BE100/0.50891)*100, AND(F100="Rat", BA100="mL"), (BE100/1.971)*100, TRUE, "NA")</f>
        <v>2.1925733647047618</v>
      </c>
      <c r="BG100" cm="1">
        <f t="array" ref="BG100">_xlfn.IFS(AZ100="NA", "NA", BB100="NR", "NA", BB100="SD", AZ100, BB100="SE", AZ100*(SQRT(R100)), BB100="SEM", AZ100*(SQRT(R100)), TRUE, "NA")</f>
        <v>73.297407866854343</v>
      </c>
      <c r="BH100" s="32" t="s">
        <v>154</v>
      </c>
      <c r="BI100" s="31" t="s">
        <v>153</v>
      </c>
      <c r="BJ100" s="31" t="s">
        <v>154</v>
      </c>
    </row>
    <row r="101" spans="1:63" s="31" customFormat="1" x14ac:dyDescent="0.3">
      <c r="A101" s="31" t="s">
        <v>947</v>
      </c>
      <c r="B101" s="31" t="s">
        <v>942</v>
      </c>
      <c r="C101" s="31">
        <v>2000</v>
      </c>
      <c r="D101" s="31" t="s">
        <v>943</v>
      </c>
      <c r="E101" s="31" t="s">
        <v>678</v>
      </c>
      <c r="F101" s="31" t="s">
        <v>23</v>
      </c>
      <c r="G101" s="31" t="s">
        <v>10</v>
      </c>
      <c r="H101" s="31" t="s">
        <v>34</v>
      </c>
      <c r="I101" s="31" t="s">
        <v>12</v>
      </c>
      <c r="J101" s="31" t="s">
        <v>8</v>
      </c>
      <c r="K101" s="31" t="s">
        <v>9</v>
      </c>
      <c r="L101" s="31" t="s">
        <v>9</v>
      </c>
      <c r="M101" s="31" t="s">
        <v>9</v>
      </c>
      <c r="N101" s="31">
        <v>280</v>
      </c>
      <c r="O101" s="31">
        <f t="shared" si="12"/>
        <v>300</v>
      </c>
      <c r="P101" s="31">
        <v>320</v>
      </c>
      <c r="Q101" s="31">
        <v>1</v>
      </c>
      <c r="R101" s="31">
        <v>11</v>
      </c>
      <c r="S101" s="31">
        <v>2</v>
      </c>
      <c r="T101" s="31">
        <v>11</v>
      </c>
      <c r="U101" s="32" t="s">
        <v>66</v>
      </c>
      <c r="V101" s="31" t="s">
        <v>8</v>
      </c>
      <c r="W101" s="31" t="s">
        <v>8</v>
      </c>
      <c r="X101" s="31" t="s">
        <v>66</v>
      </c>
      <c r="Y101" s="31" t="s">
        <v>8</v>
      </c>
      <c r="Z101" s="31" t="s">
        <v>8</v>
      </c>
      <c r="AA101" s="31" t="s">
        <v>648</v>
      </c>
      <c r="AB101" s="31" t="s">
        <v>636</v>
      </c>
      <c r="AC101" s="31" t="s">
        <v>153</v>
      </c>
      <c r="AD101" s="31" t="s">
        <v>634</v>
      </c>
      <c r="AE101" s="31">
        <v>0</v>
      </c>
      <c r="AF101" s="31">
        <v>200</v>
      </c>
      <c r="AG101" s="31" t="s">
        <v>650</v>
      </c>
      <c r="AH101" s="31">
        <v>3</v>
      </c>
      <c r="AI101" cm="1">
        <f t="array" ref="AI101">_xlfn.IFS(AF101="NR", "NA", AG101="NR", "NA", AG101="NA","NA", AND(AG101="mg/ml", AH101&lt;&gt;"NR"), ((AF101/2492)*AH101*1000000), AND(AG101="mol/L", AH101&lt;&gt;"NR"), AF101*AH101*1000000, AG101="nmol", AF101*1000, AND(AG101="nmol/uL", AH101&lt;&gt;"NR"), AF101*AH101*1000, AG101="pg", AF101/2492, AG101="pmol", AF101, AND(AG101="pmol/uL", AH101&lt;&gt;"NR"), AF101*AH101, AG101="ug", AF101/2492*1000000, AND(AG101="ug/mL", AH101&lt;&gt;"NR"), (AF101/1000*AH101)/2492*1000000, AND(AG101="ug/uL", AH101&lt;&gt;"NR"), (AF101*AH101)/2492*1000000, AND(AG101="umol/L", AH101&lt;&gt;"NR"), AH101*AF101, TRUE, "NA")</f>
        <v>200</v>
      </c>
      <c r="AJ101" s="31">
        <v>3.5</v>
      </c>
      <c r="AK101" s="31">
        <v>1</v>
      </c>
      <c r="AL101" s="31" t="s">
        <v>9</v>
      </c>
      <c r="AM101" s="31" t="s">
        <v>8</v>
      </c>
      <c r="AN101" s="31" t="s">
        <v>9</v>
      </c>
      <c r="AO101" s="32" t="s">
        <v>945</v>
      </c>
      <c r="AP101" t="s">
        <v>1228</v>
      </c>
      <c r="AQ101" s="31">
        <v>0</v>
      </c>
      <c r="AR101" s="31" t="s">
        <v>102</v>
      </c>
      <c r="AS101" s="32">
        <v>72</v>
      </c>
      <c r="AT101" s="31" t="s">
        <v>270</v>
      </c>
      <c r="AU101" s="31" t="s">
        <v>8</v>
      </c>
      <c r="AV101" s="31" t="s">
        <v>728</v>
      </c>
      <c r="AW101" s="31">
        <v>217.9</v>
      </c>
      <c r="AX101" s="31">
        <v>13.03</v>
      </c>
      <c r="AY101" s="31">
        <v>119.29</v>
      </c>
      <c r="AZ101" s="31">
        <v>18.14</v>
      </c>
      <c r="BA101" s="31" t="s">
        <v>656</v>
      </c>
      <c r="BB101" s="31" t="s">
        <v>123</v>
      </c>
      <c r="BC101" cm="1">
        <f t="array" ref="BC101">_xlfn.IFS(BA101="Direct rLV % whole brain", AW101, BA101="Indirect rLV % whole brain", AW101, BA101="Direct rLV % hemisphere", AW101/2, BA101="Indirect rLV % hemisphere", AW101/2, AND(F101="Mouse", BA101="mm3"), (AW101/508.91)*100, AND(F101="Rat", BA101="mm3"), (AW101/1971)*100, AND(F101="Mouse", BA101="ul"), (AW101/508.91)*100, AND(F101="Rat", BA101="ul"), (AW101/1971)*100,  AND(F101="Mouse", BA101="nl"), (AW101/508910)*100, AND(F101="Rat", BA101="nl"), (AW101/1971000)*100, AND(F101="Mouse", BA101="cm3"), (AW101/0.50891)*100, AND(F101="Rat", BA101="cm3"), (AW101/1.971)*100, AND(F101="Mouse", BA101="mL"), (AW101/0.50891)*100, AND(F101="Rat", BA101="mL"), (AW101/1.971)*100, TRUE, "NA")</f>
        <v>11.055301877219685</v>
      </c>
      <c r="BD101" cm="1">
        <f t="array" ref="BD101">_xlfn.IFS(AZ101="NA", "NA",BA101="Direct rLV % whole brain", AY101, BA101="Indirect rLV % whole brain", AY101, BA101="Direct rLV % hemisphere", AY101/2, BA101="Indirect rLV % hemisphere", AY101/2, AND(F101="Mouse", BA101="mm3"), (AY101/508.91)*100, AND(F101="Rat", BA101="mm3"), (AY101/1971)*100, AND(F101="Mouse", BA101="ul"), (AY101/508.91)*100, AND(F101="Rat", BA101="ul"), (AY101/1971)*100,  AND(F101="Mouse", BA101="nl"), (AY101/508910)*100, AND(F101="Rat", BA101="nl"), (AY101/1971000)*100, AND(F101="Mouse", BA101="cm3"), (AY101/0.50891)*100, AND(F101="Rat", BA101="cm3"), (AY101/1.971)*100, AND(F101="Mouse", BA101="mL"), (AY101/0.50891)*100, AND(F101="Rat", BA101="mL"), (AY101/1.971)*100, TRUE, "NA")</f>
        <v>6.0522577371892439</v>
      </c>
      <c r="BE101" cm="1">
        <f t="array" ref="BE101">_xlfn.IFS(AX101="NA", "NA", BB101="NR", "NA", BB101="SD", AX101, BB101="SE", AX101*(SQRT(R101)), BB101="SEM", AX101*(SQRT(R101)), TRUE, "NA")</f>
        <v>43.215621018330857</v>
      </c>
      <c r="BF101" cm="1">
        <f t="array" ref="BF101">_xlfn.IFS(BE101="NA", "NA",BA101="Direct rLV % whole brain", BE101, BA101="Indirect rLV % whole brain", BE101, BA101="Direct rLV % hemisphere", BE101/2, BA101="Indirect rLV % hemisphere", BE101/2, AND(F101="Mouse", BA101="mm3"), (BE101/508.91)*100, AND(F101="Rat", BA101="mm3"), (BE101/1971)*100, AND(F101="Mouse", BA101="ul"), (BE101/508.91)*100, AND(F101="Rat", BA101="ul"), (BE101/1971)*100,  AND(F101="Mouse", BA101="nl"), (BE101/508910)*100, AND(F101="Rat", BA101="nl"), (BE101/1971000)*100, AND(F101="Mouse", BA101="cm3"), (BE101/0.50891)*100, AND(F101="Rat", BA101="cm3"), (BE101/1.971)*100, AND(F101="Mouse", BA101="mL"), (BE101/0.50891)*100, AND(F101="Rat", BA101="mL"), (BE101/1.971)*100, TRUE, "NA")</f>
        <v>2.1925733647047618</v>
      </c>
      <c r="BG101" cm="1">
        <f t="array" ref="BG101">_xlfn.IFS(AZ101="NA", "NA", BB101="NR", "NA", BB101="SD", AZ101, BB101="SE", AZ101*(SQRT(R101)), BB101="SEM", AZ101*(SQRT(R101)), TRUE, "NA")</f>
        <v>60.163573697046957</v>
      </c>
      <c r="BH101" s="32" t="s">
        <v>154</v>
      </c>
      <c r="BI101" s="31" t="s">
        <v>153</v>
      </c>
      <c r="BJ101" s="31" t="s">
        <v>154</v>
      </c>
    </row>
    <row r="102" spans="1:63" x14ac:dyDescent="0.3">
      <c r="A102" t="s">
        <v>946</v>
      </c>
      <c r="B102" t="s">
        <v>942</v>
      </c>
      <c r="C102">
        <v>2000</v>
      </c>
      <c r="D102" t="s">
        <v>948</v>
      </c>
      <c r="E102" t="s">
        <v>647</v>
      </c>
      <c r="F102" t="s">
        <v>23</v>
      </c>
      <c r="G102" t="s">
        <v>9</v>
      </c>
      <c r="H102" t="s">
        <v>9</v>
      </c>
      <c r="I102" t="s">
        <v>12</v>
      </c>
      <c r="J102" t="s">
        <v>8</v>
      </c>
      <c r="K102" t="s">
        <v>9</v>
      </c>
      <c r="L102" t="s">
        <v>9</v>
      </c>
      <c r="M102" t="s">
        <v>9</v>
      </c>
      <c r="N102" t="s">
        <v>9</v>
      </c>
      <c r="O102" t="s">
        <v>9</v>
      </c>
      <c r="P102" t="s">
        <v>9</v>
      </c>
      <c r="Q102">
        <v>1</v>
      </c>
      <c r="R102">
        <v>12.5</v>
      </c>
      <c r="S102">
        <v>3</v>
      </c>
      <c r="T102">
        <v>12.5</v>
      </c>
      <c r="U102" s="18" t="s">
        <v>9</v>
      </c>
      <c r="V102" t="s">
        <v>8</v>
      </c>
      <c r="W102" t="s">
        <v>8</v>
      </c>
      <c r="X102" t="s">
        <v>9</v>
      </c>
      <c r="Y102" t="s">
        <v>8</v>
      </c>
      <c r="Z102" t="s">
        <v>8</v>
      </c>
      <c r="AA102" t="s">
        <v>648</v>
      </c>
      <c r="AB102" t="s">
        <v>636</v>
      </c>
      <c r="AC102" t="s">
        <v>153</v>
      </c>
      <c r="AD102" t="s">
        <v>634</v>
      </c>
      <c r="AE102">
        <v>0</v>
      </c>
      <c r="AF102">
        <v>200</v>
      </c>
      <c r="AG102" t="s">
        <v>650</v>
      </c>
      <c r="AH102">
        <v>3</v>
      </c>
      <c r="AI102" cm="1">
        <f t="array" ref="AI102">_xlfn.IFS(AF102="NR", "NA", AG102="NR", "NA", AG102="NA","NA", AND(AG102="mg/ml", AH102&lt;&gt;"NR"), ((AF102/2492)*AH102*1000000), AND(AG102="mol/L", AH102&lt;&gt;"NR"), AF102*AH102*1000000, AG102="nmol", AF102*1000, AND(AG102="nmol/uL", AH102&lt;&gt;"NR"), AF102*AH102*1000, AG102="pg", AF102/2492, AG102="pmol", AF102, AND(AG102="pmol/uL", AH102&lt;&gt;"NR"), AF102*AH102, AG102="ug", AF102/2492*1000000, AND(AG102="ug/mL", AH102&lt;&gt;"NR"), (AF102/1000*AH102)/2492*1000000, AND(AG102="ug/uL", AH102&lt;&gt;"NR"), (AF102*AH102)/2492*1000000, AND(AG102="umol/L", AH102&lt;&gt;"NR"), AH102*AF102, TRUE, "NA")</f>
        <v>200</v>
      </c>
      <c r="AJ102">
        <v>3</v>
      </c>
      <c r="AK102">
        <v>1</v>
      </c>
      <c r="AL102" t="s">
        <v>9</v>
      </c>
      <c r="AM102" t="s">
        <v>8</v>
      </c>
      <c r="AN102" t="s">
        <v>9</v>
      </c>
      <c r="AO102" s="18" t="s">
        <v>949</v>
      </c>
      <c r="AP102" t="s">
        <v>1228</v>
      </c>
      <c r="AQ102">
        <v>0</v>
      </c>
      <c r="AR102" t="s">
        <v>102</v>
      </c>
      <c r="AS102" s="18">
        <v>72</v>
      </c>
      <c r="AT102" t="s">
        <v>271</v>
      </c>
      <c r="AU102" t="s">
        <v>652</v>
      </c>
      <c r="AV102" t="s">
        <v>679</v>
      </c>
      <c r="AW102">
        <v>95.1</v>
      </c>
      <c r="AX102">
        <v>24.17</v>
      </c>
      <c r="AY102">
        <v>31.78</v>
      </c>
      <c r="AZ102">
        <v>7.6</v>
      </c>
      <c r="BA102" t="s">
        <v>656</v>
      </c>
      <c r="BB102" t="s">
        <v>123</v>
      </c>
      <c r="BC102" cm="1">
        <f t="array" ref="BC102">_xlfn.IFS(BA102="Direct rLV % whole brain", AW102, BA102="Indirect rLV % whole brain", AW102, BA102="Direct rLV % hemisphere", AW102/2, BA102="Indirect rLV % hemisphere", AW102/2, AND(F102="Mouse", BA102="mm3"), (AW102/508.91)*100, AND(F102="Rat", BA102="mm3"), (AW102/1971)*100, AND(F102="Mouse", BA102="ul"), (AW102/508.91)*100, AND(F102="Rat", BA102="ul"), (AW102/1971)*100,  AND(F102="Mouse", BA102="nl"), (AW102/508910)*100, AND(F102="Rat", BA102="nl"), (AW102/1971000)*100, AND(F102="Mouse", BA102="cm3"), (AW102/0.50891)*100, AND(F102="Rat", BA102="cm3"), (AW102/1.971)*100, AND(F102="Mouse", BA102="mL"), (AW102/0.50891)*100, AND(F102="Rat", BA102="mL"), (AW102/1.971)*100, TRUE, "NA")</f>
        <v>4.8249619482496193</v>
      </c>
      <c r="BD102" cm="1">
        <f t="array" ref="BD102">_xlfn.IFS(AZ102="NA", "NA",BA102="Direct rLV % whole brain", AY102, BA102="Indirect rLV % whole brain", AY102, BA102="Direct rLV % hemisphere", AY102/2, BA102="Indirect rLV % hemisphere", AY102/2, AND(F102="Mouse", BA102="mm3"), (AY102/508.91)*100, AND(F102="Rat", BA102="mm3"), (AY102/1971)*100, AND(F102="Mouse", BA102="ul"), (AY102/508.91)*100, AND(F102="Rat", BA102="ul"), (AY102/1971)*100,  AND(F102="Mouse", BA102="nl"), (AY102/508910)*100, AND(F102="Rat", BA102="nl"), (AY102/1971000)*100, AND(F102="Mouse", BA102="cm3"), (AY102/0.50891)*100, AND(F102="Rat", BA102="cm3"), (AY102/1.971)*100, AND(F102="Mouse", BA102="mL"), (AY102/0.50891)*100, AND(F102="Rat", BA102="mL"), (AY102/1.971)*100, TRUE, "NA")</f>
        <v>1.6123795027904615</v>
      </c>
      <c r="BE102" cm="1">
        <f t="array" ref="BE102">_xlfn.IFS(AX102="NA", "NA", BB102="NR", "NA", BB102="SD", AX102, BB102="SE", AX102*(SQRT(R102)), BB102="SEM", AX102*(SQRT(R102)), TRUE, "NA")</f>
        <v>85.453854506394279</v>
      </c>
      <c r="BF102" cm="1">
        <f t="array" ref="BF102">_xlfn.IFS(BE102="NA", "NA",BA102="Direct rLV % whole brain", BE102, BA102="Indirect rLV % whole brain", BE102, BA102="Direct rLV % hemisphere", BE102/2, BA102="Indirect rLV % hemisphere", BE102/2, AND(F102="Mouse", BA102="mm3"), (BE102/508.91)*100, AND(F102="Rat", BA102="mm3"), (BE102/1971)*100, AND(F102="Mouse", BA102="ul"), (BE102/508.91)*100, AND(F102="Rat", BA102="ul"), (BE102/1971)*100,  AND(F102="Mouse", BA102="nl"), (BE102/508910)*100, AND(F102="Rat", BA102="nl"), (BE102/1971000)*100, AND(F102="Mouse", BA102="cm3"), (BE102/0.50891)*100, AND(F102="Rat", BA102="cm3"), (BE102/1.971)*100, AND(F102="Mouse", BA102="mL"), (BE102/0.50891)*100, AND(F102="Rat", BA102="mL"), (BE102/1.971)*100, TRUE, "NA")</f>
        <v>4.3355583209738349</v>
      </c>
      <c r="BG102" cm="1">
        <f t="array" ref="BG102">_xlfn.IFS(AZ102="NA", "NA", BB102="NR", "NA", BB102="SD", AZ102, BB102="SE", AZ102*(SQRT(R102)), BB102="SEM", AZ102*(SQRT(R102)), TRUE, "NA")</f>
        <v>26.870057685088806</v>
      </c>
      <c r="BH102" s="18" t="s">
        <v>154</v>
      </c>
      <c r="BI102" t="s">
        <v>153</v>
      </c>
      <c r="BJ102" t="s">
        <v>154</v>
      </c>
    </row>
    <row r="103" spans="1:63" s="31" customFormat="1" x14ac:dyDescent="0.3">
      <c r="A103" s="31" t="s">
        <v>951</v>
      </c>
      <c r="B103" s="31" t="s">
        <v>950</v>
      </c>
      <c r="C103" s="31">
        <v>2003</v>
      </c>
      <c r="D103" s="31" t="s">
        <v>952</v>
      </c>
      <c r="E103" s="31" t="s">
        <v>647</v>
      </c>
      <c r="F103" s="31" t="s">
        <v>23</v>
      </c>
      <c r="G103" s="31" t="s">
        <v>11</v>
      </c>
      <c r="H103" s="31" t="s">
        <v>34</v>
      </c>
      <c r="I103" s="31" t="s">
        <v>12</v>
      </c>
      <c r="J103" s="31" t="s">
        <v>8</v>
      </c>
      <c r="K103" s="31" t="s">
        <v>9</v>
      </c>
      <c r="L103" s="31" t="s">
        <v>9</v>
      </c>
      <c r="M103" s="31" t="s">
        <v>9</v>
      </c>
      <c r="N103" s="31">
        <v>200</v>
      </c>
      <c r="O103" s="31">
        <f>AVERAGE(N103,P103)</f>
        <v>215</v>
      </c>
      <c r="P103" s="31">
        <v>230</v>
      </c>
      <c r="Q103" s="31">
        <v>2</v>
      </c>
      <c r="R103" s="31">
        <v>6</v>
      </c>
      <c r="S103" s="31">
        <v>2</v>
      </c>
      <c r="T103" s="31">
        <v>6</v>
      </c>
      <c r="U103" s="32" t="s">
        <v>71</v>
      </c>
      <c r="V103" s="31" t="s">
        <v>288</v>
      </c>
      <c r="W103" s="31" t="s">
        <v>8</v>
      </c>
      <c r="X103" s="31" t="s">
        <v>71</v>
      </c>
      <c r="Y103" s="31" t="s">
        <v>288</v>
      </c>
      <c r="Z103" s="31" t="s">
        <v>8</v>
      </c>
      <c r="AA103" s="31" t="s">
        <v>640</v>
      </c>
      <c r="AB103" s="31" t="s">
        <v>637</v>
      </c>
      <c r="AC103" s="31" t="s">
        <v>154</v>
      </c>
      <c r="AD103" s="31" t="s">
        <v>634</v>
      </c>
      <c r="AE103" s="31">
        <v>0</v>
      </c>
      <c r="AF103" s="31">
        <v>0.43</v>
      </c>
      <c r="AG103" s="31" t="s">
        <v>115</v>
      </c>
      <c r="AH103" s="31">
        <v>1</v>
      </c>
      <c r="AI103" cm="1">
        <f t="array" ref="AI103">_xlfn.IFS(AF103="NR", "NA", AG103="NR", "NA", AG103="NA","NA", AND(AG103="mg/ml", AH103&lt;&gt;"NR"), ((AF103/2492)*AH103*1000000), AND(AG103="mol/L", AH103&lt;&gt;"NR"), AF103*AH103*1000000, AG103="nmol", AF103*1000, AND(AG103="nmol/uL", AH103&lt;&gt;"NR"), AF103*AH103*1000, AG103="pg", AF103/2492, AG103="pmol", AF103, AND(AG103="pmol/uL", AH103&lt;&gt;"NR"), AF103*AH103, AG103="ug", AF103/2492*1000000, AND(AG103="ug/mL", AH103&lt;&gt;"NR"), (AF103/1000*AH103)/2492*1000000, AND(AG103="ug/uL", AH103&lt;&gt;"NR"), (AF103*AH103)/2492*1000000, AND(AG103="umol/L", AH103&lt;&gt;"NR"), AH103*AF103, TRUE, "NA")</f>
        <v>430</v>
      </c>
      <c r="AJ103" s="31">
        <v>2</v>
      </c>
      <c r="AK103" s="31">
        <v>1</v>
      </c>
      <c r="AL103" s="31" t="s">
        <v>9</v>
      </c>
      <c r="AM103" s="31" t="s">
        <v>8</v>
      </c>
      <c r="AN103" s="31" t="s">
        <v>9</v>
      </c>
      <c r="AO103" s="32" t="s">
        <v>954</v>
      </c>
      <c r="AP103" t="s">
        <v>1228</v>
      </c>
      <c r="AQ103" s="31">
        <v>2</v>
      </c>
      <c r="AR103" s="31" t="s">
        <v>103</v>
      </c>
      <c r="AS103" s="32">
        <v>1032</v>
      </c>
      <c r="AT103" s="31" t="s">
        <v>271</v>
      </c>
      <c r="AU103" s="31" t="s">
        <v>653</v>
      </c>
      <c r="AV103" s="31" t="s">
        <v>679</v>
      </c>
      <c r="AW103" s="31">
        <v>2.99</v>
      </c>
      <c r="AX103" s="31">
        <v>0.1</v>
      </c>
      <c r="AY103" s="31">
        <v>1.51</v>
      </c>
      <c r="AZ103" s="31">
        <v>6.0000000000000001E-3</v>
      </c>
      <c r="BA103" s="31" t="s">
        <v>656</v>
      </c>
      <c r="BB103" s="31" t="s">
        <v>123</v>
      </c>
      <c r="BC103" cm="1">
        <f t="array" ref="BC103">_xlfn.IFS(BA103="Direct rLV % whole brain", AW103, BA103="Indirect rLV % whole brain", AW103, BA103="Direct rLV % hemisphere", AW103/2, BA103="Indirect rLV % hemisphere", AW103/2, AND(F103="Mouse", BA103="mm3"), (AW103/508.91)*100, AND(F103="Rat", BA103="mm3"), (AW103/1971)*100, AND(F103="Mouse", BA103="ul"), (AW103/508.91)*100, AND(F103="Rat", BA103="ul"), (AW103/1971)*100,  AND(F103="Mouse", BA103="nl"), (AW103/508910)*100, AND(F103="Rat", BA103="nl"), (AW103/1971000)*100, AND(F103="Mouse", BA103="cm3"), (AW103/0.50891)*100, AND(F103="Rat", BA103="cm3"), (AW103/1.971)*100, AND(F103="Mouse", BA103="mL"), (AW103/0.50891)*100, AND(F103="Rat", BA103="mL"), (AW103/1.971)*100, TRUE, "NA")</f>
        <v>0.1516996448503298</v>
      </c>
      <c r="BD103" cm="1">
        <f t="array" ref="BD103">_xlfn.IFS(AZ103="NA", "NA",BA103="Direct rLV % whole brain", AY103, BA103="Indirect rLV % whole brain", AY103, BA103="Direct rLV % hemisphere", AY103/2, BA103="Indirect rLV % hemisphere", AY103/2, AND(F103="Mouse", BA103="mm3"), (AY103/508.91)*100, AND(F103="Rat", BA103="mm3"), (AY103/1971)*100, AND(F103="Mouse", BA103="ul"), (AY103/508.91)*100, AND(F103="Rat", BA103="ul"), (AY103/1971)*100,  AND(F103="Mouse", BA103="nl"), (AY103/508910)*100, AND(F103="Rat", BA103="nl"), (AY103/1971000)*100, AND(F103="Mouse", BA103="cm3"), (AY103/0.50891)*100, AND(F103="Rat", BA103="cm3"), (AY103/1.971)*100, AND(F103="Mouse", BA103="mL"), (AY103/0.50891)*100, AND(F103="Rat", BA103="mL"), (AY103/1.971)*100, TRUE, "NA")</f>
        <v>7.6610857432775237E-2</v>
      </c>
      <c r="BE103" cm="1">
        <f t="array" ref="BE103">_xlfn.IFS(AX103="NA", "NA", BB103="NR", "NA", BB103="SD", AX103, BB103="SE", AX103*(SQRT(R103)), BB103="SEM", AX103*(SQRT(R103)), TRUE, "NA")</f>
        <v>0.2449489742783178</v>
      </c>
      <c r="BF103" cm="1">
        <f t="array" ref="BF103">_xlfn.IFS(BE103="NA", "NA",BA103="Direct rLV % whole brain", BE103, BA103="Indirect rLV % whole brain", BE103, BA103="Direct rLV % hemisphere", BE103/2, BA103="Indirect rLV % hemisphere", BE103/2, AND(F103="Mouse", BA103="mm3"), (BE103/508.91)*100, AND(F103="Rat", BA103="mm3"), (BE103/1971)*100, AND(F103="Mouse", BA103="ul"), (BE103/508.91)*100, AND(F103="Rat", BA103="ul"), (BE103/1971)*100,  AND(F103="Mouse", BA103="nl"), (BE103/508910)*100, AND(F103="Rat", BA103="nl"), (BE103/1971000)*100, AND(F103="Mouse", BA103="cm3"), (BE103/0.50891)*100, AND(F103="Rat", BA103="cm3"), (BE103/1.971)*100, AND(F103="Mouse", BA103="mL"), (BE103/0.50891)*100, AND(F103="Rat", BA103="mL"), (BE103/1.971)*100, TRUE, "NA")</f>
        <v>1.2427649633603134E-2</v>
      </c>
      <c r="BG103" cm="1">
        <f t="array" ref="BG103">_xlfn.IFS(AZ103="NA", "NA", BB103="NR", "NA", BB103="SD", AZ103, BB103="SE", AZ103*(SQRT(R103)), BB103="SEM", AZ103*(SQRT(R103)), TRUE, "NA")</f>
        <v>1.4696938456699067E-2</v>
      </c>
      <c r="BH103" s="32" t="s">
        <v>153</v>
      </c>
      <c r="BI103" s="31" t="s">
        <v>153</v>
      </c>
      <c r="BJ103" s="31" t="s">
        <v>154</v>
      </c>
      <c r="BK103" s="31" t="s">
        <v>953</v>
      </c>
    </row>
    <row r="104" spans="1:63" x14ac:dyDescent="0.3">
      <c r="A104" t="s">
        <v>956</v>
      </c>
      <c r="B104" t="s">
        <v>955</v>
      </c>
      <c r="C104">
        <v>2012</v>
      </c>
      <c r="D104" t="s">
        <v>957</v>
      </c>
      <c r="E104" t="s">
        <v>647</v>
      </c>
      <c r="F104" t="s">
        <v>23</v>
      </c>
      <c r="G104" t="s">
        <v>11</v>
      </c>
      <c r="H104" t="s">
        <v>34</v>
      </c>
      <c r="I104" t="s">
        <v>12</v>
      </c>
      <c r="J104" t="s">
        <v>8</v>
      </c>
      <c r="K104" t="s">
        <v>9</v>
      </c>
      <c r="L104" t="s">
        <v>9</v>
      </c>
      <c r="M104" t="s">
        <v>9</v>
      </c>
      <c r="N104" t="s">
        <v>8</v>
      </c>
      <c r="O104">
        <v>300</v>
      </c>
      <c r="P104" t="s">
        <v>8</v>
      </c>
      <c r="Q104">
        <v>1</v>
      </c>
      <c r="R104">
        <v>11</v>
      </c>
      <c r="S104">
        <v>2</v>
      </c>
      <c r="T104">
        <v>12</v>
      </c>
      <c r="U104" s="18" t="s">
        <v>66</v>
      </c>
      <c r="V104" t="s">
        <v>96</v>
      </c>
      <c r="W104" t="s">
        <v>8</v>
      </c>
      <c r="X104" t="s">
        <v>66</v>
      </c>
      <c r="Y104" t="s">
        <v>96</v>
      </c>
      <c r="Z104" t="s">
        <v>8</v>
      </c>
      <c r="AA104" t="s">
        <v>640</v>
      </c>
      <c r="AB104" t="s">
        <v>746</v>
      </c>
      <c r="AC104" t="s">
        <v>154</v>
      </c>
      <c r="AD104" t="s">
        <v>634</v>
      </c>
      <c r="AE104">
        <v>0</v>
      </c>
      <c r="AF104">
        <v>800</v>
      </c>
      <c r="AG104" t="s">
        <v>650</v>
      </c>
      <c r="AH104">
        <v>4</v>
      </c>
      <c r="AI104" cm="1">
        <f t="array" ref="AI104">_xlfn.IFS(AF104="NR", "NA", AG104="NR", "NA", AG104="NA","NA", AND(AG104="mg/ml", AH104&lt;&gt;"NR"), ((AF104/2492)*AH104*1000000), AND(AG104="mol/L", AH104&lt;&gt;"NR"), AF104*AH104*1000000, AG104="nmol", AF104*1000, AND(AG104="nmol/uL", AH104&lt;&gt;"NR"), AF104*AH104*1000, AG104="pg", AF104/2492, AG104="pmol", AF104, AND(AG104="pmol/uL", AH104&lt;&gt;"NR"), AF104*AH104, AG104="ug", AF104/2492*1000000, AND(AG104="ug/mL", AH104&lt;&gt;"NR"), (AF104/1000*AH104)/2492*1000000, AND(AG104="ug/uL", AH104&lt;&gt;"NR"), (AF104*AH104)/2492*1000000, AND(AG104="umol/L", AH104&lt;&gt;"NR"), AH104*AF104, TRUE, "NA")</f>
        <v>800</v>
      </c>
      <c r="AJ104">
        <v>8</v>
      </c>
      <c r="AK104">
        <v>3</v>
      </c>
      <c r="AL104" t="s">
        <v>701</v>
      </c>
      <c r="AM104" t="s">
        <v>8</v>
      </c>
      <c r="AN104" t="s">
        <v>9</v>
      </c>
      <c r="AO104" s="18" t="s">
        <v>773</v>
      </c>
      <c r="AP104" t="s">
        <v>1228</v>
      </c>
      <c r="AQ104">
        <v>120</v>
      </c>
      <c r="AR104" t="s">
        <v>103</v>
      </c>
      <c r="AS104" s="18">
        <v>1008</v>
      </c>
      <c r="AT104" t="s">
        <v>271</v>
      </c>
      <c r="AU104" t="s">
        <v>652</v>
      </c>
      <c r="AV104" t="s">
        <v>958</v>
      </c>
      <c r="AW104">
        <v>83.75</v>
      </c>
      <c r="AX104">
        <v>10.3</v>
      </c>
      <c r="AY104">
        <v>95</v>
      </c>
      <c r="AZ104">
        <v>14</v>
      </c>
      <c r="BA104" t="s">
        <v>656</v>
      </c>
      <c r="BB104" t="s">
        <v>123</v>
      </c>
      <c r="BC104" cm="1">
        <f t="array" ref="BC104">_xlfn.IFS(BA104="Direct rLV % whole brain", AW104, BA104="Indirect rLV % whole brain", AW104, BA104="Direct rLV % hemisphere", AW104/2, BA104="Indirect rLV % hemisphere", AW104/2, AND(F104="Mouse", BA104="mm3"), (AW104/508.91)*100, AND(F104="Rat", BA104="mm3"), (AW104/1971)*100, AND(F104="Mouse", BA104="ul"), (AW104/508.91)*100, AND(F104="Rat", BA104="ul"), (AW104/1971)*100,  AND(F104="Mouse", BA104="nl"), (AW104/508910)*100, AND(F104="Rat", BA104="nl"), (AW104/1971000)*100, AND(F104="Mouse", BA104="cm3"), (AW104/0.50891)*100, AND(F104="Rat", BA104="cm3"), (AW104/1.971)*100, AND(F104="Mouse", BA104="mL"), (AW104/0.50891)*100, AND(F104="Rat", BA104="mL"), (AW104/1.971)*100, TRUE, "NA")</f>
        <v>4.2491121258244542</v>
      </c>
      <c r="BD104" cm="1">
        <f t="array" ref="BD104">_xlfn.IFS(AZ104="NA", "NA",BA104="Direct rLV % whole brain", AY104, BA104="Indirect rLV % whole brain", AY104, BA104="Direct rLV % hemisphere", AY104/2, BA104="Indirect rLV % hemisphere", AY104/2, AND(F104="Mouse", BA104="mm3"), (AY104/508.91)*100, AND(F104="Rat", BA104="mm3"), (AY104/1971)*100, AND(F104="Mouse", BA104="ul"), (AY104/508.91)*100, AND(F104="Rat", BA104="ul"), (AY104/1971)*100,  AND(F104="Mouse", BA104="nl"), (AY104/508910)*100, AND(F104="Rat", BA104="nl"), (AY104/1971000)*100, AND(F104="Mouse", BA104="cm3"), (AY104/0.50891)*100, AND(F104="Rat", BA104="cm3"), (AY104/1.971)*100, AND(F104="Mouse", BA104="mL"), (AY104/0.50891)*100, AND(F104="Rat", BA104="mL"), (AY104/1.971)*100, TRUE, "NA")</f>
        <v>4.8198883815322171</v>
      </c>
      <c r="BE104" cm="1">
        <f t="array" ref="BE104">_xlfn.IFS(AX104="NA", "NA", BB104="NR", "NA", BB104="SD", AX104, BB104="SE", AX104*(SQRT(R104)), BB104="SEM", AX104*(SQRT(R104)), TRUE, "NA")</f>
        <v>34.161235340660618</v>
      </c>
      <c r="BF104" cm="1">
        <f t="array" ref="BF104">_xlfn.IFS(BE104="NA", "NA",BA104="Direct rLV % whole brain", BE104, BA104="Indirect rLV % whole brain", BE104, BA104="Direct rLV % hemisphere", BE104/2, BA104="Indirect rLV % hemisphere", BE104/2, AND(F104="Mouse", BA104="mm3"), (BE104/508.91)*100, AND(F104="Rat", BA104="mm3"), (BE104/1971)*100, AND(F104="Mouse", BA104="ul"), (BE104/508.91)*100, AND(F104="Rat", BA104="ul"), (BE104/1971)*100,  AND(F104="Mouse", BA104="nl"), (BE104/508910)*100, AND(F104="Rat", BA104="nl"), (BE104/1971000)*100, AND(F104="Mouse", BA104="cm3"), (BE104/0.50891)*100, AND(F104="Rat", BA104="cm3"), (BE104/1.971)*100, AND(F104="Mouse", BA104="mL"), (BE104/0.50891)*100, AND(F104="Rat", BA104="mL"), (BE104/1.971)*100, TRUE, "NA")</f>
        <v>1.733193066497241</v>
      </c>
      <c r="BG104" cm="1">
        <f t="array" ref="BG104">_xlfn.IFS(AZ104="NA", "NA", BB104="NR", "NA", BB104="SD", AZ104, BB104="SE", AZ104*(SQRT(R104)), BB104="SEM", AZ104*(SQRT(R104)), TRUE, "NA")</f>
        <v>46.432747064975601</v>
      </c>
      <c r="BH104" s="18" t="s">
        <v>154</v>
      </c>
      <c r="BI104" t="s">
        <v>153</v>
      </c>
      <c r="BJ104" t="s">
        <v>154</v>
      </c>
    </row>
    <row r="105" spans="1:63" s="31" customFormat="1" x14ac:dyDescent="0.3">
      <c r="A105" s="31" t="s">
        <v>960</v>
      </c>
      <c r="B105" s="31" t="s">
        <v>959</v>
      </c>
      <c r="C105" s="31">
        <v>2000</v>
      </c>
      <c r="D105" s="31" t="s">
        <v>961</v>
      </c>
      <c r="E105" s="31" t="s">
        <v>647</v>
      </c>
      <c r="F105" s="31" t="s">
        <v>23</v>
      </c>
      <c r="G105" s="31" t="s">
        <v>47</v>
      </c>
      <c r="H105" s="31" t="s">
        <v>9</v>
      </c>
      <c r="I105" s="31" t="s">
        <v>12</v>
      </c>
      <c r="J105" s="31" t="s">
        <v>8</v>
      </c>
      <c r="K105" s="31">
        <v>9</v>
      </c>
      <c r="L105" s="31">
        <f>AVERAGE(K105,M105)</f>
        <v>10</v>
      </c>
      <c r="M105" s="31">
        <v>11</v>
      </c>
      <c r="N105" s="31" t="s">
        <v>9</v>
      </c>
      <c r="O105" s="31" t="s">
        <v>9</v>
      </c>
      <c r="P105" s="31" t="s">
        <v>9</v>
      </c>
      <c r="Q105" s="31">
        <v>1</v>
      </c>
      <c r="R105" s="31">
        <v>8</v>
      </c>
      <c r="S105" s="31">
        <v>3</v>
      </c>
      <c r="T105" s="31">
        <v>8</v>
      </c>
      <c r="U105" s="32" t="s">
        <v>66</v>
      </c>
      <c r="V105" s="31" t="s">
        <v>8</v>
      </c>
      <c r="W105" s="31" t="s">
        <v>8</v>
      </c>
      <c r="X105" s="31" t="s">
        <v>66</v>
      </c>
      <c r="Y105" s="31" t="s">
        <v>8</v>
      </c>
      <c r="Z105" s="31" t="s">
        <v>8</v>
      </c>
      <c r="AA105" s="31" t="s">
        <v>648</v>
      </c>
      <c r="AB105" s="31" t="s">
        <v>637</v>
      </c>
      <c r="AC105" s="31" t="s">
        <v>154</v>
      </c>
      <c r="AD105" s="31" t="s">
        <v>634</v>
      </c>
      <c r="AE105" s="31">
        <v>0</v>
      </c>
      <c r="AF105" s="31">
        <v>40</v>
      </c>
      <c r="AG105" s="31" t="s">
        <v>650</v>
      </c>
      <c r="AH105" s="31">
        <v>1</v>
      </c>
      <c r="AI105" cm="1">
        <f t="array" ref="AI105">_xlfn.IFS(AF105="NR", "NA", AG105="NR", "NA", AG105="NA","NA", AND(AG105="mg/ml", AH105&lt;&gt;"NR"), ((AF105/2492)*AH105*1000000), AND(AG105="mol/L", AH105&lt;&gt;"NR"), AF105*AH105*1000000, AG105="nmol", AF105*1000, AND(AG105="nmol/uL", AH105&lt;&gt;"NR"), AF105*AH105*1000, AG105="pg", AF105/2492, AG105="pmol", AF105, AND(AG105="pmol/uL", AH105&lt;&gt;"NR"), AF105*AH105, AG105="ug", AF105/2492*1000000, AND(AG105="ug/mL", AH105&lt;&gt;"NR"), (AF105/1000*AH105)/2492*1000000, AND(AG105="ug/uL", AH105&lt;&gt;"NR"), (AF105*AH105)/2492*1000000, AND(AG105="umol/L", AH105&lt;&gt;"NR"), AH105*AF105, TRUE, "NA")</f>
        <v>40</v>
      </c>
      <c r="AJ105" s="31" t="s">
        <v>9</v>
      </c>
      <c r="AK105" s="31">
        <v>1</v>
      </c>
      <c r="AL105" s="31" t="s">
        <v>9</v>
      </c>
      <c r="AM105" s="31" t="s">
        <v>8</v>
      </c>
      <c r="AN105" s="31" t="s">
        <v>9</v>
      </c>
      <c r="AO105" s="32" t="s">
        <v>963</v>
      </c>
      <c r="AP105" t="s">
        <v>1228</v>
      </c>
      <c r="AQ105" s="31" t="s">
        <v>9</v>
      </c>
      <c r="AR105" s="31" t="s">
        <v>103</v>
      </c>
      <c r="AS105" s="32">
        <v>72</v>
      </c>
      <c r="AT105" s="31" t="s">
        <v>271</v>
      </c>
      <c r="AU105" s="31" t="s">
        <v>653</v>
      </c>
      <c r="AV105" s="31" t="s">
        <v>728</v>
      </c>
      <c r="AW105" s="31">
        <v>5.67</v>
      </c>
      <c r="AX105" s="31">
        <v>1.73</v>
      </c>
      <c r="AY105" s="31">
        <v>10.41</v>
      </c>
      <c r="AZ105" s="31">
        <v>1.64</v>
      </c>
      <c r="BA105" s="31" t="s">
        <v>656</v>
      </c>
      <c r="BB105" s="31" t="s">
        <v>123</v>
      </c>
      <c r="BC105" cm="1">
        <f t="array" ref="BC105">_xlfn.IFS(BA105="Direct rLV % whole brain", AW105, BA105="Indirect rLV % whole brain", AW105, BA105="Direct rLV % hemisphere", AW105/2, BA105="Indirect rLV % hemisphere", AW105/2, AND(F105="Mouse", BA105="mm3"), (AW105/508.91)*100, AND(F105="Rat", BA105="mm3"), (AW105/1971)*100, AND(F105="Mouse", BA105="ul"), (AW105/508.91)*100, AND(F105="Rat", BA105="ul"), (AW105/1971)*100,  AND(F105="Mouse", BA105="nl"), (AW105/508910)*100, AND(F105="Rat", BA105="nl"), (AW105/1971000)*100, AND(F105="Mouse", BA105="cm3"), (AW105/0.50891)*100, AND(F105="Rat", BA105="cm3"), (AW105/1.971)*100, AND(F105="Mouse", BA105="mL"), (AW105/0.50891)*100, AND(F105="Rat", BA105="mL"), (AW105/1.971)*100, TRUE, "NA")</f>
        <v>0.28767123287671231</v>
      </c>
      <c r="BD105" cm="1">
        <f t="array" ref="BD105">_xlfn.IFS(AZ105="NA", "NA",BA105="Direct rLV % whole brain", AY105, BA105="Indirect rLV % whole brain", AY105, BA105="Direct rLV % hemisphere", AY105/2, BA105="Indirect rLV % hemisphere", AY105/2, AND(F105="Mouse", BA105="mm3"), (AY105/508.91)*100, AND(F105="Rat", BA105="mm3"), (AY105/1971)*100, AND(F105="Mouse", BA105="ul"), (AY105/508.91)*100, AND(F105="Rat", BA105="ul"), (AY105/1971)*100,  AND(F105="Mouse", BA105="nl"), (AY105/508910)*100, AND(F105="Rat", BA105="nl"), (AY105/1971000)*100, AND(F105="Mouse", BA105="cm3"), (AY105/0.50891)*100, AND(F105="Rat", BA105="cm3"), (AY105/1.971)*100, AND(F105="Mouse", BA105="mL"), (AY105/0.50891)*100, AND(F105="Rat", BA105="mL"), (AY105/1.971)*100, TRUE, "NA")</f>
        <v>0.52815829528158298</v>
      </c>
      <c r="BE105" cm="1">
        <f t="array" ref="BE105">_xlfn.IFS(AX105="NA", "NA", BB105="NR", "NA", BB105="SD", AX105, BB105="SE", AX105*(SQRT(R105)), BB105="SEM", AX105*(SQRT(R105)), TRUE, "NA")</f>
        <v>4.8931789258109095</v>
      </c>
      <c r="BF105" cm="1">
        <f t="array" ref="BF105">_xlfn.IFS(BE105="NA", "NA",BA105="Direct rLV % whole brain", BE105, BA105="Indirect rLV % whole brain", BE105, BA105="Direct rLV % hemisphere", BE105/2, BA105="Indirect rLV % hemisphere", BE105/2, AND(F105="Mouse", BA105="mm3"), (BE105/508.91)*100, AND(F105="Rat", BA105="mm3"), (BE105/1971)*100, AND(F105="Mouse", BA105="ul"), (BE105/508.91)*100, AND(F105="Rat", BA105="ul"), (BE105/1971)*100,  AND(F105="Mouse", BA105="nl"), (BE105/508910)*100, AND(F105="Rat", BA105="nl"), (BE105/1971000)*100, AND(F105="Mouse", BA105="cm3"), (BE105/0.50891)*100, AND(F105="Rat", BA105="cm3"), (BE105/1.971)*100, AND(F105="Mouse", BA105="mL"), (BE105/0.50891)*100, AND(F105="Rat", BA105="mL"), (BE105/1.971)*100, TRUE, "NA")</f>
        <v>0.24825869740288734</v>
      </c>
      <c r="BG105" cm="1">
        <f t="array" ref="BG105">_xlfn.IFS(AZ105="NA", "NA", BB105="NR", "NA", BB105="SD", AZ105, BB105="SE", AZ105*(SQRT(R105)), BB105="SEM", AZ105*(SQRT(R105)), TRUE, "NA")</f>
        <v>4.6386204845837522</v>
      </c>
      <c r="BH105" s="32" t="s">
        <v>154</v>
      </c>
      <c r="BI105" s="31" t="s">
        <v>153</v>
      </c>
      <c r="BJ105" s="31" t="s">
        <v>154</v>
      </c>
      <c r="BK105" s="31" t="s">
        <v>962</v>
      </c>
    </row>
    <row r="106" spans="1:63" x14ac:dyDescent="0.3">
      <c r="A106" t="s">
        <v>965</v>
      </c>
      <c r="B106" t="s">
        <v>964</v>
      </c>
      <c r="C106">
        <v>2020</v>
      </c>
      <c r="D106" t="s">
        <v>966</v>
      </c>
      <c r="E106" t="s">
        <v>647</v>
      </c>
      <c r="F106" t="s">
        <v>23</v>
      </c>
      <c r="G106" t="s">
        <v>11</v>
      </c>
      <c r="H106" t="s">
        <v>34</v>
      </c>
      <c r="I106" t="s">
        <v>12</v>
      </c>
      <c r="J106" t="s">
        <v>8</v>
      </c>
      <c r="K106" t="s">
        <v>9</v>
      </c>
      <c r="L106" t="s">
        <v>9</v>
      </c>
      <c r="M106" t="s">
        <v>9</v>
      </c>
      <c r="N106">
        <v>300</v>
      </c>
      <c r="O106">
        <f>AVERAGE(N106,P106)</f>
        <v>335</v>
      </c>
      <c r="P106">
        <v>370</v>
      </c>
      <c r="Q106">
        <v>1</v>
      </c>
      <c r="R106">
        <v>5</v>
      </c>
      <c r="S106">
        <v>1</v>
      </c>
      <c r="T106">
        <v>5</v>
      </c>
      <c r="U106" s="18" t="s">
        <v>70</v>
      </c>
      <c r="V106" t="s">
        <v>8</v>
      </c>
      <c r="W106" t="s">
        <v>8</v>
      </c>
      <c r="X106" t="s">
        <v>70</v>
      </c>
      <c r="Y106" t="s">
        <v>8</v>
      </c>
      <c r="Z106" t="s">
        <v>8</v>
      </c>
      <c r="AA106" t="s">
        <v>640</v>
      </c>
      <c r="AB106" t="s">
        <v>636</v>
      </c>
      <c r="AC106" t="s">
        <v>153</v>
      </c>
      <c r="AD106" t="s">
        <v>634</v>
      </c>
      <c r="AE106">
        <v>0</v>
      </c>
      <c r="AF106">
        <v>600</v>
      </c>
      <c r="AG106" t="s">
        <v>650</v>
      </c>
      <c r="AH106">
        <v>3</v>
      </c>
      <c r="AI106" cm="1">
        <f t="array" ref="AI106">_xlfn.IFS(AF106="NR", "NA", AG106="NR", "NA", AG106="NA","NA", AND(AG106="mg/ml", AH106&lt;&gt;"NR"), ((AF106/2492)*AH106*1000000), AND(AG106="mol/L", AH106&lt;&gt;"NR"), AF106*AH106*1000000, AG106="nmol", AF106*1000, AND(AG106="nmol/uL", AH106&lt;&gt;"NR"), AF106*AH106*1000, AG106="pg", AF106/2492, AG106="pmol", AF106, AND(AG106="pmol/uL", AH106&lt;&gt;"NR"), AF106*AH106, AG106="ug", AF106/2492*1000000, AND(AG106="ug/mL", AH106&lt;&gt;"NR"), (AF106/1000*AH106)/2492*1000000, AND(AG106="ug/uL", AH106&lt;&gt;"NR"), (AF106*AH106)/2492*1000000, AND(AG106="umol/L", AH106&lt;&gt;"NR"), AH106*AF106, TRUE, "NA")</f>
        <v>600</v>
      </c>
      <c r="AJ106">
        <v>3</v>
      </c>
      <c r="AK106">
        <v>1</v>
      </c>
      <c r="AL106" t="s">
        <v>9</v>
      </c>
      <c r="AM106" t="s">
        <v>8</v>
      </c>
      <c r="AN106" t="s">
        <v>9</v>
      </c>
      <c r="AO106" s="18" t="s">
        <v>967</v>
      </c>
      <c r="AP106" t="s">
        <v>1228</v>
      </c>
      <c r="AQ106">
        <v>0.5</v>
      </c>
      <c r="AR106" t="s">
        <v>103</v>
      </c>
      <c r="AS106" s="18">
        <v>72</v>
      </c>
      <c r="AT106" t="s">
        <v>270</v>
      </c>
      <c r="AU106" t="s">
        <v>8</v>
      </c>
      <c r="AV106" t="s">
        <v>719</v>
      </c>
      <c r="AW106">
        <v>709.6</v>
      </c>
      <c r="AX106">
        <v>53.25</v>
      </c>
      <c r="AY106">
        <v>312.07</v>
      </c>
      <c r="AZ106">
        <v>55.73</v>
      </c>
      <c r="BA106" t="s">
        <v>656</v>
      </c>
      <c r="BB106" t="s">
        <v>123</v>
      </c>
      <c r="BC106" cm="1">
        <f t="array" ref="BC106">_xlfn.IFS(BA106="Direct rLV % whole brain", AW106, BA106="Indirect rLV % whole brain", AW106, BA106="Direct rLV % hemisphere", AW106/2, BA106="Indirect rLV % hemisphere", AW106/2, AND(F106="Mouse", BA106="mm3"), (AW106/508.91)*100, AND(F106="Rat", BA106="mm3"), (AW106/1971)*100, AND(F106="Mouse", BA106="ul"), (AW106/508.91)*100, AND(F106="Rat", BA106="ul"), (AW106/1971)*100,  AND(F106="Mouse", BA106="nl"), (AW106/508910)*100, AND(F106="Rat", BA106="nl"), (AW106/1971000)*100, AND(F106="Mouse", BA106="cm3"), (AW106/0.50891)*100, AND(F106="Rat", BA106="cm3"), (AW106/1.971)*100, AND(F106="Mouse", BA106="mL"), (AW106/0.50891)*100, AND(F106="Rat", BA106="mL"), (AW106/1.971)*100, TRUE, "NA")</f>
        <v>36.00202942668696</v>
      </c>
      <c r="BD106" cm="1">
        <f t="array" ref="BD106">_xlfn.IFS(AZ106="NA", "NA",BA106="Direct rLV % whole brain", AY106, BA106="Indirect rLV % whole brain", AY106, BA106="Direct rLV % hemisphere", AY106/2, BA106="Indirect rLV % hemisphere", AY106/2, AND(F106="Mouse", BA106="mm3"), (AY106/508.91)*100, AND(F106="Rat", BA106="mm3"), (AY106/1971)*100, AND(F106="Mouse", BA106="ul"), (AY106/508.91)*100, AND(F106="Rat", BA106="ul"), (AY106/1971)*100,  AND(F106="Mouse", BA106="nl"), (AY106/508910)*100, AND(F106="Rat", BA106="nl"), (AY106/1971000)*100, AND(F106="Mouse", BA106="cm3"), (AY106/0.50891)*100, AND(F106="Rat", BA106="cm3"), (AY106/1.971)*100, AND(F106="Mouse", BA106="mL"), (AY106/0.50891)*100, AND(F106="Rat", BA106="mL"), (AY106/1.971)*100, TRUE, "NA")</f>
        <v>15.833079654997462</v>
      </c>
      <c r="BE106" cm="1">
        <f t="array" ref="BE106">_xlfn.IFS(AX106="NA", "NA", BB106="NR", "NA", BB106="SD", AX106, BB106="SE", AX106*(SQRT(R106)), BB106="SEM", AX106*(SQRT(R106)), TRUE, "NA")</f>
        <v>119.07061980186381</v>
      </c>
      <c r="BF106" cm="1">
        <f t="array" ref="BF106">_xlfn.IFS(BE106="NA", "NA",BA106="Direct rLV % whole brain", BE106, BA106="Indirect rLV % whole brain", BE106, BA106="Direct rLV % hemisphere", BE106/2, BA106="Indirect rLV % hemisphere", BE106/2, AND(F106="Mouse", BA106="mm3"), (BE106/508.91)*100, AND(F106="Rat", BA106="mm3"), (BE106/1971)*100, AND(F106="Mouse", BA106="ul"), (BE106/508.91)*100, AND(F106="Rat", BA106="ul"), (BE106/1971)*100,  AND(F106="Mouse", BA106="nl"), (BE106/508910)*100, AND(F106="Rat", BA106="nl"), (BE106/1971000)*100, AND(F106="Mouse", BA106="cm3"), (BE106/0.50891)*100, AND(F106="Rat", BA106="cm3"), (BE106/1.971)*100, AND(F106="Mouse", BA106="mL"), (BE106/0.50891)*100, AND(F106="Rat", BA106="mL"), (BE106/1.971)*100, TRUE, "NA")</f>
        <v>6.0411273364720355</v>
      </c>
      <c r="BG106" cm="1">
        <f t="array" ref="BG106">_xlfn.IFS(AZ106="NA", "NA", BB106="NR", "NA", BB106="SD", AZ106, BB106="SE", AZ106*(SQRT(R106)), BB106="SEM", AZ106*(SQRT(R106)), TRUE, "NA")</f>
        <v>124.61606838606328</v>
      </c>
      <c r="BH106" s="18" t="s">
        <v>154</v>
      </c>
      <c r="BI106" t="s">
        <v>154</v>
      </c>
      <c r="BJ106" t="s">
        <v>154</v>
      </c>
    </row>
    <row r="107" spans="1:63" s="31" customFormat="1" x14ac:dyDescent="0.3">
      <c r="A107" s="31" t="s">
        <v>969</v>
      </c>
      <c r="B107" s="31" t="s">
        <v>968</v>
      </c>
      <c r="C107" s="31">
        <v>2014</v>
      </c>
      <c r="D107" s="31" t="s">
        <v>970</v>
      </c>
      <c r="E107" s="31" t="s">
        <v>647</v>
      </c>
      <c r="F107" s="31" t="s">
        <v>23</v>
      </c>
      <c r="G107" s="31" t="s">
        <v>11</v>
      </c>
      <c r="H107" s="31" t="s">
        <v>34</v>
      </c>
      <c r="I107" s="31" t="s">
        <v>12</v>
      </c>
      <c r="J107" s="31" t="s">
        <v>8</v>
      </c>
      <c r="K107" s="31" t="s">
        <v>9</v>
      </c>
      <c r="L107" s="31" t="s">
        <v>9</v>
      </c>
      <c r="M107" s="31" t="s">
        <v>9</v>
      </c>
      <c r="N107" s="31">
        <v>200</v>
      </c>
      <c r="O107" s="31">
        <f>AVERAGE(N107,P107)</f>
        <v>225</v>
      </c>
      <c r="P107" s="31">
        <v>250</v>
      </c>
      <c r="Q107" s="31">
        <v>1</v>
      </c>
      <c r="R107" s="31">
        <v>5</v>
      </c>
      <c r="S107" s="31">
        <v>2</v>
      </c>
      <c r="T107" s="31">
        <v>5</v>
      </c>
      <c r="U107" s="32" t="s">
        <v>68</v>
      </c>
      <c r="V107" s="31" t="s">
        <v>96</v>
      </c>
      <c r="W107" s="31" t="s">
        <v>8</v>
      </c>
      <c r="X107" s="31" t="s">
        <v>68</v>
      </c>
      <c r="Y107" s="31" t="s">
        <v>96</v>
      </c>
      <c r="Z107" s="31" t="s">
        <v>8</v>
      </c>
      <c r="AA107" s="31" t="s">
        <v>640</v>
      </c>
      <c r="AB107" s="31" t="s">
        <v>746</v>
      </c>
      <c r="AC107" s="31" t="s">
        <v>9</v>
      </c>
      <c r="AD107" s="31" t="s">
        <v>634</v>
      </c>
      <c r="AE107" s="31">
        <v>0</v>
      </c>
      <c r="AF107" s="31">
        <v>0.5</v>
      </c>
      <c r="AG107" s="31" t="s">
        <v>580</v>
      </c>
      <c r="AH107" s="31">
        <v>6</v>
      </c>
      <c r="AI107" cm="1">
        <f t="array" ref="AI107">_xlfn.IFS(AF107="NR", "NA", AG107="NR", "NA", AG107="NA","NA", AND(AG107="mg/ml", AH107&lt;&gt;"NR"), ((AF107/2492)*AH107*1000000), AND(AG107="mol/L", AH107&lt;&gt;"NR"), AF107*AH107*1000000, AG107="nmol", AF107*1000, AND(AG107="nmol/uL", AH107&lt;&gt;"NR"), AF107*AH107*1000, AG107="pg", AF107/2492, AG107="pmol", AF107, AND(AG107="pmol/uL", AH107&lt;&gt;"NR"), AF107*AH107, AG107="ug", AF107/2492*1000000, AND(AG107="ug/mL", AH107&lt;&gt;"NR"), (AF107/1000*AH107)/2492*1000000, AND(AG107="ug/uL", AH107&lt;&gt;"NR"), (AF107*AH107)/2492*1000000, AND(AG107="umol/L", AH107&lt;&gt;"NR"), AH107*AF107, TRUE, "NA")</f>
        <v>1203.852327447833</v>
      </c>
      <c r="AJ107" s="31">
        <v>12</v>
      </c>
      <c r="AK107" s="31">
        <v>3</v>
      </c>
      <c r="AL107" s="31" t="s">
        <v>9</v>
      </c>
      <c r="AM107" s="31" t="s">
        <v>8</v>
      </c>
      <c r="AN107" s="31" t="s">
        <v>9</v>
      </c>
      <c r="AO107" s="32" t="s">
        <v>972</v>
      </c>
      <c r="AP107" t="s">
        <v>1228</v>
      </c>
      <c r="AQ107" s="31">
        <v>168</v>
      </c>
      <c r="AR107" s="31" t="s">
        <v>103</v>
      </c>
      <c r="AS107" s="32">
        <v>792</v>
      </c>
      <c r="AT107" s="31" t="s">
        <v>271</v>
      </c>
      <c r="AU107" s="31" t="s">
        <v>652</v>
      </c>
      <c r="AV107" s="31" t="s">
        <v>971</v>
      </c>
      <c r="AW107" s="31">
        <v>131.4</v>
      </c>
      <c r="AX107" s="31">
        <v>13.14</v>
      </c>
      <c r="AY107" s="31">
        <v>129.4</v>
      </c>
      <c r="AZ107" s="31">
        <v>15.37</v>
      </c>
      <c r="BA107" s="31" t="s">
        <v>656</v>
      </c>
      <c r="BB107" s="31" t="s">
        <v>122</v>
      </c>
      <c r="BC107" cm="1">
        <f t="array" ref="BC107">_xlfn.IFS(BA107="Direct rLV % whole brain", AW107, BA107="Indirect rLV % whole brain", AW107, BA107="Direct rLV % hemisphere", AW107/2, BA107="Indirect rLV % hemisphere", AW107/2, AND(F107="Mouse", BA107="mm3"), (AW107/508.91)*100, AND(F107="Rat", BA107="mm3"), (AW107/1971)*100, AND(F107="Mouse", BA107="ul"), (AW107/508.91)*100, AND(F107="Rat", BA107="ul"), (AW107/1971)*100,  AND(F107="Mouse", BA107="nl"), (AW107/508910)*100, AND(F107="Rat", BA107="nl"), (AW107/1971000)*100, AND(F107="Mouse", BA107="cm3"), (AW107/0.50891)*100, AND(F107="Rat", BA107="cm3"), (AW107/1.971)*100, AND(F107="Mouse", BA107="mL"), (AW107/0.50891)*100, AND(F107="Rat", BA107="mL"), (AW107/1.971)*100, TRUE, "NA")</f>
        <v>6.666666666666667</v>
      </c>
      <c r="BD107" cm="1">
        <f t="array" ref="BD107">_xlfn.IFS(AZ107="NA", "NA",BA107="Direct rLV % whole brain", AY107, BA107="Indirect rLV % whole brain", AY107, BA107="Direct rLV % hemisphere", AY107/2, BA107="Indirect rLV % hemisphere", AY107/2, AND(F107="Mouse", BA107="mm3"), (AY107/508.91)*100, AND(F107="Rat", BA107="mm3"), (AY107/1971)*100, AND(F107="Mouse", BA107="ul"), (AY107/508.91)*100, AND(F107="Rat", BA107="ul"), (AY107/1971)*100,  AND(F107="Mouse", BA107="nl"), (AY107/508910)*100, AND(F107="Rat", BA107="nl"), (AY107/1971000)*100, AND(F107="Mouse", BA107="cm3"), (AY107/0.50891)*100, AND(F107="Rat", BA107="cm3"), (AY107/1.971)*100, AND(F107="Mouse", BA107="mL"), (AY107/0.50891)*100, AND(F107="Rat", BA107="mL"), (AY107/1.971)*100, TRUE, "NA")</f>
        <v>6.5651953323186198</v>
      </c>
      <c r="BE107" cm="1">
        <f t="array" ref="BE107">_xlfn.IFS(AX107="NA", "NA", BB107="NR", "NA", BB107="SD", AX107, BB107="SE", AX107*(SQRT(R107)), BB107="SEM", AX107*(SQRT(R107)), TRUE, "NA")</f>
        <v>13.14</v>
      </c>
      <c r="BF107" cm="1">
        <f t="array" ref="BF107">_xlfn.IFS(BE107="NA", "NA",BA107="Direct rLV % whole brain", BE107, BA107="Indirect rLV % whole brain", BE107, BA107="Direct rLV % hemisphere", BE107/2, BA107="Indirect rLV % hemisphere", BE107/2, AND(F107="Mouse", BA107="mm3"), (BE107/508.91)*100, AND(F107="Rat", BA107="mm3"), (BE107/1971)*100, AND(F107="Mouse", BA107="ul"), (BE107/508.91)*100, AND(F107="Rat", BA107="ul"), (BE107/1971)*100,  AND(F107="Mouse", BA107="nl"), (BE107/508910)*100, AND(F107="Rat", BA107="nl"), (BE107/1971000)*100, AND(F107="Mouse", BA107="cm3"), (BE107/0.50891)*100, AND(F107="Rat", BA107="cm3"), (BE107/1.971)*100, AND(F107="Mouse", BA107="mL"), (BE107/0.50891)*100, AND(F107="Rat", BA107="mL"), (BE107/1.971)*100, TRUE, "NA")</f>
        <v>0.66666666666666674</v>
      </c>
      <c r="BG107" cm="1">
        <f t="array" ref="BG107">_xlfn.IFS(AZ107="NA", "NA", BB107="NR", "NA", BB107="SD", AZ107, BB107="SE", AZ107*(SQRT(R107)), BB107="SEM", AZ107*(SQRT(R107)), TRUE, "NA")</f>
        <v>15.37</v>
      </c>
      <c r="BH107" s="32" t="s">
        <v>154</v>
      </c>
      <c r="BI107" s="31" t="s">
        <v>153</v>
      </c>
      <c r="BJ107" s="31" t="s">
        <v>154</v>
      </c>
      <c r="BK107" s="31" t="s">
        <v>973</v>
      </c>
    </row>
    <row r="108" spans="1:63" x14ac:dyDescent="0.3">
      <c r="A108" t="s">
        <v>975</v>
      </c>
      <c r="B108" t="s">
        <v>974</v>
      </c>
      <c r="C108">
        <v>2015</v>
      </c>
      <c r="D108" t="s">
        <v>976</v>
      </c>
      <c r="E108" t="s">
        <v>647</v>
      </c>
      <c r="F108" t="s">
        <v>23</v>
      </c>
      <c r="G108" t="s">
        <v>10</v>
      </c>
      <c r="H108" t="s">
        <v>34</v>
      </c>
      <c r="I108" t="s">
        <v>168</v>
      </c>
      <c r="J108" t="s">
        <v>8</v>
      </c>
      <c r="K108">
        <v>78</v>
      </c>
      <c r="L108">
        <f>AVERAGE(K108,M108)</f>
        <v>82.5</v>
      </c>
      <c r="M108">
        <v>87</v>
      </c>
      <c r="N108">
        <v>600</v>
      </c>
      <c r="O108">
        <f>AVERAGE(N108,P108)</f>
        <v>700</v>
      </c>
      <c r="P108">
        <v>800</v>
      </c>
      <c r="Q108">
        <v>1</v>
      </c>
      <c r="R108">
        <v>8</v>
      </c>
      <c r="S108">
        <v>1</v>
      </c>
      <c r="T108">
        <v>8</v>
      </c>
      <c r="U108" s="18" t="s">
        <v>68</v>
      </c>
      <c r="V108" t="s">
        <v>96</v>
      </c>
      <c r="W108" t="s">
        <v>8</v>
      </c>
      <c r="X108" t="s">
        <v>68</v>
      </c>
      <c r="Y108" t="s">
        <v>96</v>
      </c>
      <c r="Z108" t="s">
        <v>8</v>
      </c>
      <c r="AA108" t="s">
        <v>640</v>
      </c>
      <c r="AB108" t="s">
        <v>636</v>
      </c>
      <c r="AC108" t="s">
        <v>9</v>
      </c>
      <c r="AD108" t="s">
        <v>634</v>
      </c>
      <c r="AE108">
        <v>0</v>
      </c>
      <c r="AF108">
        <v>0.5</v>
      </c>
      <c r="AG108" t="s">
        <v>580</v>
      </c>
      <c r="AH108">
        <v>4.5</v>
      </c>
      <c r="AI108" cm="1">
        <f t="array" ref="AI108">_xlfn.IFS(AF108="NR", "NA", AG108="NR", "NA", AG108="NA","NA", AND(AG108="mg/ml", AH108&lt;&gt;"NR"), ((AF108/2492)*AH108*1000000), AND(AG108="mol/L", AH108&lt;&gt;"NR"), AF108*AH108*1000000, AG108="nmol", AF108*1000, AND(AG108="nmol/uL", AH108&lt;&gt;"NR"), AF108*AH108*1000, AG108="pg", AF108/2492, AG108="pmol", AF108, AND(AG108="pmol/uL", AH108&lt;&gt;"NR"), AF108*AH108, AG108="ug", AF108/2492*1000000, AND(AG108="ug/mL", AH108&lt;&gt;"NR"), (AF108/1000*AH108)/2492*1000000, AND(AG108="ug/uL", AH108&lt;&gt;"NR"), (AF108*AH108)/2492*1000000, AND(AG108="umol/L", AH108&lt;&gt;"NR"), AH108*AF108, TRUE, "NA")</f>
        <v>902.88924558587485</v>
      </c>
      <c r="AJ108">
        <v>9</v>
      </c>
      <c r="AK108">
        <v>3</v>
      </c>
      <c r="AL108" t="s">
        <v>665</v>
      </c>
      <c r="AM108" t="s">
        <v>8</v>
      </c>
      <c r="AN108" t="s">
        <v>9</v>
      </c>
      <c r="AO108" s="18" t="s">
        <v>972</v>
      </c>
      <c r="AP108" t="s">
        <v>1228</v>
      </c>
      <c r="AQ108">
        <v>168</v>
      </c>
      <c r="AR108" t="s">
        <v>103</v>
      </c>
      <c r="AS108" s="18">
        <v>792</v>
      </c>
      <c r="AT108" t="s">
        <v>271</v>
      </c>
      <c r="AU108" t="s">
        <v>652</v>
      </c>
      <c r="AV108" t="s">
        <v>674</v>
      </c>
      <c r="AW108">
        <v>66.400000000000006</v>
      </c>
      <c r="AX108">
        <v>12.42</v>
      </c>
      <c r="AY108">
        <v>60.5</v>
      </c>
      <c r="AZ108">
        <v>13.28</v>
      </c>
      <c r="BA108" t="s">
        <v>656</v>
      </c>
      <c r="BB108" t="s">
        <v>123</v>
      </c>
      <c r="BC108" cm="1">
        <f t="array" ref="BC108">_xlfn.IFS(BA108="Direct rLV % whole brain", AW108, BA108="Indirect rLV % whole brain", AW108, BA108="Direct rLV % hemisphere", AW108/2, BA108="Indirect rLV % hemisphere", AW108/2, AND(F108="Mouse", BA108="mm3"), (AW108/508.91)*100, AND(F108="Rat", BA108="mm3"), (AW108/1971)*100, AND(F108="Mouse", BA108="ul"), (AW108/508.91)*100, AND(F108="Rat", BA108="ul"), (AW108/1971)*100,  AND(F108="Mouse", BA108="nl"), (AW108/508910)*100, AND(F108="Rat", BA108="nl"), (AW108/1971000)*100, AND(F108="Mouse", BA108="cm3"), (AW108/0.50891)*100, AND(F108="Rat", BA108="cm3"), (AW108/1.971)*100, AND(F108="Mouse", BA108="mL"), (AW108/0.50891)*100, AND(F108="Rat", BA108="mL"), (AW108/1.971)*100, TRUE, "NA")</f>
        <v>3.3688483003551499</v>
      </c>
      <c r="BD108" cm="1">
        <f t="array" ref="BD108">_xlfn.IFS(AZ108="NA", "NA",BA108="Direct rLV % whole brain", AY108, BA108="Indirect rLV % whole brain", AY108, BA108="Direct rLV % hemisphere", AY108/2, BA108="Indirect rLV % hemisphere", AY108/2, AND(F108="Mouse", BA108="mm3"), (AY108/508.91)*100, AND(F108="Rat", BA108="mm3"), (AY108/1971)*100, AND(F108="Mouse", BA108="ul"), (AY108/508.91)*100, AND(F108="Rat", BA108="ul"), (AY108/1971)*100,  AND(F108="Mouse", BA108="nl"), (AY108/508910)*100, AND(F108="Rat", BA108="nl"), (AY108/1971000)*100, AND(F108="Mouse", BA108="cm3"), (AY108/0.50891)*100, AND(F108="Rat", BA108="cm3"), (AY108/1.971)*100, AND(F108="Mouse", BA108="mL"), (AY108/0.50891)*100, AND(F108="Rat", BA108="mL"), (AY108/1.971)*100, TRUE, "NA")</f>
        <v>3.0695078640284117</v>
      </c>
      <c r="BE108" cm="1">
        <f t="array" ref="BE108">_xlfn.IFS(AX108="NA", "NA", BB108="NR", "NA", BB108="SD", AX108, BB108="SE", AX108*(SQRT(R108)), BB108="SEM", AX108*(SQRT(R108)), TRUE, "NA")</f>
        <v>35.129064889347681</v>
      </c>
      <c r="BF108" cm="1">
        <f t="array" ref="BF108">_xlfn.IFS(BE108="NA", "NA",BA108="Direct rLV % whole brain", BE108, BA108="Indirect rLV % whole brain", BE108, BA108="Direct rLV % hemisphere", BE108/2, BA108="Indirect rLV % hemisphere", BE108/2, AND(F108="Mouse", BA108="mm3"), (BE108/508.91)*100, AND(F108="Rat", BA108="mm3"), (BE108/1971)*100, AND(F108="Mouse", BA108="ul"), (BE108/508.91)*100, AND(F108="Rat", BA108="ul"), (BE108/1971)*100,  AND(F108="Mouse", BA108="nl"), (BE108/508910)*100, AND(F108="Rat", BA108="nl"), (BE108/1971000)*100, AND(F108="Mouse", BA108="cm3"), (BE108/0.50891)*100, AND(F108="Rat", BA108="cm3"), (BE108/1.971)*100, AND(F108="Mouse", BA108="mL"), (BE108/0.50891)*100, AND(F108="Rat", BA108="mL"), (BE108/1.971)*100, TRUE, "NA")</f>
        <v>1.7822965443606131</v>
      </c>
      <c r="BG108" cm="1">
        <f t="array" ref="BG108">_xlfn.IFS(AZ108="NA", "NA", BB108="NR", "NA", BB108="SD", AZ108, BB108="SE", AZ108*(SQRT(R108)), BB108="SEM", AZ108*(SQRT(R108)), TRUE, "NA")</f>
        <v>37.561512216629403</v>
      </c>
      <c r="BH108" s="18" t="s">
        <v>154</v>
      </c>
      <c r="BI108" t="s">
        <v>154</v>
      </c>
      <c r="BJ108" t="s">
        <v>154</v>
      </c>
    </row>
    <row r="109" spans="1:63" s="31" customFormat="1" x14ac:dyDescent="0.3">
      <c r="A109" s="31" t="s">
        <v>978</v>
      </c>
      <c r="B109" s="31" t="s">
        <v>977</v>
      </c>
      <c r="C109" s="31">
        <v>2013</v>
      </c>
      <c r="D109" s="31" t="s">
        <v>979</v>
      </c>
      <c r="E109" s="31" t="s">
        <v>647</v>
      </c>
      <c r="F109" s="31" t="s">
        <v>23</v>
      </c>
      <c r="G109" s="31" t="s">
        <v>47</v>
      </c>
      <c r="H109" s="31" t="s">
        <v>9</v>
      </c>
      <c r="I109" s="31" t="s">
        <v>12</v>
      </c>
      <c r="J109" s="31" t="s">
        <v>8</v>
      </c>
      <c r="K109" s="31" t="s">
        <v>9</v>
      </c>
      <c r="L109" s="31" t="s">
        <v>9</v>
      </c>
      <c r="M109" s="31" t="s">
        <v>9</v>
      </c>
      <c r="N109" s="31" t="s">
        <v>9</v>
      </c>
      <c r="O109" s="31" t="s">
        <v>9</v>
      </c>
      <c r="P109" s="31" t="s">
        <v>9</v>
      </c>
      <c r="Q109" s="31">
        <v>2</v>
      </c>
      <c r="R109" s="31">
        <v>5</v>
      </c>
      <c r="S109" s="31" t="s">
        <v>8</v>
      </c>
      <c r="T109" s="31" t="s">
        <v>8</v>
      </c>
      <c r="U109" s="32" t="s">
        <v>71</v>
      </c>
      <c r="V109" s="31" t="s">
        <v>288</v>
      </c>
      <c r="W109" s="31" t="s">
        <v>8</v>
      </c>
      <c r="X109" s="31" t="s">
        <v>71</v>
      </c>
      <c r="Y109" s="31" t="s">
        <v>288</v>
      </c>
      <c r="Z109" s="31" t="s">
        <v>8</v>
      </c>
      <c r="AA109" s="31" t="s">
        <v>648</v>
      </c>
      <c r="AB109" s="31" t="s">
        <v>636</v>
      </c>
      <c r="AC109" s="31" t="s">
        <v>9</v>
      </c>
      <c r="AD109" s="31" t="s">
        <v>9</v>
      </c>
      <c r="AE109" s="31" t="s">
        <v>9</v>
      </c>
      <c r="AF109" s="31">
        <v>1</v>
      </c>
      <c r="AG109" s="31" t="s">
        <v>580</v>
      </c>
      <c r="AH109" s="31">
        <v>1</v>
      </c>
      <c r="AI109" cm="1">
        <f t="array" ref="AI109">_xlfn.IFS(AF109="NR", "NA", AG109="NR", "NA", AG109="NA","NA", AND(AG109="mg/ml", AH109&lt;&gt;"NR"), ((AF109/2492)*AH109*1000000), AND(AG109="mol/L", AH109&lt;&gt;"NR"), AF109*AH109*1000000, AG109="nmol", AF109*1000, AND(AG109="nmol/uL", AH109&lt;&gt;"NR"), AF109*AH109*1000, AG109="pg", AF109/2492, AG109="pmol", AF109, AND(AG109="pmol/uL", AH109&lt;&gt;"NR"), AF109*AH109, AG109="ug", AF109/2492*1000000, AND(AG109="ug/mL", AH109&lt;&gt;"NR"), (AF109/1000*AH109)/2492*1000000, AND(AG109="ug/uL", AH109&lt;&gt;"NR"), (AF109*AH109)/2492*1000000, AND(AG109="umol/L", AH109&lt;&gt;"NR"), AH109*AF109, TRUE, "NA")</f>
        <v>401.2841091492777</v>
      </c>
      <c r="AJ109" s="31">
        <v>5</v>
      </c>
      <c r="AK109" s="31">
        <v>1</v>
      </c>
      <c r="AL109" s="31" t="s">
        <v>665</v>
      </c>
      <c r="AM109" s="31" t="s">
        <v>8</v>
      </c>
      <c r="AN109" s="31" t="s">
        <v>9</v>
      </c>
      <c r="AO109" s="32" t="s">
        <v>12</v>
      </c>
      <c r="AP109" s="31" t="s">
        <v>8</v>
      </c>
      <c r="AQ109" s="31" t="s">
        <v>8</v>
      </c>
      <c r="AR109" s="31" t="s">
        <v>8</v>
      </c>
      <c r="AS109" s="32">
        <v>1104</v>
      </c>
      <c r="AT109" s="31" t="s">
        <v>271</v>
      </c>
      <c r="AU109" s="31" t="s">
        <v>652</v>
      </c>
      <c r="AV109" s="31" t="s">
        <v>971</v>
      </c>
      <c r="AW109" s="31">
        <v>3.72</v>
      </c>
      <c r="AX109" s="31">
        <v>1.1599999999999999</v>
      </c>
      <c r="AY109" s="31" t="s">
        <v>8</v>
      </c>
      <c r="AZ109" s="31" t="s">
        <v>8</v>
      </c>
      <c r="BA109" s="31" t="s">
        <v>656</v>
      </c>
      <c r="BB109" s="31" t="s">
        <v>9</v>
      </c>
      <c r="BC109" cm="1">
        <f t="array" ref="BC109">_xlfn.IFS(BA109="Direct rLV % whole brain", AW109, BA109="Indirect rLV % whole brain", AW109, BA109="Direct rLV % hemisphere", AW109/2, BA109="Indirect rLV % hemisphere", AW109/2, AND(F109="Mouse", BA109="mm3"), (AW109/508.91)*100, AND(F109="Rat", BA109="mm3"), (AW109/1971)*100, AND(F109="Mouse", BA109="ul"), (AW109/508.91)*100, AND(F109="Rat", BA109="ul"), (AW109/1971)*100,  AND(F109="Mouse", BA109="nl"), (AW109/508910)*100, AND(F109="Rat", BA109="nl"), (AW109/1971000)*100, AND(F109="Mouse", BA109="cm3"), (AW109/0.50891)*100, AND(F109="Rat", BA109="cm3"), (AW109/1.971)*100, AND(F109="Mouse", BA109="mL"), (AW109/0.50891)*100, AND(F109="Rat", BA109="mL"), (AW109/1.971)*100, TRUE, "NA")</f>
        <v>0.18873668188736681</v>
      </c>
      <c r="BD109" t="str" cm="1">
        <f t="array" ref="BD109">_xlfn.IFS(AZ109="NA", "NA",BA109="Direct rLV % whole brain", AY109, BA109="Indirect rLV % whole brain", AY109, BA109="Direct rLV % hemisphere", AY109/2, BA109="Indirect rLV % hemisphere", AY109/2, AND(F109="Mouse", BA109="mm3"), (AY109/508.91)*100, AND(F109="Rat", BA109="mm3"), (AY109/1971)*100, AND(F109="Mouse", BA109="ul"), (AY109/508.91)*100, AND(F109="Rat", BA109="ul"), (AY109/1971)*100,  AND(F109="Mouse", BA109="nl"), (AY109/508910)*100, AND(F109="Rat", BA109="nl"), (AY109/1971000)*100, AND(F109="Mouse", BA109="cm3"), (AY109/0.50891)*100, AND(F109="Rat", BA109="cm3"), (AY109/1.971)*100, AND(F109="Mouse", BA109="mL"), (AY109/0.50891)*100, AND(F109="Rat", BA109="mL"), (AY109/1.971)*100, TRUE, "NA")</f>
        <v>NA</v>
      </c>
      <c r="BE109" t="str" cm="1">
        <f t="array" ref="BE109">_xlfn.IFS(AX109="NA", "NA", BB109="NR", "NA", BB109="SD", AX109, BB109="SE", AX109*(SQRT(R109)), BB109="SEM", AX109*(SQRT(R109)), TRUE, "NA")</f>
        <v>NA</v>
      </c>
      <c r="BF109" t="str" cm="1">
        <f t="array" ref="BF109">_xlfn.IFS(BE109="NA", "NA",BA109="Direct rLV % whole brain", BE109, BA109="Indirect rLV % whole brain", BE109, BA109="Direct rLV % hemisphere", BE109/2, BA109="Indirect rLV % hemisphere", BE109/2, AND(F109="Mouse", BA109="mm3"), (BE109/508.91)*100, AND(F109="Rat", BA109="mm3"), (BE109/1971)*100, AND(F109="Mouse", BA109="ul"), (BE109/508.91)*100, AND(F109="Rat", BA109="ul"), (BE109/1971)*100,  AND(F109="Mouse", BA109="nl"), (BE109/508910)*100, AND(F109="Rat", BA109="nl"), (BE109/1971000)*100, AND(F109="Mouse", BA109="cm3"), (BE109/0.50891)*100, AND(F109="Rat", BA109="cm3"), (BE109/1.971)*100, AND(F109="Mouse", BA109="mL"), (BE109/0.50891)*100, AND(F109="Rat", BA109="mL"), (BE109/1.971)*100, TRUE, "NA")</f>
        <v>NA</v>
      </c>
      <c r="BG109" t="str" cm="1">
        <f t="array" ref="BG109">_xlfn.IFS(AZ109="NA", "NA", BB109="NR", "NA", BB109="SD", AZ109, BB109="SE", AZ109*(SQRT(R109)), BB109="SEM", AZ109*(SQRT(R109)), TRUE, "NA")</f>
        <v>NA</v>
      </c>
      <c r="BH109" s="32" t="s">
        <v>154</v>
      </c>
      <c r="BI109" s="31" t="s">
        <v>153</v>
      </c>
      <c r="BJ109" s="31" t="s">
        <v>154</v>
      </c>
      <c r="BK109" s="31" t="s">
        <v>980</v>
      </c>
    </row>
    <row r="110" spans="1:63" x14ac:dyDescent="0.3">
      <c r="A110" t="s">
        <v>982</v>
      </c>
      <c r="B110" t="s">
        <v>981</v>
      </c>
      <c r="C110">
        <v>2007</v>
      </c>
      <c r="D110" t="s">
        <v>983</v>
      </c>
      <c r="E110" t="s">
        <v>647</v>
      </c>
      <c r="F110" t="s">
        <v>23</v>
      </c>
      <c r="G110" t="s">
        <v>10</v>
      </c>
      <c r="H110" t="s">
        <v>34</v>
      </c>
      <c r="I110" t="s">
        <v>12</v>
      </c>
      <c r="J110" t="s">
        <v>8</v>
      </c>
      <c r="K110" t="s">
        <v>8</v>
      </c>
      <c r="L110">
        <v>8</v>
      </c>
      <c r="M110" t="s">
        <v>8</v>
      </c>
      <c r="N110">
        <v>300</v>
      </c>
      <c r="O110">
        <f>AVERAGE(N110,P110)</f>
        <v>315</v>
      </c>
      <c r="P110">
        <v>330</v>
      </c>
      <c r="Q110">
        <v>1</v>
      </c>
      <c r="R110">
        <v>7</v>
      </c>
      <c r="S110">
        <v>1</v>
      </c>
      <c r="T110">
        <v>9</v>
      </c>
      <c r="U110" s="18" t="s">
        <v>66</v>
      </c>
      <c r="V110" t="s">
        <v>96</v>
      </c>
      <c r="W110" t="s">
        <v>8</v>
      </c>
      <c r="X110" t="s">
        <v>66</v>
      </c>
      <c r="Y110" t="s">
        <v>96</v>
      </c>
      <c r="Z110" t="s">
        <v>8</v>
      </c>
      <c r="AA110" t="s">
        <v>648</v>
      </c>
      <c r="AB110" t="s">
        <v>636</v>
      </c>
      <c r="AC110" t="s">
        <v>9</v>
      </c>
      <c r="AD110" t="s">
        <v>634</v>
      </c>
      <c r="AE110">
        <v>0</v>
      </c>
      <c r="AF110">
        <v>375</v>
      </c>
      <c r="AG110" t="s">
        <v>650</v>
      </c>
      <c r="AH110">
        <v>3</v>
      </c>
      <c r="AI110" cm="1">
        <f t="array" ref="AI110">_xlfn.IFS(AF110="NR", "NA", AG110="NR", "NA", AG110="NA","NA", AND(AG110="mg/ml", AH110&lt;&gt;"NR"), ((AF110/2492)*AH110*1000000), AND(AG110="mol/L", AH110&lt;&gt;"NR"), AF110*AH110*1000000, AG110="nmol", AF110*1000, AND(AG110="nmol/uL", AH110&lt;&gt;"NR"), AF110*AH110*1000, AG110="pg", AF110/2492, AG110="pmol", AF110, AND(AG110="pmol/uL", AH110&lt;&gt;"NR"), AF110*AH110, AG110="ug", AF110/2492*1000000, AND(AG110="ug/mL", AH110&lt;&gt;"NR"), (AF110/1000*AH110)/2492*1000000, AND(AG110="ug/uL", AH110&lt;&gt;"NR"), (AF110*AH110)/2492*1000000, AND(AG110="umol/L", AH110&lt;&gt;"NR"), AH110*AF110, TRUE, "NA")</f>
        <v>375</v>
      </c>
      <c r="AJ110">
        <v>5</v>
      </c>
      <c r="AK110">
        <v>1</v>
      </c>
      <c r="AL110" t="s">
        <v>9</v>
      </c>
      <c r="AM110" t="s">
        <v>8</v>
      </c>
      <c r="AN110" t="s">
        <v>9</v>
      </c>
      <c r="AO110" s="18" t="s">
        <v>984</v>
      </c>
      <c r="AP110" t="s">
        <v>1228</v>
      </c>
      <c r="AQ110">
        <v>0.17</v>
      </c>
      <c r="AR110" t="s">
        <v>103</v>
      </c>
      <c r="AS110" s="18">
        <v>672</v>
      </c>
      <c r="AT110" t="s">
        <v>271</v>
      </c>
      <c r="AU110" t="s">
        <v>663</v>
      </c>
      <c r="AV110">
        <v>0.17399999999999999</v>
      </c>
      <c r="AW110">
        <v>123.92</v>
      </c>
      <c r="AX110">
        <v>9.2100000000000009</v>
      </c>
      <c r="AY110">
        <v>89.4</v>
      </c>
      <c r="AZ110">
        <v>19.89</v>
      </c>
      <c r="BA110" t="s">
        <v>656</v>
      </c>
      <c r="BB110" t="s">
        <v>123</v>
      </c>
      <c r="BC110" cm="1">
        <f t="array" ref="BC110">_xlfn.IFS(BA110="Direct rLV % whole brain", AW110, BA110="Indirect rLV % whole brain", AW110, BA110="Direct rLV % hemisphere", AW110/2, BA110="Indirect rLV % hemisphere", AW110/2, AND(F110="Mouse", BA110="mm3"), (AW110/508.91)*100, AND(F110="Rat", BA110="mm3"), (AW110/1971)*100, AND(F110="Mouse", BA110="ul"), (AW110/508.91)*100, AND(F110="Rat", BA110="ul"), (AW110/1971)*100,  AND(F110="Mouse", BA110="nl"), (AW110/508910)*100, AND(F110="Rat", BA110="nl"), (AW110/1971000)*100, AND(F110="Mouse", BA110="cm3"), (AW110/0.50891)*100, AND(F110="Rat", BA110="cm3"), (AW110/1.971)*100, AND(F110="Mouse", BA110="mL"), (AW110/0.50891)*100, AND(F110="Rat", BA110="mL"), (AW110/1.971)*100, TRUE, "NA")</f>
        <v>6.2871638762049722</v>
      </c>
      <c r="BD110" cm="1">
        <f t="array" ref="BD110">_xlfn.IFS(AZ110="NA", "NA",BA110="Direct rLV % whole brain", AY110, BA110="Indirect rLV % whole brain", AY110, BA110="Direct rLV % hemisphere", AY110/2, BA110="Indirect rLV % hemisphere", AY110/2, AND(F110="Mouse", BA110="mm3"), (AY110/508.91)*100, AND(F110="Rat", BA110="mm3"), (AY110/1971)*100, AND(F110="Mouse", BA110="ul"), (AY110/508.91)*100, AND(F110="Rat", BA110="ul"), (AY110/1971)*100,  AND(F110="Mouse", BA110="nl"), (AY110/508910)*100, AND(F110="Rat", BA110="nl"), (AY110/1971000)*100, AND(F110="Mouse", BA110="cm3"), (AY110/0.50891)*100, AND(F110="Rat", BA110="cm3"), (AY110/1.971)*100, AND(F110="Mouse", BA110="mL"), (AY110/0.50891)*100, AND(F110="Rat", BA110="mL"), (AY110/1.971)*100, TRUE, "NA")</f>
        <v>4.5357686453576864</v>
      </c>
      <c r="BE110" cm="1">
        <f t="array" ref="BE110">_xlfn.IFS(AX110="NA", "NA", BB110="NR", "NA", BB110="SD", AX110, BB110="SE", AX110*(SQRT(R110)), BB110="SEM", AX110*(SQRT(R110)), TRUE, "NA")</f>
        <v>24.367369574904881</v>
      </c>
      <c r="BF110" cm="1">
        <f t="array" ref="BF110">_xlfn.IFS(BE110="NA", "NA",BA110="Direct rLV % whole brain", BE110, BA110="Indirect rLV % whole brain", BE110, BA110="Direct rLV % hemisphere", BE110/2, BA110="Indirect rLV % hemisphere", BE110/2, AND(F110="Mouse", BA110="mm3"), (BE110/508.91)*100, AND(F110="Rat", BA110="mm3"), (BE110/1971)*100, AND(F110="Mouse", BA110="ul"), (BE110/508.91)*100, AND(F110="Rat", BA110="ul"), (BE110/1971)*100,  AND(F110="Mouse", BA110="nl"), (BE110/508910)*100, AND(F110="Rat", BA110="nl"), (BE110/1971000)*100, AND(F110="Mouse", BA110="cm3"), (BE110/0.50891)*100, AND(F110="Rat", BA110="cm3"), (BE110/1.971)*100, AND(F110="Mouse", BA110="mL"), (BE110/0.50891)*100, AND(F110="Rat", BA110="mL"), (BE110/1.971)*100, TRUE, "NA")</f>
        <v>1.2362947526587966</v>
      </c>
      <c r="BG110" cm="1">
        <f t="array" ref="BG110">_xlfn.IFS(AZ110="NA", "NA", BB110="NR", "NA", BB110="SD", AZ110, BB110="SE", AZ110*(SQRT(R110)), BB110="SEM", AZ110*(SQRT(R110)), TRUE, "NA")</f>
        <v>52.623993577074714</v>
      </c>
      <c r="BH110" s="18" t="s">
        <v>154</v>
      </c>
      <c r="BI110" t="s">
        <v>154</v>
      </c>
      <c r="BJ110" t="s">
        <v>154</v>
      </c>
    </row>
    <row r="111" spans="1:63" s="31" customFormat="1" x14ac:dyDescent="0.3">
      <c r="A111" s="39" t="s">
        <v>986</v>
      </c>
      <c r="B111" s="31" t="s">
        <v>985</v>
      </c>
      <c r="C111" s="31">
        <v>2012</v>
      </c>
      <c r="D111" s="31" t="s">
        <v>987</v>
      </c>
      <c r="E111" s="31" t="s">
        <v>647</v>
      </c>
      <c r="F111" s="31" t="s">
        <v>23</v>
      </c>
      <c r="G111" s="31" t="s">
        <v>10</v>
      </c>
      <c r="H111" s="31" t="s">
        <v>34</v>
      </c>
      <c r="I111" s="31" t="s">
        <v>12</v>
      </c>
      <c r="J111" s="31" t="s">
        <v>8</v>
      </c>
      <c r="K111" s="31" t="s">
        <v>8</v>
      </c>
      <c r="L111" s="31">
        <v>8</v>
      </c>
      <c r="M111" s="31" t="s">
        <v>8</v>
      </c>
      <c r="N111" s="31">
        <v>250</v>
      </c>
      <c r="O111" s="31">
        <f>AVERAGE(N111,P111)</f>
        <v>265</v>
      </c>
      <c r="P111" s="31">
        <v>280</v>
      </c>
      <c r="Q111" s="31">
        <v>2</v>
      </c>
      <c r="R111" s="31">
        <v>24</v>
      </c>
      <c r="S111" s="31">
        <v>3</v>
      </c>
      <c r="T111" s="31">
        <v>8</v>
      </c>
      <c r="U111" s="32" t="s">
        <v>66</v>
      </c>
      <c r="V111" s="31" t="s">
        <v>96</v>
      </c>
      <c r="W111" s="31" t="s">
        <v>8</v>
      </c>
      <c r="X111" s="31" t="s">
        <v>66</v>
      </c>
      <c r="Y111" s="31" t="s">
        <v>96</v>
      </c>
      <c r="Z111" s="31" t="s">
        <v>8</v>
      </c>
      <c r="AA111" s="31" t="s">
        <v>648</v>
      </c>
      <c r="AB111" s="31" t="s">
        <v>636</v>
      </c>
      <c r="AC111" s="31" t="s">
        <v>153</v>
      </c>
      <c r="AD111" s="31" t="s">
        <v>634</v>
      </c>
      <c r="AE111" s="31">
        <v>0</v>
      </c>
      <c r="AF111" s="31">
        <v>1.25</v>
      </c>
      <c r="AG111" s="31" t="s">
        <v>115</v>
      </c>
      <c r="AH111" s="31">
        <v>5</v>
      </c>
      <c r="AI111" cm="1">
        <f t="array" ref="AI111">_xlfn.IFS(AF111="NR", "NA", AG111="NR", "NA", AG111="NA","NA", AND(AG111="mg/ml", AH111&lt;&gt;"NR"), ((AF111/2492)*AH111*1000000), AND(AG111="mol/L", AH111&lt;&gt;"NR"), AF111*AH111*1000000, AG111="nmol", AF111*1000, AND(AG111="nmol/uL", AH111&lt;&gt;"NR"), AF111*AH111*1000, AG111="pg", AF111/2492, AG111="pmol", AF111, AND(AG111="pmol/uL", AH111&lt;&gt;"NR"), AF111*AH111, AG111="ug", AF111/2492*1000000, AND(AG111="ug/mL", AH111&lt;&gt;"NR"), (AF111/1000*AH111)/2492*1000000, AND(AG111="ug/uL", AH111&lt;&gt;"NR"), (AF111*AH111)/2492*1000000, AND(AG111="umol/L", AH111&lt;&gt;"NR"), AH111*AF111, TRUE, "NA")</f>
        <v>1250</v>
      </c>
      <c r="AJ111" s="31">
        <v>3</v>
      </c>
      <c r="AK111" s="31">
        <v>1</v>
      </c>
      <c r="AL111" s="31" t="s">
        <v>9</v>
      </c>
      <c r="AM111" s="31" t="s">
        <v>8</v>
      </c>
      <c r="AN111" s="31" t="s">
        <v>9</v>
      </c>
      <c r="AO111" s="32" t="s">
        <v>988</v>
      </c>
      <c r="AP111" t="s">
        <v>1228</v>
      </c>
      <c r="AQ111" s="31">
        <v>-2</v>
      </c>
      <c r="AR111" s="31" t="s">
        <v>101</v>
      </c>
      <c r="AS111" s="32">
        <v>168</v>
      </c>
      <c r="AT111" s="31" t="s">
        <v>271</v>
      </c>
      <c r="AU111" s="31" t="s">
        <v>684</v>
      </c>
      <c r="AV111" s="31" t="s">
        <v>719</v>
      </c>
      <c r="AW111" s="31">
        <f>97.19+29.11</f>
        <v>126.3</v>
      </c>
      <c r="AX111" s="31">
        <f>SQRT((3.92*SQRT(R111))^2 + (2.49*SQRT(R111))^2)</f>
        <v>22.750736251822705</v>
      </c>
      <c r="AY111" s="31">
        <f>51.09+26.26</f>
        <v>77.350000000000009</v>
      </c>
      <c r="AZ111" s="31">
        <f>SQRT((1.9*SQRT(T111))^2 + (2.49*SQRT(T111))^2)</f>
        <v>8.8589389883890739</v>
      </c>
      <c r="BA111" s="31" t="s">
        <v>656</v>
      </c>
      <c r="BB111" s="31" t="s">
        <v>122</v>
      </c>
      <c r="BC111" cm="1">
        <f t="array" ref="BC111">_xlfn.IFS(BA111="Direct rLV % whole brain", AW111, BA111="Indirect rLV % whole brain", AW111, BA111="Direct rLV % hemisphere", AW111/2, BA111="Indirect rLV % hemisphere", AW111/2, AND(F111="Mouse", BA111="mm3"), (AW111/508.91)*100, AND(F111="Rat", BA111="mm3"), (AW111/1971)*100, AND(F111="Mouse", BA111="ul"), (AW111/508.91)*100, AND(F111="Rat", BA111="ul"), (AW111/1971)*100,  AND(F111="Mouse", BA111="nl"), (AW111/508910)*100, AND(F111="Rat", BA111="nl"), (AW111/1971000)*100, AND(F111="Mouse", BA111="cm3"), (AW111/0.50891)*100, AND(F111="Rat", BA111="cm3"), (AW111/1.971)*100, AND(F111="Mouse", BA111="mL"), (AW111/0.50891)*100, AND(F111="Rat", BA111="mL"), (AW111/1.971)*100, TRUE, "NA")</f>
        <v>6.4079147640791483</v>
      </c>
      <c r="BD111" cm="1">
        <f t="array" ref="BD111">_xlfn.IFS(AZ111="NA", "NA",BA111="Direct rLV % whole brain", AY111, BA111="Indirect rLV % whole brain", AY111, BA111="Direct rLV % hemisphere", AY111/2, BA111="Indirect rLV % hemisphere", AY111/2, AND(F111="Mouse", BA111="mm3"), (AY111/508.91)*100, AND(F111="Rat", BA111="mm3"), (AY111/1971)*100, AND(F111="Mouse", BA111="ul"), (AY111/508.91)*100, AND(F111="Rat", BA111="ul"), (AY111/1971)*100,  AND(F111="Mouse", BA111="nl"), (AY111/508910)*100, AND(F111="Rat", BA111="nl"), (AY111/1971000)*100, AND(F111="Mouse", BA111="cm3"), (AY111/0.50891)*100, AND(F111="Rat", BA111="cm3"), (AY111/1.971)*100, AND(F111="Mouse", BA111="mL"), (AY111/0.50891)*100, AND(F111="Rat", BA111="mL"), (AY111/1.971)*100, TRUE, "NA")</f>
        <v>3.9244038559107053</v>
      </c>
      <c r="BE111" cm="1">
        <f t="array" ref="BE111">_xlfn.IFS(AX111="NA", "NA", BB111="NR", "NA", BB111="SD", AX111, BB111="SE", AX111*(SQRT(R111)), BB111="SEM", AX111*(SQRT(R111)), TRUE, "NA")</f>
        <v>22.750736251822705</v>
      </c>
      <c r="BF111" cm="1">
        <f t="array" ref="BF111">_xlfn.IFS(BE111="NA", "NA",BA111="Direct rLV % whole brain", BE111, BA111="Indirect rLV % whole brain", BE111, BA111="Direct rLV % hemisphere", BE111/2, BA111="Indirect rLV % hemisphere", BE111/2, AND(F111="Mouse", BA111="mm3"), (BE111/508.91)*100, AND(F111="Rat", BA111="mm3"), (BE111/1971)*100, AND(F111="Mouse", BA111="ul"), (BE111/508.91)*100, AND(F111="Rat", BA111="ul"), (BE111/1971)*100,  AND(F111="Mouse", BA111="nl"), (BE111/508910)*100, AND(F111="Rat", BA111="nl"), (BE111/1971000)*100, AND(F111="Mouse", BA111="cm3"), (BE111/0.50891)*100, AND(F111="Rat", BA111="cm3"), (BE111/1.971)*100, AND(F111="Mouse", BA111="mL"), (BE111/0.50891)*100, AND(F111="Rat", BA111="mL"), (BE111/1.971)*100, TRUE, "NA")</f>
        <v>1.1542737824364639</v>
      </c>
      <c r="BG111" cm="1">
        <f t="array" ref="BG111">_xlfn.IFS(AZ111="NA", "NA", BB111="NR", "NA", BB111="SD", AZ111, BB111="SE", AZ111*(SQRT(R111)), BB111="SEM", AZ111*(SQRT(R111)), TRUE, "NA")</f>
        <v>8.8589389883890739</v>
      </c>
      <c r="BH111" s="32" t="s">
        <v>153</v>
      </c>
      <c r="BI111" s="31" t="s">
        <v>153</v>
      </c>
      <c r="BJ111" s="31" t="s">
        <v>154</v>
      </c>
    </row>
    <row r="112" spans="1:63" x14ac:dyDescent="0.3">
      <c r="A112" t="s">
        <v>990</v>
      </c>
      <c r="B112" t="s">
        <v>989</v>
      </c>
      <c r="C112">
        <v>2019</v>
      </c>
      <c r="D112" t="s">
        <v>991</v>
      </c>
      <c r="E112" t="s">
        <v>647</v>
      </c>
      <c r="F112" t="s">
        <v>23</v>
      </c>
      <c r="G112" t="s">
        <v>10</v>
      </c>
      <c r="H112" t="s">
        <v>35</v>
      </c>
      <c r="I112" t="s">
        <v>12</v>
      </c>
      <c r="J112" t="s">
        <v>8</v>
      </c>
      <c r="K112" t="s">
        <v>9</v>
      </c>
      <c r="L112" t="s">
        <v>9</v>
      </c>
      <c r="M112" t="s">
        <v>9</v>
      </c>
      <c r="N112">
        <v>200</v>
      </c>
      <c r="O112">
        <f t="shared" ref="O112" si="13">AVERAGE(N112,P112)</f>
        <v>225</v>
      </c>
      <c r="P112">
        <v>250</v>
      </c>
      <c r="Q112">
        <v>1</v>
      </c>
      <c r="R112">
        <v>6</v>
      </c>
      <c r="S112">
        <v>1</v>
      </c>
      <c r="T112">
        <v>6</v>
      </c>
      <c r="U112" s="18" t="s">
        <v>68</v>
      </c>
      <c r="V112" t="s">
        <v>8</v>
      </c>
      <c r="W112" t="s">
        <v>8</v>
      </c>
      <c r="X112" t="s">
        <v>68</v>
      </c>
      <c r="Y112" t="s">
        <v>8</v>
      </c>
      <c r="Z112" t="s">
        <v>8</v>
      </c>
      <c r="AA112" t="s">
        <v>640</v>
      </c>
      <c r="AB112" t="s">
        <v>636</v>
      </c>
      <c r="AC112" t="s">
        <v>9</v>
      </c>
      <c r="AD112" t="s">
        <v>634</v>
      </c>
      <c r="AE112">
        <v>0</v>
      </c>
      <c r="AF112">
        <f>400*4</f>
        <v>1600</v>
      </c>
      <c r="AG112" t="s">
        <v>650</v>
      </c>
      <c r="AH112">
        <f>0.8*4</f>
        <v>3.2</v>
      </c>
      <c r="AI112" cm="1">
        <f t="array" ref="AI112">_xlfn.IFS(AF112="NR", "NA", AG112="NR", "NA", AG112="NA","NA", AND(AG112="mg/ml", AH112&lt;&gt;"NR"), ((AF112/2492)*AH112*1000000), AND(AG112="mol/L", AH112&lt;&gt;"NR"), AF112*AH112*1000000, AG112="nmol", AF112*1000, AND(AG112="nmol/uL", AH112&lt;&gt;"NR"), AF112*AH112*1000, AG112="pg", AF112/2492, AG112="pmol", AF112, AND(AG112="pmol/uL", AH112&lt;&gt;"NR"), AF112*AH112, AG112="ug", AF112/2492*1000000, AND(AG112="ug/mL", AH112&lt;&gt;"NR"), (AF112/1000*AH112)/2492*1000000, AND(AG112="ug/uL", AH112&lt;&gt;"NR"), (AF112*AH112)/2492*1000000, AND(AG112="umol/L", AH112&lt;&gt;"NR"), AH112*AF112, TRUE, "NA")</f>
        <v>1600</v>
      </c>
      <c r="AJ112" t="s">
        <v>9</v>
      </c>
      <c r="AK112">
        <v>4</v>
      </c>
      <c r="AL112" t="s">
        <v>9</v>
      </c>
      <c r="AM112" t="s">
        <v>8</v>
      </c>
      <c r="AN112" t="s">
        <v>9</v>
      </c>
      <c r="AO112" s="18" t="s">
        <v>280</v>
      </c>
      <c r="AP112" t="s">
        <v>1228</v>
      </c>
      <c r="AQ112">
        <v>168</v>
      </c>
      <c r="AR112" t="s">
        <v>103</v>
      </c>
      <c r="AS112" s="18">
        <v>840</v>
      </c>
      <c r="AT112" t="s">
        <v>9</v>
      </c>
      <c r="AU112" t="s">
        <v>8</v>
      </c>
      <c r="AV112" t="s">
        <v>9</v>
      </c>
      <c r="AW112">
        <v>26.84</v>
      </c>
      <c r="AX112">
        <v>4.57</v>
      </c>
      <c r="AY112">
        <v>26.99</v>
      </c>
      <c r="AZ112">
        <v>4.7300000000000004</v>
      </c>
      <c r="BA112" t="s">
        <v>656</v>
      </c>
      <c r="BB112" t="s">
        <v>123</v>
      </c>
      <c r="BC112" cm="1">
        <f t="array" ref="BC112">_xlfn.IFS(BA112="Direct rLV % whole brain", AW112, BA112="Indirect rLV % whole brain", AW112, BA112="Direct rLV % hemisphere", AW112/2, BA112="Indirect rLV % hemisphere", AW112/2, AND(F112="Mouse", BA112="mm3"), (AW112/508.91)*100, AND(F112="Rat", BA112="mm3"), (AW112/1971)*100, AND(F112="Mouse", BA112="ul"), (AW112/508.91)*100, AND(F112="Rat", BA112="ul"), (AW112/1971)*100,  AND(F112="Mouse", BA112="nl"), (AW112/508910)*100, AND(F112="Rat", BA112="nl"), (AW112/1971000)*100, AND(F112="Mouse", BA112="cm3"), (AW112/0.50891)*100, AND(F112="Rat", BA112="cm3"), (AW112/1.971)*100, AND(F112="Mouse", BA112="mL"), (AW112/0.50891)*100, AND(F112="Rat", BA112="mL"), (AW112/1.971)*100, TRUE, "NA")</f>
        <v>1.3617453069507865</v>
      </c>
      <c r="BD112" cm="1">
        <f t="array" ref="BD112">_xlfn.IFS(AZ112="NA", "NA",BA112="Direct rLV % whole brain", AY112, BA112="Indirect rLV % whole brain", AY112, BA112="Direct rLV % hemisphere", AY112/2, BA112="Indirect rLV % hemisphere", AY112/2, AND(F112="Mouse", BA112="mm3"), (AY112/508.91)*100, AND(F112="Rat", BA112="mm3"), (AY112/1971)*100, AND(F112="Mouse", BA112="ul"), (AY112/508.91)*100, AND(F112="Rat", BA112="ul"), (AY112/1971)*100,  AND(F112="Mouse", BA112="nl"), (AY112/508910)*100, AND(F112="Rat", BA112="nl"), (AY112/1971000)*100, AND(F112="Mouse", BA112="cm3"), (AY112/0.50891)*100, AND(F112="Rat", BA112="cm3"), (AY112/1.971)*100, AND(F112="Mouse", BA112="mL"), (AY112/0.50891)*100, AND(F112="Rat", BA112="mL"), (AY112/1.971)*100, TRUE, "NA")</f>
        <v>1.3693556570268899</v>
      </c>
      <c r="BE112" cm="1">
        <f t="array" ref="BE112">_xlfn.IFS(AX112="NA", "NA", BB112="NR", "NA", BB112="SD", AX112, BB112="SE", AX112*(SQRT(R112)), BB112="SEM", AX112*(SQRT(R112)), TRUE, "NA")</f>
        <v>11.194168124519123</v>
      </c>
      <c r="BF112" cm="1">
        <f t="array" ref="BF112">_xlfn.IFS(BE112="NA", "NA",BA112="Direct rLV % whole brain", BE112, BA112="Indirect rLV % whole brain", BE112, BA112="Direct rLV % hemisphere", BE112/2, BA112="Indirect rLV % hemisphere", BE112/2, AND(F112="Mouse", BA112="mm3"), (BE112/508.91)*100, AND(F112="Rat", BA112="mm3"), (BE112/1971)*100, AND(F112="Mouse", BA112="ul"), (BE112/508.91)*100, AND(F112="Rat", BA112="ul"), (BE112/1971)*100,  AND(F112="Mouse", BA112="nl"), (BE112/508910)*100, AND(F112="Rat", BA112="nl"), (BE112/1971000)*100, AND(F112="Mouse", BA112="cm3"), (BE112/0.50891)*100, AND(F112="Rat", BA112="cm3"), (BE112/1.971)*100, AND(F112="Mouse", BA112="mL"), (BE112/0.50891)*100, AND(F112="Rat", BA112="mL"), (BE112/1.971)*100, TRUE, "NA")</f>
        <v>0.56794358825566327</v>
      </c>
      <c r="BG112" cm="1">
        <f t="array" ref="BG112">_xlfn.IFS(AZ112="NA", "NA", BB112="NR", "NA", BB112="SD", AZ112, BB112="SE", AZ112*(SQRT(R112)), BB112="SEM", AZ112*(SQRT(R112)), TRUE, "NA")</f>
        <v>11.586086483364433</v>
      </c>
      <c r="BH112" s="18" t="s">
        <v>153</v>
      </c>
      <c r="BI112" t="s">
        <v>154</v>
      </c>
      <c r="BJ112" t="s">
        <v>154</v>
      </c>
      <c r="BK112" s="34" t="s">
        <v>992</v>
      </c>
    </row>
    <row r="113" spans="1:63" s="31" customFormat="1" x14ac:dyDescent="0.3">
      <c r="A113" s="31" t="s">
        <v>994</v>
      </c>
      <c r="B113" s="31" t="s">
        <v>993</v>
      </c>
      <c r="C113" s="31">
        <v>2014</v>
      </c>
      <c r="D113" s="31" t="s">
        <v>995</v>
      </c>
      <c r="E113" s="31" t="s">
        <v>647</v>
      </c>
      <c r="F113" s="31" t="s">
        <v>23</v>
      </c>
      <c r="G113" s="31" t="s">
        <v>9</v>
      </c>
      <c r="H113" s="31" t="s">
        <v>33</v>
      </c>
      <c r="I113" s="31" t="s">
        <v>12</v>
      </c>
      <c r="J113" s="31" t="s">
        <v>8</v>
      </c>
      <c r="K113" s="31">
        <v>26</v>
      </c>
      <c r="L113" s="31">
        <f>AVERAGE(K113,M113)</f>
        <v>28</v>
      </c>
      <c r="M113" s="31">
        <v>30</v>
      </c>
      <c r="N113" s="31">
        <v>230</v>
      </c>
      <c r="O113" s="31">
        <f t="shared" ref="O113:O117" si="14">AVERAGE(N113,P113)</f>
        <v>275</v>
      </c>
      <c r="P113" s="31">
        <v>320</v>
      </c>
      <c r="Q113" s="31">
        <v>4</v>
      </c>
      <c r="R113" s="31">
        <v>6</v>
      </c>
      <c r="S113" s="31" t="s">
        <v>8</v>
      </c>
      <c r="T113" s="31" t="s">
        <v>8</v>
      </c>
      <c r="U113" s="32" t="s">
        <v>9</v>
      </c>
      <c r="V113" s="31" t="s">
        <v>8</v>
      </c>
      <c r="W113" s="31" t="s">
        <v>8</v>
      </c>
      <c r="X113" s="31" t="s">
        <v>9</v>
      </c>
      <c r="Y113" s="31" t="s">
        <v>8</v>
      </c>
      <c r="Z113" s="31" t="s">
        <v>8</v>
      </c>
      <c r="AA113" s="31" t="s">
        <v>640</v>
      </c>
      <c r="AB113" s="31" t="s">
        <v>636</v>
      </c>
      <c r="AC113" s="31" t="s">
        <v>153</v>
      </c>
      <c r="AD113" s="31" t="s">
        <v>634</v>
      </c>
      <c r="AE113" s="31">
        <v>0</v>
      </c>
      <c r="AF113" s="31" t="s">
        <v>9</v>
      </c>
      <c r="AG113" s="31" t="s">
        <v>8</v>
      </c>
      <c r="AH113" s="31">
        <v>3</v>
      </c>
      <c r="AI113" t="str" cm="1">
        <f t="array" ref="AI113">_xlfn.IFS(AF113="NR", "NA", AG113="NR", "NA", AG113="NA","NA", AND(AG113="mg/ml", AH113&lt;&gt;"NR"), ((AF113/2492)*AH113*1000000), AND(AG113="mol/L", AH113&lt;&gt;"NR"), AF113*AH113*1000000, AG113="nmol", AF113*1000, AND(AG113="nmol/uL", AH113&lt;&gt;"NR"), AF113*AH113*1000, AG113="pg", AF113/2492, AG113="pmol", AF113, AND(AG113="pmol/uL", AH113&lt;&gt;"NR"), AF113*AH113, AG113="ug", AF113/2492*1000000, AND(AG113="ug/mL", AH113&lt;&gt;"NR"), (AF113/1000*AH113)/2492*1000000, AND(AG113="ug/uL", AH113&lt;&gt;"NR"), (AF113*AH113)/2492*1000000, AND(AG113="umol/L", AH113&lt;&gt;"NR"), AH113*AF113, TRUE, "NA")</f>
        <v>NA</v>
      </c>
      <c r="AJ113" s="31" t="s">
        <v>9</v>
      </c>
      <c r="AK113" s="31">
        <v>1</v>
      </c>
      <c r="AL113" s="31" t="s">
        <v>9</v>
      </c>
      <c r="AM113" s="31" t="s">
        <v>8</v>
      </c>
      <c r="AN113" s="31" t="s">
        <v>9</v>
      </c>
      <c r="AO113" s="32" t="s">
        <v>12</v>
      </c>
      <c r="AP113" s="31" t="s">
        <v>8</v>
      </c>
      <c r="AQ113" s="31" t="s">
        <v>8</v>
      </c>
      <c r="AR113" s="31" t="s">
        <v>8</v>
      </c>
      <c r="AS113" s="32">
        <v>120</v>
      </c>
      <c r="AT113" s="31" t="s">
        <v>270</v>
      </c>
      <c r="AU113" s="31" t="s">
        <v>8</v>
      </c>
      <c r="AV113" s="31" t="s">
        <v>679</v>
      </c>
      <c r="AW113" s="31">
        <f>AVERAGE(0.081,0.106,0.128,0.144,0.109,0.188)*100</f>
        <v>12.6</v>
      </c>
      <c r="AX113" s="31">
        <f>_xlfn.STDEV.S(0.081,0.106,0.128,0.144,0.109,0.188)*100</f>
        <v>3.7110645372992344</v>
      </c>
      <c r="AY113" s="31" t="s">
        <v>8</v>
      </c>
      <c r="AZ113" s="31" t="s">
        <v>8</v>
      </c>
      <c r="BA113" s="31" t="s">
        <v>202</v>
      </c>
      <c r="BB113" s="31" t="s">
        <v>122</v>
      </c>
      <c r="BC113" cm="1">
        <f t="array" ref="BC113">_xlfn.IFS(BA113="Direct rLV % whole brain", AW113, BA113="Indirect rLV % whole brain", AW113, BA113="Direct rLV % hemisphere", AW113/2, BA113="Indirect rLV % hemisphere", AW113/2, AND(F113="Mouse", BA113="mm3"), (AW113/508.91)*100, AND(F113="Rat", BA113="mm3"), (AW113/1971)*100, AND(F113="Mouse", BA113="ul"), (AW113/508.91)*100, AND(F113="Rat", BA113="ul"), (AW113/1971)*100,  AND(F113="Mouse", BA113="nl"), (AW113/508910)*100, AND(F113="Rat", BA113="nl"), (AW113/1971000)*100, AND(F113="Mouse", BA113="cm3"), (AW113/0.50891)*100, AND(F113="Rat", BA113="cm3"), (AW113/1.971)*100, AND(F113="Mouse", BA113="mL"), (AW113/0.50891)*100, AND(F113="Rat", BA113="mL"), (AW113/1.971)*100, TRUE, "NA")</f>
        <v>6.3</v>
      </c>
      <c r="BD113" t="str" cm="1">
        <f t="array" ref="BD113">_xlfn.IFS(AZ113="NA", "NA",BA113="Direct rLV % whole brain", AY113, BA113="Indirect rLV % whole brain", AY113, BA113="Direct rLV % hemisphere", AY113/2, BA113="Indirect rLV % hemisphere", AY113/2, AND(F113="Mouse", BA113="mm3"), (AY113/508.91)*100, AND(F113="Rat", BA113="mm3"), (AY113/1971)*100, AND(F113="Mouse", BA113="ul"), (AY113/508.91)*100, AND(F113="Rat", BA113="ul"), (AY113/1971)*100,  AND(F113="Mouse", BA113="nl"), (AY113/508910)*100, AND(F113="Rat", BA113="nl"), (AY113/1971000)*100, AND(F113="Mouse", BA113="cm3"), (AY113/0.50891)*100, AND(F113="Rat", BA113="cm3"), (AY113/1.971)*100, AND(F113="Mouse", BA113="mL"), (AY113/0.50891)*100, AND(F113="Rat", BA113="mL"), (AY113/1.971)*100, TRUE, "NA")</f>
        <v>NA</v>
      </c>
      <c r="BE113" cm="1">
        <f t="array" ref="BE113">_xlfn.IFS(AX113="NA", "NA", BB113="NR", "NA", BB113="SD", AX113, BB113="SE", AX113*(SQRT(R113)), BB113="SEM", AX113*(SQRT(R113)), TRUE, "NA")</f>
        <v>3.7110645372992344</v>
      </c>
      <c r="BF113" cm="1">
        <f t="array" ref="BF113">_xlfn.IFS(BE113="NA", "NA",BA113="Direct rLV % whole brain", BE113, BA113="Indirect rLV % whole brain", BE113, BA113="Direct rLV % hemisphere", BE113/2, BA113="Indirect rLV % hemisphere", BE113/2, AND(F113="Mouse", BA113="mm3"), (BE113/508.91)*100, AND(F113="Rat", BA113="mm3"), (BE113/1971)*100, AND(F113="Mouse", BA113="ul"), (BE113/508.91)*100, AND(F113="Rat", BA113="ul"), (BE113/1971)*100,  AND(F113="Mouse", BA113="nl"), (BE113/508910)*100, AND(F113="Rat", BA113="nl"), (BE113/1971000)*100, AND(F113="Mouse", BA113="cm3"), (BE113/0.50891)*100, AND(F113="Rat", BA113="cm3"), (BE113/1.971)*100, AND(F113="Mouse", BA113="mL"), (BE113/0.50891)*100, AND(F113="Rat", BA113="mL"), (BE113/1.971)*100, TRUE, "NA")</f>
        <v>1.8555322686496172</v>
      </c>
      <c r="BG113" t="str" cm="1">
        <f t="array" ref="BG113">_xlfn.IFS(AZ113="NA", "NA", BB113="NR", "NA", BB113="SD", AZ113, BB113="SE", AZ113*(SQRT(R113)), BB113="SEM", AZ113*(SQRT(R113)), TRUE, "NA")</f>
        <v>NA</v>
      </c>
      <c r="BH113" s="32" t="s">
        <v>154</v>
      </c>
      <c r="BI113" s="31" t="s">
        <v>154</v>
      </c>
      <c r="BJ113" s="31" t="s">
        <v>154</v>
      </c>
      <c r="BK113" s="31" t="s">
        <v>996</v>
      </c>
    </row>
    <row r="114" spans="1:63" s="31" customFormat="1" x14ac:dyDescent="0.3">
      <c r="A114" s="31" t="s">
        <v>994</v>
      </c>
      <c r="B114" s="31" t="s">
        <v>993</v>
      </c>
      <c r="C114" s="31">
        <v>2014</v>
      </c>
      <c r="D114" s="31" t="s">
        <v>995</v>
      </c>
      <c r="E114" s="31" t="s">
        <v>678</v>
      </c>
      <c r="F114" s="31" t="s">
        <v>23</v>
      </c>
      <c r="G114" s="31" t="s">
        <v>9</v>
      </c>
      <c r="H114" s="31" t="s">
        <v>33</v>
      </c>
      <c r="I114" s="31" t="s">
        <v>168</v>
      </c>
      <c r="J114" s="31" t="s">
        <v>8</v>
      </c>
      <c r="K114" s="31">
        <v>43</v>
      </c>
      <c r="L114" s="31">
        <f t="shared" ref="L114:L120" si="15">AVERAGE(K114,M114)</f>
        <v>47.5</v>
      </c>
      <c r="M114" s="31">
        <v>52</v>
      </c>
      <c r="N114" s="31">
        <v>280</v>
      </c>
      <c r="O114" s="31">
        <f t="shared" si="14"/>
        <v>320</v>
      </c>
      <c r="P114" s="31">
        <v>360</v>
      </c>
      <c r="Q114" s="31">
        <v>4</v>
      </c>
      <c r="R114" s="31">
        <v>6</v>
      </c>
      <c r="S114" s="31" t="s">
        <v>8</v>
      </c>
      <c r="T114" s="31" t="s">
        <v>8</v>
      </c>
      <c r="U114" s="32" t="s">
        <v>9</v>
      </c>
      <c r="V114" s="31" t="s">
        <v>8</v>
      </c>
      <c r="W114" s="31" t="s">
        <v>8</v>
      </c>
      <c r="X114" s="31" t="s">
        <v>9</v>
      </c>
      <c r="Y114" s="31" t="s">
        <v>8</v>
      </c>
      <c r="Z114" s="31" t="s">
        <v>8</v>
      </c>
      <c r="AA114" s="31" t="s">
        <v>640</v>
      </c>
      <c r="AB114" s="31" t="s">
        <v>636</v>
      </c>
      <c r="AC114" s="31" t="s">
        <v>153</v>
      </c>
      <c r="AD114" s="31" t="s">
        <v>634</v>
      </c>
      <c r="AE114" s="31">
        <v>0</v>
      </c>
      <c r="AF114" s="31" t="s">
        <v>9</v>
      </c>
      <c r="AG114" s="31" t="s">
        <v>8</v>
      </c>
      <c r="AH114" s="31">
        <v>3</v>
      </c>
      <c r="AI114" t="str" cm="1">
        <f t="array" ref="AI114">_xlfn.IFS(AF114="NR", "NA", AG114="NR", "NA", AG114="NA","NA", AND(AG114="mg/ml", AH114&lt;&gt;"NR"), ((AF114/2492)*AH114*1000000), AND(AG114="mol/L", AH114&lt;&gt;"NR"), AF114*AH114*1000000, AG114="nmol", AF114*1000, AND(AG114="nmol/uL", AH114&lt;&gt;"NR"), AF114*AH114*1000, AG114="pg", AF114/2492, AG114="pmol", AF114, AND(AG114="pmol/uL", AH114&lt;&gt;"NR"), AF114*AH114, AG114="ug", AF114/2492*1000000, AND(AG114="ug/mL", AH114&lt;&gt;"NR"), (AF114/1000*AH114)/2492*1000000, AND(AG114="ug/uL", AH114&lt;&gt;"NR"), (AF114*AH114)/2492*1000000, AND(AG114="umol/L", AH114&lt;&gt;"NR"), AH114*AF114, TRUE, "NA")</f>
        <v>NA</v>
      </c>
      <c r="AJ114" s="31" t="s">
        <v>9</v>
      </c>
      <c r="AK114" s="31">
        <v>1</v>
      </c>
      <c r="AL114" s="31" t="s">
        <v>9</v>
      </c>
      <c r="AM114" s="31" t="s">
        <v>8</v>
      </c>
      <c r="AN114" s="31" t="s">
        <v>9</v>
      </c>
      <c r="AO114" s="32" t="s">
        <v>12</v>
      </c>
      <c r="AP114" s="31" t="s">
        <v>8</v>
      </c>
      <c r="AQ114" s="31" t="s">
        <v>8</v>
      </c>
      <c r="AR114" s="31" t="s">
        <v>8</v>
      </c>
      <c r="AS114" s="32">
        <v>120</v>
      </c>
      <c r="AT114" s="31" t="s">
        <v>270</v>
      </c>
      <c r="AU114" s="31" t="s">
        <v>8</v>
      </c>
      <c r="AV114" s="31" t="s">
        <v>674</v>
      </c>
      <c r="AW114" s="31">
        <f>AVERAGE(0.172,0.319,0.379,0.496,0.517,0.67)*100</f>
        <v>42.55</v>
      </c>
      <c r="AX114" s="31">
        <f>_xlfn.STDEV.S(0.172,0.319,0.379,0.496,0.517,0.67)*100</f>
        <v>17.371787472796235</v>
      </c>
      <c r="AY114" s="31" t="s">
        <v>8</v>
      </c>
      <c r="AZ114" s="31" t="s">
        <v>8</v>
      </c>
      <c r="BA114" s="31" t="s">
        <v>202</v>
      </c>
      <c r="BB114" s="31" t="s">
        <v>122</v>
      </c>
      <c r="BC114" cm="1">
        <f t="array" ref="BC114">_xlfn.IFS(BA114="Direct rLV % whole brain", AW114, BA114="Indirect rLV % whole brain", AW114, BA114="Direct rLV % hemisphere", AW114/2, BA114="Indirect rLV % hemisphere", AW114/2, AND(F114="Mouse", BA114="mm3"), (AW114/508.91)*100, AND(F114="Rat", BA114="mm3"), (AW114/1971)*100, AND(F114="Mouse", BA114="ul"), (AW114/508.91)*100, AND(F114="Rat", BA114="ul"), (AW114/1971)*100,  AND(F114="Mouse", BA114="nl"), (AW114/508910)*100, AND(F114="Rat", BA114="nl"), (AW114/1971000)*100, AND(F114="Mouse", BA114="cm3"), (AW114/0.50891)*100, AND(F114="Rat", BA114="cm3"), (AW114/1.971)*100, AND(F114="Mouse", BA114="mL"), (AW114/0.50891)*100, AND(F114="Rat", BA114="mL"), (AW114/1.971)*100, TRUE, "NA")</f>
        <v>21.274999999999999</v>
      </c>
      <c r="BD114" t="str" cm="1">
        <f t="array" ref="BD114">_xlfn.IFS(AZ114="NA", "NA",BA114="Direct rLV % whole brain", AY114, BA114="Indirect rLV % whole brain", AY114, BA114="Direct rLV % hemisphere", AY114/2, BA114="Indirect rLV % hemisphere", AY114/2, AND(F114="Mouse", BA114="mm3"), (AY114/508.91)*100, AND(F114="Rat", BA114="mm3"), (AY114/1971)*100, AND(F114="Mouse", BA114="ul"), (AY114/508.91)*100, AND(F114="Rat", BA114="ul"), (AY114/1971)*100,  AND(F114="Mouse", BA114="nl"), (AY114/508910)*100, AND(F114="Rat", BA114="nl"), (AY114/1971000)*100, AND(F114="Mouse", BA114="cm3"), (AY114/0.50891)*100, AND(F114="Rat", BA114="cm3"), (AY114/1.971)*100, AND(F114="Mouse", BA114="mL"), (AY114/0.50891)*100, AND(F114="Rat", BA114="mL"), (AY114/1.971)*100, TRUE, "NA")</f>
        <v>NA</v>
      </c>
      <c r="BE114" cm="1">
        <f t="array" ref="BE114">_xlfn.IFS(AX114="NA", "NA", BB114="NR", "NA", BB114="SD", AX114, BB114="SE", AX114*(SQRT(R114)), BB114="SEM", AX114*(SQRT(R114)), TRUE, "NA")</f>
        <v>17.371787472796235</v>
      </c>
      <c r="BF114" cm="1">
        <f t="array" ref="BF114">_xlfn.IFS(BE114="NA", "NA",BA114="Direct rLV % whole brain", BE114, BA114="Indirect rLV % whole brain", BE114, BA114="Direct rLV % hemisphere", BE114/2, BA114="Indirect rLV % hemisphere", BE114/2, AND(F114="Mouse", BA114="mm3"), (BE114/508.91)*100, AND(F114="Rat", BA114="mm3"), (BE114/1971)*100, AND(F114="Mouse", BA114="ul"), (BE114/508.91)*100, AND(F114="Rat", BA114="ul"), (BE114/1971)*100,  AND(F114="Mouse", BA114="nl"), (BE114/508910)*100, AND(F114="Rat", BA114="nl"), (BE114/1971000)*100, AND(F114="Mouse", BA114="cm3"), (BE114/0.50891)*100, AND(F114="Rat", BA114="cm3"), (BE114/1.971)*100, AND(F114="Mouse", BA114="mL"), (BE114/0.50891)*100, AND(F114="Rat", BA114="mL"), (BE114/1.971)*100, TRUE, "NA")</f>
        <v>8.6858937363981177</v>
      </c>
      <c r="BG114" t="str" cm="1">
        <f t="array" ref="BG114">_xlfn.IFS(AZ114="NA", "NA", BB114="NR", "NA", BB114="SD", AZ114, BB114="SE", AZ114*(SQRT(R114)), BB114="SEM", AZ114*(SQRT(R114)), TRUE, "NA")</f>
        <v>NA</v>
      </c>
      <c r="BH114" s="32" t="s">
        <v>154</v>
      </c>
      <c r="BI114" s="31" t="s">
        <v>154</v>
      </c>
      <c r="BJ114" s="31" t="s">
        <v>154</v>
      </c>
      <c r="BK114" s="31" t="s">
        <v>996</v>
      </c>
    </row>
    <row r="115" spans="1:63" s="31" customFormat="1" x14ac:dyDescent="0.3">
      <c r="A115" s="31" t="s">
        <v>994</v>
      </c>
      <c r="B115" s="31" t="s">
        <v>993</v>
      </c>
      <c r="C115" s="31">
        <v>2014</v>
      </c>
      <c r="D115" s="31" t="s">
        <v>995</v>
      </c>
      <c r="E115" s="31" t="s">
        <v>699</v>
      </c>
      <c r="F115" s="31" t="s">
        <v>23</v>
      </c>
      <c r="G115" s="31" t="s">
        <v>9</v>
      </c>
      <c r="H115" s="31" t="s">
        <v>34</v>
      </c>
      <c r="I115" s="31" t="s">
        <v>12</v>
      </c>
      <c r="J115" s="31" t="s">
        <v>8</v>
      </c>
      <c r="K115" s="31">
        <v>26</v>
      </c>
      <c r="L115" s="31">
        <f t="shared" si="15"/>
        <v>28</v>
      </c>
      <c r="M115" s="31">
        <v>30</v>
      </c>
      <c r="N115" s="31">
        <v>230</v>
      </c>
      <c r="O115" s="31">
        <f t="shared" si="14"/>
        <v>275</v>
      </c>
      <c r="P115" s="31">
        <v>320</v>
      </c>
      <c r="Q115" s="31">
        <v>4</v>
      </c>
      <c r="R115" s="31">
        <v>6</v>
      </c>
      <c r="S115" s="31" t="s">
        <v>8</v>
      </c>
      <c r="T115" s="31" t="s">
        <v>8</v>
      </c>
      <c r="U115" s="32" t="s">
        <v>9</v>
      </c>
      <c r="V115" s="31" t="s">
        <v>8</v>
      </c>
      <c r="W115" s="31" t="s">
        <v>8</v>
      </c>
      <c r="X115" s="31" t="s">
        <v>9</v>
      </c>
      <c r="Y115" s="31" t="s">
        <v>8</v>
      </c>
      <c r="Z115" s="31" t="s">
        <v>8</v>
      </c>
      <c r="AA115" s="31" t="s">
        <v>640</v>
      </c>
      <c r="AB115" s="31" t="s">
        <v>636</v>
      </c>
      <c r="AC115" s="31" t="s">
        <v>153</v>
      </c>
      <c r="AD115" s="31" t="s">
        <v>634</v>
      </c>
      <c r="AE115" s="31">
        <v>0</v>
      </c>
      <c r="AF115" s="31" t="s">
        <v>9</v>
      </c>
      <c r="AG115" s="31" t="s">
        <v>8</v>
      </c>
      <c r="AH115" s="31">
        <v>3</v>
      </c>
      <c r="AI115" t="str" cm="1">
        <f t="array" ref="AI115">_xlfn.IFS(AF115="NR", "NA", AG115="NR", "NA", AG115="NA","NA", AND(AG115="mg/ml", AH115&lt;&gt;"NR"), ((AF115/2492)*AH115*1000000), AND(AG115="mol/L", AH115&lt;&gt;"NR"), AF115*AH115*1000000, AG115="nmol", AF115*1000, AND(AG115="nmol/uL", AH115&lt;&gt;"NR"), AF115*AH115*1000, AG115="pg", AF115/2492, AG115="pmol", AF115, AND(AG115="pmol/uL", AH115&lt;&gt;"NR"), AF115*AH115, AG115="ug", AF115/2492*1000000, AND(AG115="ug/mL", AH115&lt;&gt;"NR"), (AF115/1000*AH115)/2492*1000000, AND(AG115="ug/uL", AH115&lt;&gt;"NR"), (AF115*AH115)/2492*1000000, AND(AG115="umol/L", AH115&lt;&gt;"NR"), AH115*AF115, TRUE, "NA")</f>
        <v>NA</v>
      </c>
      <c r="AJ115" s="31" t="s">
        <v>9</v>
      </c>
      <c r="AK115" s="31">
        <v>1</v>
      </c>
      <c r="AL115" s="31" t="s">
        <v>9</v>
      </c>
      <c r="AM115" s="31" t="s">
        <v>8</v>
      </c>
      <c r="AN115" s="31" t="s">
        <v>9</v>
      </c>
      <c r="AO115" s="32" t="s">
        <v>12</v>
      </c>
      <c r="AP115" s="31" t="s">
        <v>8</v>
      </c>
      <c r="AQ115" s="31" t="s">
        <v>8</v>
      </c>
      <c r="AR115" s="31" t="s">
        <v>8</v>
      </c>
      <c r="AS115" s="32">
        <v>120</v>
      </c>
      <c r="AT115" s="31" t="s">
        <v>270</v>
      </c>
      <c r="AU115" s="31" t="s">
        <v>8</v>
      </c>
      <c r="AV115" s="31" t="s">
        <v>674</v>
      </c>
      <c r="AW115" s="31">
        <f>AVERAGE(0.23,0.319,0.498,0.695,0.76,0.873)*100</f>
        <v>56.25</v>
      </c>
      <c r="AX115" s="31">
        <f>_xlfn.STDEV.S(0.23,0.319,0.498,0.695,0.76,0.873)*100</f>
        <v>25.572700287611383</v>
      </c>
      <c r="AY115" s="31" t="s">
        <v>8</v>
      </c>
      <c r="AZ115" s="31" t="s">
        <v>8</v>
      </c>
      <c r="BA115" s="31" t="s">
        <v>202</v>
      </c>
      <c r="BB115" s="31" t="s">
        <v>122</v>
      </c>
      <c r="BC115" cm="1">
        <f t="array" ref="BC115">_xlfn.IFS(BA115="Direct rLV % whole brain", AW115, BA115="Indirect rLV % whole brain", AW115, BA115="Direct rLV % hemisphere", AW115/2, BA115="Indirect rLV % hemisphere", AW115/2, AND(F115="Mouse", BA115="mm3"), (AW115/508.91)*100, AND(F115="Rat", BA115="mm3"), (AW115/1971)*100, AND(F115="Mouse", BA115="ul"), (AW115/508.91)*100, AND(F115="Rat", BA115="ul"), (AW115/1971)*100,  AND(F115="Mouse", BA115="nl"), (AW115/508910)*100, AND(F115="Rat", BA115="nl"), (AW115/1971000)*100, AND(F115="Mouse", BA115="cm3"), (AW115/0.50891)*100, AND(F115="Rat", BA115="cm3"), (AW115/1.971)*100, AND(F115="Mouse", BA115="mL"), (AW115/0.50891)*100, AND(F115="Rat", BA115="mL"), (AW115/1.971)*100, TRUE, "NA")</f>
        <v>28.125</v>
      </c>
      <c r="BD115" t="str" cm="1">
        <f t="array" ref="BD115">_xlfn.IFS(AZ115="NA", "NA",BA115="Direct rLV % whole brain", AY115, BA115="Indirect rLV % whole brain", AY115, BA115="Direct rLV % hemisphere", AY115/2, BA115="Indirect rLV % hemisphere", AY115/2, AND(F115="Mouse", BA115="mm3"), (AY115/508.91)*100, AND(F115="Rat", BA115="mm3"), (AY115/1971)*100, AND(F115="Mouse", BA115="ul"), (AY115/508.91)*100, AND(F115="Rat", BA115="ul"), (AY115/1971)*100,  AND(F115="Mouse", BA115="nl"), (AY115/508910)*100, AND(F115="Rat", BA115="nl"), (AY115/1971000)*100, AND(F115="Mouse", BA115="cm3"), (AY115/0.50891)*100, AND(F115="Rat", BA115="cm3"), (AY115/1.971)*100, AND(F115="Mouse", BA115="mL"), (AY115/0.50891)*100, AND(F115="Rat", BA115="mL"), (AY115/1.971)*100, TRUE, "NA")</f>
        <v>NA</v>
      </c>
      <c r="BE115" cm="1">
        <f t="array" ref="BE115">_xlfn.IFS(AX115="NA", "NA", BB115="NR", "NA", BB115="SD", AX115, BB115="SE", AX115*(SQRT(R115)), BB115="SEM", AX115*(SQRT(R115)), TRUE, "NA")</f>
        <v>25.572700287611383</v>
      </c>
      <c r="BF115" cm="1">
        <f t="array" ref="BF115">_xlfn.IFS(BE115="NA", "NA",BA115="Direct rLV % whole brain", BE115, BA115="Indirect rLV % whole brain", BE115, BA115="Direct rLV % hemisphere", BE115/2, BA115="Indirect rLV % hemisphere", BE115/2, AND(F115="Mouse", BA115="mm3"), (BE115/508.91)*100, AND(F115="Rat", BA115="mm3"), (BE115/1971)*100, AND(F115="Mouse", BA115="ul"), (BE115/508.91)*100, AND(F115="Rat", BA115="ul"), (BE115/1971)*100,  AND(F115="Mouse", BA115="nl"), (BE115/508910)*100, AND(F115="Rat", BA115="nl"), (BE115/1971000)*100, AND(F115="Mouse", BA115="cm3"), (BE115/0.50891)*100, AND(F115="Rat", BA115="cm3"), (BE115/1.971)*100, AND(F115="Mouse", BA115="mL"), (BE115/0.50891)*100, AND(F115="Rat", BA115="mL"), (BE115/1.971)*100, TRUE, "NA")</f>
        <v>12.786350143805691</v>
      </c>
      <c r="BG115" t="str" cm="1">
        <f t="array" ref="BG115">_xlfn.IFS(AZ115="NA", "NA", BB115="NR", "NA", BB115="SD", AZ115, BB115="SE", AZ115*(SQRT(R115)), BB115="SEM", AZ115*(SQRT(R115)), TRUE, "NA")</f>
        <v>NA</v>
      </c>
      <c r="BH115" s="32" t="s">
        <v>154</v>
      </c>
      <c r="BI115" s="31" t="s">
        <v>154</v>
      </c>
      <c r="BJ115" s="31" t="s">
        <v>154</v>
      </c>
      <c r="BK115" s="31" t="s">
        <v>996</v>
      </c>
    </row>
    <row r="116" spans="1:63" s="31" customFormat="1" x14ac:dyDescent="0.3">
      <c r="A116" s="31" t="s">
        <v>994</v>
      </c>
      <c r="B116" s="31" t="s">
        <v>993</v>
      </c>
      <c r="C116" s="31">
        <v>2014</v>
      </c>
      <c r="D116" s="31" t="s">
        <v>995</v>
      </c>
      <c r="E116" s="31" t="s">
        <v>760</v>
      </c>
      <c r="F116" s="31" t="s">
        <v>23</v>
      </c>
      <c r="G116" s="31" t="s">
        <v>9</v>
      </c>
      <c r="H116" s="31" t="s">
        <v>34</v>
      </c>
      <c r="I116" s="31" t="s">
        <v>168</v>
      </c>
      <c r="J116" s="31" t="s">
        <v>8</v>
      </c>
      <c r="K116" s="31">
        <v>43</v>
      </c>
      <c r="L116" s="31">
        <f t="shared" si="15"/>
        <v>47.5</v>
      </c>
      <c r="M116" s="31">
        <v>52</v>
      </c>
      <c r="N116" s="31">
        <v>280</v>
      </c>
      <c r="O116" s="31">
        <f t="shared" si="14"/>
        <v>320</v>
      </c>
      <c r="P116" s="31">
        <v>360</v>
      </c>
      <c r="Q116" s="31">
        <v>4</v>
      </c>
      <c r="R116" s="31">
        <v>6</v>
      </c>
      <c r="S116" s="31" t="s">
        <v>8</v>
      </c>
      <c r="T116" s="31" t="s">
        <v>8</v>
      </c>
      <c r="U116" s="32" t="s">
        <v>9</v>
      </c>
      <c r="V116" s="31" t="s">
        <v>8</v>
      </c>
      <c r="W116" s="31" t="s">
        <v>8</v>
      </c>
      <c r="X116" s="31" t="s">
        <v>9</v>
      </c>
      <c r="Y116" s="31" t="s">
        <v>8</v>
      </c>
      <c r="Z116" s="31" t="s">
        <v>8</v>
      </c>
      <c r="AA116" s="31" t="s">
        <v>640</v>
      </c>
      <c r="AB116" s="31" t="s">
        <v>636</v>
      </c>
      <c r="AC116" s="31" t="s">
        <v>153</v>
      </c>
      <c r="AD116" s="31" t="s">
        <v>634</v>
      </c>
      <c r="AE116" s="31">
        <v>0</v>
      </c>
      <c r="AF116" s="31" t="s">
        <v>9</v>
      </c>
      <c r="AG116" s="31" t="s">
        <v>8</v>
      </c>
      <c r="AH116" s="31">
        <v>3</v>
      </c>
      <c r="AI116" t="str" cm="1">
        <f t="array" ref="AI116">_xlfn.IFS(AF116="NR", "NA", AG116="NR", "NA", AG116="NA","NA", AND(AG116="mg/ml", AH116&lt;&gt;"NR"), ((AF116/2492)*AH116*1000000), AND(AG116="mol/L", AH116&lt;&gt;"NR"), AF116*AH116*1000000, AG116="nmol", AF116*1000, AND(AG116="nmol/uL", AH116&lt;&gt;"NR"), AF116*AH116*1000, AG116="pg", AF116/2492, AG116="pmol", AF116, AND(AG116="pmol/uL", AH116&lt;&gt;"NR"), AF116*AH116, AG116="ug", AF116/2492*1000000, AND(AG116="ug/mL", AH116&lt;&gt;"NR"), (AF116/1000*AH116)/2492*1000000, AND(AG116="ug/uL", AH116&lt;&gt;"NR"), (AF116*AH116)/2492*1000000, AND(AG116="umol/L", AH116&lt;&gt;"NR"), AH116*AF116, TRUE, "NA")</f>
        <v>NA</v>
      </c>
      <c r="AJ116" s="31" t="s">
        <v>9</v>
      </c>
      <c r="AK116" s="31">
        <v>1</v>
      </c>
      <c r="AL116" s="31" t="s">
        <v>9</v>
      </c>
      <c r="AM116" s="31" t="s">
        <v>8</v>
      </c>
      <c r="AN116" s="31" t="s">
        <v>9</v>
      </c>
      <c r="AO116" s="32" t="s">
        <v>12</v>
      </c>
      <c r="AP116" s="31" t="s">
        <v>8</v>
      </c>
      <c r="AQ116" s="31" t="s">
        <v>8</v>
      </c>
      <c r="AR116" s="31" t="s">
        <v>8</v>
      </c>
      <c r="AS116" s="32">
        <v>120</v>
      </c>
      <c r="AT116" s="31" t="s">
        <v>270</v>
      </c>
      <c r="AU116" s="31" t="s">
        <v>8</v>
      </c>
      <c r="AV116" s="31" t="s">
        <v>674</v>
      </c>
      <c r="AW116" s="31">
        <f>AVERAGE(0.169,0.551,0.564,0.633,0.708,0.761)*100</f>
        <v>56.433333333333337</v>
      </c>
      <c r="AX116" s="31">
        <f>_xlfn.STDEV.S(0.169,0.551,0.564,0.633,0.708,0.761)*100</f>
        <v>20.99996825394425</v>
      </c>
      <c r="AY116" s="31" t="s">
        <v>8</v>
      </c>
      <c r="AZ116" s="31" t="s">
        <v>8</v>
      </c>
      <c r="BA116" s="31" t="s">
        <v>202</v>
      </c>
      <c r="BB116" s="31" t="s">
        <v>122</v>
      </c>
      <c r="BC116" cm="1">
        <f t="array" ref="BC116">_xlfn.IFS(BA116="Direct rLV % whole brain", AW116, BA116="Indirect rLV % whole brain", AW116, BA116="Direct rLV % hemisphere", AW116/2, BA116="Indirect rLV % hemisphere", AW116/2, AND(F116="Mouse", BA116="mm3"), (AW116/508.91)*100, AND(F116="Rat", BA116="mm3"), (AW116/1971)*100, AND(F116="Mouse", BA116="ul"), (AW116/508.91)*100, AND(F116="Rat", BA116="ul"), (AW116/1971)*100,  AND(F116="Mouse", BA116="nl"), (AW116/508910)*100, AND(F116="Rat", BA116="nl"), (AW116/1971000)*100, AND(F116="Mouse", BA116="cm3"), (AW116/0.50891)*100, AND(F116="Rat", BA116="cm3"), (AW116/1.971)*100, AND(F116="Mouse", BA116="mL"), (AW116/0.50891)*100, AND(F116="Rat", BA116="mL"), (AW116/1.971)*100, TRUE, "NA")</f>
        <v>28.216666666666669</v>
      </c>
      <c r="BD116" t="str" cm="1">
        <f t="array" ref="BD116">_xlfn.IFS(AZ116="NA", "NA",BA116="Direct rLV % whole brain", AY116, BA116="Indirect rLV % whole brain", AY116, BA116="Direct rLV % hemisphere", AY116/2, BA116="Indirect rLV % hemisphere", AY116/2, AND(F116="Mouse", BA116="mm3"), (AY116/508.91)*100, AND(F116="Rat", BA116="mm3"), (AY116/1971)*100, AND(F116="Mouse", BA116="ul"), (AY116/508.91)*100, AND(F116="Rat", BA116="ul"), (AY116/1971)*100,  AND(F116="Mouse", BA116="nl"), (AY116/508910)*100, AND(F116="Rat", BA116="nl"), (AY116/1971000)*100, AND(F116="Mouse", BA116="cm3"), (AY116/0.50891)*100, AND(F116="Rat", BA116="cm3"), (AY116/1.971)*100, AND(F116="Mouse", BA116="mL"), (AY116/0.50891)*100, AND(F116="Rat", BA116="mL"), (AY116/1.971)*100, TRUE, "NA")</f>
        <v>NA</v>
      </c>
      <c r="BE116" cm="1">
        <f t="array" ref="BE116">_xlfn.IFS(AX116="NA", "NA", BB116="NR", "NA", BB116="SD", AX116, BB116="SE", AX116*(SQRT(R116)), BB116="SEM", AX116*(SQRT(R116)), TRUE, "NA")</f>
        <v>20.99996825394425</v>
      </c>
      <c r="BF116" cm="1">
        <f t="array" ref="BF116">_xlfn.IFS(BE116="NA", "NA",BA116="Direct rLV % whole brain", BE116, BA116="Indirect rLV % whole brain", BE116, BA116="Direct rLV % hemisphere", BE116/2, BA116="Indirect rLV % hemisphere", BE116/2, AND(F116="Mouse", BA116="mm3"), (BE116/508.91)*100, AND(F116="Rat", BA116="mm3"), (BE116/1971)*100, AND(F116="Mouse", BA116="ul"), (BE116/508.91)*100, AND(F116="Rat", BA116="ul"), (BE116/1971)*100,  AND(F116="Mouse", BA116="nl"), (BE116/508910)*100, AND(F116="Rat", BA116="nl"), (BE116/1971000)*100, AND(F116="Mouse", BA116="cm3"), (BE116/0.50891)*100, AND(F116="Rat", BA116="cm3"), (BE116/1.971)*100, AND(F116="Mouse", BA116="mL"), (BE116/0.50891)*100, AND(F116="Rat", BA116="mL"), (BE116/1.971)*100, TRUE, "NA")</f>
        <v>10.499984126972125</v>
      </c>
      <c r="BG116" t="str" cm="1">
        <f t="array" ref="BG116">_xlfn.IFS(AZ116="NA", "NA", BB116="NR", "NA", BB116="SD", AZ116, BB116="SE", AZ116*(SQRT(R116)), BB116="SEM", AZ116*(SQRT(R116)), TRUE, "NA")</f>
        <v>NA</v>
      </c>
      <c r="BH116" s="32" t="s">
        <v>154</v>
      </c>
      <c r="BI116" s="31" t="s">
        <v>154</v>
      </c>
      <c r="BJ116" s="31" t="s">
        <v>154</v>
      </c>
      <c r="BK116" s="31" t="s">
        <v>996</v>
      </c>
    </row>
    <row r="117" spans="1:63" x14ac:dyDescent="0.3">
      <c r="A117" t="s">
        <v>998</v>
      </c>
      <c r="B117" t="s">
        <v>997</v>
      </c>
      <c r="C117">
        <v>2020</v>
      </c>
      <c r="D117" t="s">
        <v>999</v>
      </c>
      <c r="E117" t="s">
        <v>647</v>
      </c>
      <c r="F117" t="s">
        <v>23</v>
      </c>
      <c r="G117" t="s">
        <v>11</v>
      </c>
      <c r="H117" t="s">
        <v>34</v>
      </c>
      <c r="I117" t="s">
        <v>12</v>
      </c>
      <c r="J117" t="s">
        <v>8</v>
      </c>
      <c r="K117">
        <v>6</v>
      </c>
      <c r="L117">
        <f t="shared" si="15"/>
        <v>7</v>
      </c>
      <c r="M117">
        <v>8</v>
      </c>
      <c r="N117">
        <v>275</v>
      </c>
      <c r="O117">
        <f t="shared" si="14"/>
        <v>287.5</v>
      </c>
      <c r="P117">
        <v>300</v>
      </c>
      <c r="Q117">
        <v>1</v>
      </c>
      <c r="R117">
        <v>7</v>
      </c>
      <c r="S117">
        <v>3</v>
      </c>
      <c r="T117">
        <v>6</v>
      </c>
      <c r="U117" s="18" t="s">
        <v>68</v>
      </c>
      <c r="V117" t="s">
        <v>8</v>
      </c>
      <c r="W117" t="s">
        <v>8</v>
      </c>
      <c r="X117" t="s">
        <v>12</v>
      </c>
      <c r="Y117" t="s">
        <v>8</v>
      </c>
      <c r="Z117" t="s">
        <v>8</v>
      </c>
      <c r="AA117" t="s">
        <v>648</v>
      </c>
      <c r="AB117" t="s">
        <v>636</v>
      </c>
      <c r="AC117" t="s">
        <v>153</v>
      </c>
      <c r="AD117" t="s">
        <v>610</v>
      </c>
      <c r="AE117">
        <v>24</v>
      </c>
      <c r="AF117">
        <v>280</v>
      </c>
      <c r="AG117" t="s">
        <v>650</v>
      </c>
      <c r="AH117">
        <v>6</v>
      </c>
      <c r="AI117" cm="1">
        <f t="array" ref="AI117">_xlfn.IFS(AF117="NR", "NA", AG117="NR", "NA", AG117="NA","NA", AND(AG117="mg/ml", AH117&lt;&gt;"NR"), ((AF117/2492)*AH117*1000000), AND(AG117="mol/L", AH117&lt;&gt;"NR"), AF117*AH117*1000000, AG117="nmol", AF117*1000, AND(AG117="nmol/uL", AH117&lt;&gt;"NR"), AF117*AH117*1000, AG117="pg", AF117/2492, AG117="pmol", AF117, AND(AG117="pmol/uL", AH117&lt;&gt;"NR"), AF117*AH117, AG117="ug", AF117/2492*1000000, AND(AG117="ug/mL", AH117&lt;&gt;"NR"), (AF117/1000*AH117)/2492*1000000, AND(AG117="ug/uL", AH117&lt;&gt;"NR"), (AF117*AH117)/2492*1000000, AND(AG117="umol/L", AH117&lt;&gt;"NR"), AH117*AF117, TRUE, "NA")</f>
        <v>280</v>
      </c>
      <c r="AJ117">
        <v>6</v>
      </c>
      <c r="AK117">
        <v>1</v>
      </c>
      <c r="AL117" t="s">
        <v>731</v>
      </c>
      <c r="AM117" t="s">
        <v>8</v>
      </c>
      <c r="AN117" t="s">
        <v>9</v>
      </c>
      <c r="AO117" s="18" t="s">
        <v>756</v>
      </c>
      <c r="AP117" t="s">
        <v>1228</v>
      </c>
      <c r="AQ117">
        <v>0.5</v>
      </c>
      <c r="AR117" t="s">
        <v>103</v>
      </c>
      <c r="AS117" s="18">
        <v>24</v>
      </c>
      <c r="AT117" t="s">
        <v>271</v>
      </c>
      <c r="AU117" t="s">
        <v>652</v>
      </c>
      <c r="AV117" t="s">
        <v>719</v>
      </c>
      <c r="AW117">
        <v>77.09</v>
      </c>
      <c r="AX117">
        <v>2.58</v>
      </c>
      <c r="AY117">
        <v>52.14</v>
      </c>
      <c r="AZ117">
        <v>4.82</v>
      </c>
      <c r="BA117" t="s">
        <v>656</v>
      </c>
      <c r="BB117" t="s">
        <v>123</v>
      </c>
      <c r="BC117" cm="1">
        <f t="array" ref="BC117">_xlfn.IFS(BA117="Direct rLV % whole brain", AW117, BA117="Indirect rLV % whole brain", AW117, BA117="Direct rLV % hemisphere", AW117/2, BA117="Indirect rLV % hemisphere", AW117/2, AND(F117="Mouse", BA117="mm3"), (AW117/508.91)*100, AND(F117="Rat", BA117="mm3"), (AW117/1971)*100, AND(F117="Mouse", BA117="ul"), (AW117/508.91)*100, AND(F117="Rat", BA117="ul"), (AW117/1971)*100,  AND(F117="Mouse", BA117="nl"), (AW117/508910)*100, AND(F117="Rat", BA117="nl"), (AW117/1971000)*100, AND(F117="Mouse", BA117="cm3"), (AW117/0.50891)*100, AND(F117="Rat", BA117="cm3"), (AW117/1.971)*100, AND(F117="Mouse", BA117="mL"), (AW117/0.50891)*100, AND(F117="Rat", BA117="mL"), (AW117/1.971)*100, TRUE, "NA")</f>
        <v>3.9112125824454593</v>
      </c>
      <c r="BD117" cm="1">
        <f t="array" ref="BD117">_xlfn.IFS(AZ117="NA", "NA",BA117="Direct rLV % whole brain", AY117, BA117="Indirect rLV % whole brain", AY117, BA117="Direct rLV % hemisphere", AY117/2, BA117="Indirect rLV % hemisphere", AY117/2, AND(F117="Mouse", BA117="mm3"), (AY117/508.91)*100, AND(F117="Rat", BA117="mm3"), (AY117/1971)*100, AND(F117="Mouse", BA117="ul"), (AY117/508.91)*100, AND(F117="Rat", BA117="ul"), (AY117/1971)*100,  AND(F117="Mouse", BA117="nl"), (AY117/508910)*100, AND(F117="Rat", BA117="nl"), (AY117/1971000)*100, AND(F117="Mouse", BA117="cm3"), (AY117/0.50891)*100, AND(F117="Rat", BA117="cm3"), (AY117/1.971)*100, AND(F117="Mouse", BA117="mL"), (AY117/0.50891)*100, AND(F117="Rat", BA117="mL"), (AY117/1.971)*100, TRUE, "NA")</f>
        <v>2.6453576864535768</v>
      </c>
      <c r="BE117" cm="1">
        <f t="array" ref="BE117">_xlfn.IFS(AX117="NA", "NA", BB117="NR", "NA", BB117="SD", AX117, BB117="SE", AX117*(SQRT(R117)), BB117="SEM", AX117*(SQRT(R117)), TRUE, "NA")</f>
        <v>6.8260383825466446</v>
      </c>
      <c r="BF117" cm="1">
        <f t="array" ref="BF117">_xlfn.IFS(BE117="NA", "NA",BA117="Direct rLV % whole brain", BE117, BA117="Indirect rLV % whole brain", BE117, BA117="Direct rLV % hemisphere", BE117/2, BA117="Indirect rLV % hemisphere", BE117/2, AND(F117="Mouse", BA117="mm3"), (BE117/508.91)*100, AND(F117="Rat", BA117="mm3"), (BE117/1971)*100, AND(F117="Mouse", BA117="ul"), (BE117/508.91)*100, AND(F117="Rat", BA117="ul"), (BE117/1971)*100,  AND(F117="Mouse", BA117="nl"), (BE117/508910)*100, AND(F117="Rat", BA117="nl"), (BE117/1971000)*100, AND(F117="Mouse", BA117="cm3"), (BE117/0.50891)*100, AND(F117="Rat", BA117="cm3"), (BE117/1.971)*100, AND(F117="Mouse", BA117="mL"), (BE117/0.50891)*100, AND(F117="Rat", BA117="mL"), (BE117/1.971)*100, TRUE, "NA")</f>
        <v>0.34632361149399515</v>
      </c>
      <c r="BG117" cm="1">
        <f t="array" ref="BG117">_xlfn.IFS(AZ117="NA", "NA", BB117="NR", "NA", BB117="SD", AZ117, BB117="SE", AZ117*(SQRT(R117)), BB117="SEM", AZ117*(SQRT(R117)), TRUE, "NA")</f>
        <v>12.752521319331327</v>
      </c>
      <c r="BH117" s="18" t="s">
        <v>153</v>
      </c>
      <c r="BI117" t="s">
        <v>153</v>
      </c>
      <c r="BJ117" t="s">
        <v>153</v>
      </c>
    </row>
    <row r="118" spans="1:63" x14ac:dyDescent="0.3">
      <c r="A118" t="s">
        <v>998</v>
      </c>
      <c r="B118" t="s">
        <v>997</v>
      </c>
      <c r="C118">
        <v>2020</v>
      </c>
      <c r="D118" t="s">
        <v>999</v>
      </c>
      <c r="E118" t="s">
        <v>678</v>
      </c>
      <c r="F118" t="s">
        <v>23</v>
      </c>
      <c r="G118" t="s">
        <v>11</v>
      </c>
      <c r="H118" t="s">
        <v>34</v>
      </c>
      <c r="I118" t="s">
        <v>12</v>
      </c>
      <c r="J118" t="s">
        <v>8</v>
      </c>
      <c r="K118">
        <v>6</v>
      </c>
      <c r="L118">
        <f t="shared" si="15"/>
        <v>7</v>
      </c>
      <c r="M118">
        <v>8</v>
      </c>
      <c r="N118">
        <v>275</v>
      </c>
      <c r="O118">
        <f>AVERAGE(N118,P118)</f>
        <v>287.5</v>
      </c>
      <c r="P118">
        <v>300</v>
      </c>
      <c r="Q118">
        <v>1</v>
      </c>
      <c r="R118">
        <v>7</v>
      </c>
      <c r="S118">
        <v>3</v>
      </c>
      <c r="T118">
        <v>7</v>
      </c>
      <c r="U118" s="18" t="s">
        <v>68</v>
      </c>
      <c r="V118" t="s">
        <v>8</v>
      </c>
      <c r="W118" t="s">
        <v>8</v>
      </c>
      <c r="X118" t="s">
        <v>12</v>
      </c>
      <c r="Y118" t="s">
        <v>8</v>
      </c>
      <c r="Z118" t="s">
        <v>8</v>
      </c>
      <c r="AA118" t="s">
        <v>648</v>
      </c>
      <c r="AB118" t="s">
        <v>636</v>
      </c>
      <c r="AC118" t="s">
        <v>153</v>
      </c>
      <c r="AD118" t="s">
        <v>610</v>
      </c>
      <c r="AE118">
        <v>24</v>
      </c>
      <c r="AF118">
        <v>280</v>
      </c>
      <c r="AG118" t="s">
        <v>650</v>
      </c>
      <c r="AH118">
        <v>6</v>
      </c>
      <c r="AI118" cm="1">
        <f t="array" ref="AI118">_xlfn.IFS(AF118="NR", "NA", AG118="NR", "NA", AG118="NA","NA", AND(AG118="mg/ml", AH118&lt;&gt;"NR"), ((AF118/2492)*AH118*1000000), AND(AG118="mol/L", AH118&lt;&gt;"NR"), AF118*AH118*1000000, AG118="nmol", AF118*1000, AND(AG118="nmol/uL", AH118&lt;&gt;"NR"), AF118*AH118*1000, AG118="pg", AF118/2492, AG118="pmol", AF118, AND(AG118="pmol/uL", AH118&lt;&gt;"NR"), AF118*AH118, AG118="ug", AF118/2492*1000000, AND(AG118="ug/mL", AH118&lt;&gt;"NR"), (AF118/1000*AH118)/2492*1000000, AND(AG118="ug/uL", AH118&lt;&gt;"NR"), (AF118*AH118)/2492*1000000, AND(AG118="umol/L", AH118&lt;&gt;"NR"), AH118*AF118, TRUE, "NA")</f>
        <v>280</v>
      </c>
      <c r="AJ118">
        <v>6</v>
      </c>
      <c r="AK118">
        <v>1</v>
      </c>
      <c r="AL118" t="s">
        <v>731</v>
      </c>
      <c r="AM118" t="s">
        <v>8</v>
      </c>
      <c r="AN118" t="s">
        <v>9</v>
      </c>
      <c r="AO118" s="18" t="s">
        <v>393</v>
      </c>
      <c r="AP118" t="s">
        <v>1228</v>
      </c>
      <c r="AQ118">
        <v>0.5</v>
      </c>
      <c r="AR118" t="s">
        <v>103</v>
      </c>
      <c r="AS118" s="18">
        <v>24</v>
      </c>
      <c r="AT118" t="s">
        <v>271</v>
      </c>
      <c r="AU118" t="s">
        <v>652</v>
      </c>
      <c r="AV118" t="s">
        <v>674</v>
      </c>
      <c r="AW118">
        <v>77.09</v>
      </c>
      <c r="AX118">
        <v>2.58</v>
      </c>
      <c r="AY118">
        <v>78.64</v>
      </c>
      <c r="AZ118">
        <v>3.62</v>
      </c>
      <c r="BA118" t="s">
        <v>656</v>
      </c>
      <c r="BB118" t="s">
        <v>123</v>
      </c>
      <c r="BC118" cm="1">
        <f t="array" ref="BC118">_xlfn.IFS(BA118="Direct rLV % whole brain", AW118, BA118="Indirect rLV % whole brain", AW118, BA118="Direct rLV % hemisphere", AW118/2, BA118="Indirect rLV % hemisphere", AW118/2, AND(F118="Mouse", BA118="mm3"), (AW118/508.91)*100, AND(F118="Rat", BA118="mm3"), (AW118/1971)*100, AND(F118="Mouse", BA118="ul"), (AW118/508.91)*100, AND(F118="Rat", BA118="ul"), (AW118/1971)*100,  AND(F118="Mouse", BA118="nl"), (AW118/508910)*100, AND(F118="Rat", BA118="nl"), (AW118/1971000)*100, AND(F118="Mouse", BA118="cm3"), (AW118/0.50891)*100, AND(F118="Rat", BA118="cm3"), (AW118/1.971)*100, AND(F118="Mouse", BA118="mL"), (AW118/0.50891)*100, AND(F118="Rat", BA118="mL"), (AW118/1.971)*100, TRUE, "NA")</f>
        <v>3.9112125824454593</v>
      </c>
      <c r="BD118" cm="1">
        <f t="array" ref="BD118">_xlfn.IFS(AZ118="NA", "NA",BA118="Direct rLV % whole brain", AY118, BA118="Indirect rLV % whole brain", AY118, BA118="Direct rLV % hemisphere", AY118/2, BA118="Indirect rLV % hemisphere", AY118/2, AND(F118="Mouse", BA118="mm3"), (AY118/508.91)*100, AND(F118="Rat", BA118="mm3"), (AY118/1971)*100, AND(F118="Mouse", BA118="ul"), (AY118/508.91)*100, AND(F118="Rat", BA118="ul"), (AY118/1971)*100,  AND(F118="Mouse", BA118="nl"), (AY118/508910)*100, AND(F118="Rat", BA118="nl"), (AY118/1971000)*100, AND(F118="Mouse", BA118="cm3"), (AY118/0.50891)*100, AND(F118="Rat", BA118="cm3"), (AY118/1.971)*100, AND(F118="Mouse", BA118="mL"), (AY118/0.50891)*100, AND(F118="Rat", BA118="mL"), (AY118/1.971)*100, TRUE, "NA")</f>
        <v>3.9898528665651951</v>
      </c>
      <c r="BE118" cm="1">
        <f t="array" ref="BE118">_xlfn.IFS(AX118="NA", "NA", BB118="NR", "NA", BB118="SD", AX118, BB118="SE", AX118*(SQRT(R118)), BB118="SEM", AX118*(SQRT(R118)), TRUE, "NA")</f>
        <v>6.8260383825466446</v>
      </c>
      <c r="BF118" cm="1">
        <f t="array" ref="BF118">_xlfn.IFS(BE118="NA", "NA",BA118="Direct rLV % whole brain", BE118, BA118="Indirect rLV % whole brain", BE118, BA118="Direct rLV % hemisphere", BE118/2, BA118="Indirect rLV % hemisphere", BE118/2, AND(F118="Mouse", BA118="mm3"), (BE118/508.91)*100, AND(F118="Rat", BA118="mm3"), (BE118/1971)*100, AND(F118="Mouse", BA118="ul"), (BE118/508.91)*100, AND(F118="Rat", BA118="ul"), (BE118/1971)*100,  AND(F118="Mouse", BA118="nl"), (BE118/508910)*100, AND(F118="Rat", BA118="nl"), (BE118/1971000)*100, AND(F118="Mouse", BA118="cm3"), (BE118/0.50891)*100, AND(F118="Rat", BA118="cm3"), (BE118/1.971)*100, AND(F118="Mouse", BA118="mL"), (BE118/0.50891)*100, AND(F118="Rat", BA118="mL"), (BE118/1.971)*100, TRUE, "NA")</f>
        <v>0.34632361149399515</v>
      </c>
      <c r="BG118" cm="1">
        <f t="array" ref="BG118">_xlfn.IFS(AZ118="NA", "NA", BB118="NR", "NA", BB118="SD", AZ118, BB118="SE", AZ118*(SQRT(R118)), BB118="SEM", AZ118*(SQRT(R118)), TRUE, "NA")</f>
        <v>9.5776197460538182</v>
      </c>
      <c r="BH118" s="18" t="s">
        <v>153</v>
      </c>
      <c r="BI118" t="s">
        <v>153</v>
      </c>
      <c r="BJ118" t="s">
        <v>153</v>
      </c>
    </row>
    <row r="119" spans="1:63" s="31" customFormat="1" x14ac:dyDescent="0.3">
      <c r="A119" s="31" t="s">
        <v>1000</v>
      </c>
      <c r="B119" s="31" t="s">
        <v>997</v>
      </c>
      <c r="C119" s="31">
        <v>2019</v>
      </c>
      <c r="D119" s="31" t="s">
        <v>1001</v>
      </c>
      <c r="E119" s="31" t="s">
        <v>647</v>
      </c>
      <c r="F119" s="31" t="s">
        <v>23</v>
      </c>
      <c r="G119" s="31" t="s">
        <v>11</v>
      </c>
      <c r="H119" s="31" t="s">
        <v>34</v>
      </c>
      <c r="I119" s="31" t="s">
        <v>12</v>
      </c>
      <c r="J119" s="31" t="s">
        <v>8</v>
      </c>
      <c r="K119" s="31">
        <v>26</v>
      </c>
      <c r="L119" s="31">
        <f t="shared" si="15"/>
        <v>28</v>
      </c>
      <c r="M119" s="31">
        <v>30</v>
      </c>
      <c r="N119" s="31" t="s">
        <v>8</v>
      </c>
      <c r="O119" s="31">
        <v>450</v>
      </c>
      <c r="P119" s="31" t="s">
        <v>8</v>
      </c>
      <c r="Q119" s="31">
        <v>1</v>
      </c>
      <c r="R119" s="31">
        <v>6</v>
      </c>
      <c r="S119" s="31">
        <v>1</v>
      </c>
      <c r="T119" s="31">
        <v>5</v>
      </c>
      <c r="U119" s="32" t="s">
        <v>68</v>
      </c>
      <c r="V119" s="31" t="s">
        <v>8</v>
      </c>
      <c r="W119" s="31" t="s">
        <v>8</v>
      </c>
      <c r="X119" s="31" t="s">
        <v>12</v>
      </c>
      <c r="Y119" s="31" t="s">
        <v>8</v>
      </c>
      <c r="Z119" s="31" t="s">
        <v>8</v>
      </c>
      <c r="AA119" s="31" t="s">
        <v>648</v>
      </c>
      <c r="AB119" s="31" t="s">
        <v>636</v>
      </c>
      <c r="AC119" s="31" t="s">
        <v>153</v>
      </c>
      <c r="AD119" s="31" t="s">
        <v>610</v>
      </c>
      <c r="AE119" s="31">
        <v>24</v>
      </c>
      <c r="AF119" s="31">
        <v>260</v>
      </c>
      <c r="AG119" s="31" t="s">
        <v>650</v>
      </c>
      <c r="AH119" s="31">
        <v>6</v>
      </c>
      <c r="AI119" cm="1">
        <f t="array" ref="AI119">_xlfn.IFS(AF119="NR", "NA", AG119="NR", "NA", AG119="NA","NA", AND(AG119="mg/ml", AH119&lt;&gt;"NR"), ((AF119/2492)*AH119*1000000), AND(AG119="mol/L", AH119&lt;&gt;"NR"), AF119*AH119*1000000, AG119="nmol", AF119*1000, AND(AG119="nmol/uL", AH119&lt;&gt;"NR"), AF119*AH119*1000, AG119="pg", AF119/2492, AG119="pmol", AF119, AND(AG119="pmol/uL", AH119&lt;&gt;"NR"), AF119*AH119, AG119="ug", AF119/2492*1000000, AND(AG119="ug/mL", AH119&lt;&gt;"NR"), (AF119/1000*AH119)/2492*1000000, AND(AG119="ug/uL", AH119&lt;&gt;"NR"), (AF119*AH119)/2492*1000000, AND(AG119="umol/L", AH119&lt;&gt;"NR"), AH119*AF119, TRUE, "NA")</f>
        <v>260</v>
      </c>
      <c r="AJ119" s="31" t="s">
        <v>9</v>
      </c>
      <c r="AK119" s="31">
        <v>1</v>
      </c>
      <c r="AL119" s="31" t="s">
        <v>731</v>
      </c>
      <c r="AM119" s="31" t="s">
        <v>8</v>
      </c>
      <c r="AN119" s="31" t="s">
        <v>9</v>
      </c>
      <c r="AO119" s="32" t="s">
        <v>756</v>
      </c>
      <c r="AP119" t="s">
        <v>1228</v>
      </c>
      <c r="AQ119" s="31">
        <v>0.5</v>
      </c>
      <c r="AR119" s="31" t="s">
        <v>103</v>
      </c>
      <c r="AS119" s="32">
        <v>24</v>
      </c>
      <c r="AT119" s="31" t="s">
        <v>271</v>
      </c>
      <c r="AU119" s="31" t="s">
        <v>652</v>
      </c>
      <c r="AV119" s="31" t="s">
        <v>728</v>
      </c>
      <c r="AW119" s="31">
        <v>86.85</v>
      </c>
      <c r="AX119" s="31">
        <v>19.03</v>
      </c>
      <c r="AY119" s="31">
        <v>52.48</v>
      </c>
      <c r="AZ119" s="31">
        <v>13.81</v>
      </c>
      <c r="BA119" s="31" t="s">
        <v>656</v>
      </c>
      <c r="BB119" s="31" t="s">
        <v>122</v>
      </c>
      <c r="BC119" cm="1">
        <f t="array" ref="BC119">_xlfn.IFS(BA119="Direct rLV % whole brain", AW119, BA119="Indirect rLV % whole brain", AW119, BA119="Direct rLV % hemisphere", AW119/2, BA119="Indirect rLV % hemisphere", AW119/2, AND(F119="Mouse", BA119="mm3"), (AW119/508.91)*100, AND(F119="Rat", BA119="mm3"), (AW119/1971)*100, AND(F119="Mouse", BA119="ul"), (AW119/508.91)*100, AND(F119="Rat", BA119="ul"), (AW119/1971)*100,  AND(F119="Mouse", BA119="nl"), (AW119/508910)*100, AND(F119="Rat", BA119="nl"), (AW119/1971000)*100, AND(F119="Mouse", BA119="cm3"), (AW119/0.50891)*100, AND(F119="Rat", BA119="cm3"), (AW119/1.971)*100, AND(F119="Mouse", BA119="mL"), (AW119/0.50891)*100, AND(F119="Rat", BA119="mL"), (AW119/1.971)*100, TRUE, "NA")</f>
        <v>4.4063926940639266</v>
      </c>
      <c r="BD119" cm="1">
        <f t="array" ref="BD119">_xlfn.IFS(AZ119="NA", "NA",BA119="Direct rLV % whole brain", AY119, BA119="Indirect rLV % whole brain", AY119, BA119="Direct rLV % hemisphere", AY119/2, BA119="Indirect rLV % hemisphere", AY119/2, AND(F119="Mouse", BA119="mm3"), (AY119/508.91)*100, AND(F119="Rat", BA119="mm3"), (AY119/1971)*100, AND(F119="Mouse", BA119="ul"), (AY119/508.91)*100, AND(F119="Rat", BA119="ul"), (AY119/1971)*100,  AND(F119="Mouse", BA119="nl"), (AY119/508910)*100, AND(F119="Rat", BA119="nl"), (AY119/1971000)*100, AND(F119="Mouse", BA119="cm3"), (AY119/0.50891)*100, AND(F119="Rat", BA119="cm3"), (AY119/1.971)*100, AND(F119="Mouse", BA119="mL"), (AY119/0.50891)*100, AND(F119="Rat", BA119="mL"), (AY119/1.971)*100, TRUE, "NA")</f>
        <v>2.6626078132927447</v>
      </c>
      <c r="BE119" cm="1">
        <f t="array" ref="BE119">_xlfn.IFS(AX119="NA", "NA", BB119="NR", "NA", BB119="SD", AX119, BB119="SE", AX119*(SQRT(R119)), BB119="SEM", AX119*(SQRT(R119)), TRUE, "NA")</f>
        <v>19.03</v>
      </c>
      <c r="BF119" cm="1">
        <f t="array" ref="BF119">_xlfn.IFS(BE119="NA", "NA",BA119="Direct rLV % whole brain", BE119, BA119="Indirect rLV % whole brain", BE119, BA119="Direct rLV % hemisphere", BE119/2, BA119="Indirect rLV % hemisphere", BE119/2, AND(F119="Mouse", BA119="mm3"), (BE119/508.91)*100, AND(F119="Rat", BA119="mm3"), (BE119/1971)*100, AND(F119="Mouse", BA119="ul"), (BE119/508.91)*100, AND(F119="Rat", BA119="ul"), (BE119/1971)*100,  AND(F119="Mouse", BA119="nl"), (BE119/508910)*100, AND(F119="Rat", BA119="nl"), (BE119/1971000)*100, AND(F119="Mouse", BA119="cm3"), (BE119/0.50891)*100, AND(F119="Rat", BA119="cm3"), (BE119/1.971)*100, AND(F119="Mouse", BA119="mL"), (BE119/0.50891)*100, AND(F119="Rat", BA119="mL"), (BE119/1.971)*100, TRUE, "NA")</f>
        <v>0.96549974632166424</v>
      </c>
      <c r="BG119" cm="1">
        <f t="array" ref="BG119">_xlfn.IFS(AZ119="NA", "NA", BB119="NR", "NA", BB119="SD", AZ119, BB119="SE", AZ119*(SQRT(R119)), BB119="SEM", AZ119*(SQRT(R119)), TRUE, "NA")</f>
        <v>13.81</v>
      </c>
      <c r="BH119" s="32" t="s">
        <v>154</v>
      </c>
      <c r="BI119" s="31" t="s">
        <v>154</v>
      </c>
      <c r="BJ119" s="31" t="s">
        <v>153</v>
      </c>
    </row>
    <row r="120" spans="1:63" s="31" customFormat="1" x14ac:dyDescent="0.3">
      <c r="A120" s="31" t="s">
        <v>1000</v>
      </c>
      <c r="B120" s="31" t="s">
        <v>997</v>
      </c>
      <c r="C120" s="31">
        <v>2019</v>
      </c>
      <c r="D120" s="31" t="s">
        <v>1001</v>
      </c>
      <c r="E120" s="31" t="s">
        <v>678</v>
      </c>
      <c r="F120" s="31" t="s">
        <v>23</v>
      </c>
      <c r="G120" s="31" t="s">
        <v>11</v>
      </c>
      <c r="H120" s="31" t="s">
        <v>34</v>
      </c>
      <c r="I120" s="31" t="s">
        <v>168</v>
      </c>
      <c r="J120" s="31" t="s">
        <v>8</v>
      </c>
      <c r="K120" s="31">
        <v>104</v>
      </c>
      <c r="L120" s="31">
        <f t="shared" si="15"/>
        <v>106.5</v>
      </c>
      <c r="M120" s="31">
        <v>109</v>
      </c>
      <c r="N120" s="31" t="s">
        <v>8</v>
      </c>
      <c r="O120" s="31">
        <v>450</v>
      </c>
      <c r="P120" s="31" t="s">
        <v>8</v>
      </c>
      <c r="Q120" s="31">
        <v>1</v>
      </c>
      <c r="R120" s="31">
        <v>7</v>
      </c>
      <c r="S120" s="31">
        <v>1</v>
      </c>
      <c r="T120" s="31">
        <v>8</v>
      </c>
      <c r="U120" s="32" t="s">
        <v>68</v>
      </c>
      <c r="V120" s="31" t="s">
        <v>8</v>
      </c>
      <c r="W120" s="31" t="s">
        <v>8</v>
      </c>
      <c r="X120" s="31" t="s">
        <v>12</v>
      </c>
      <c r="Y120" s="31" t="s">
        <v>8</v>
      </c>
      <c r="Z120" s="31" t="s">
        <v>8</v>
      </c>
      <c r="AA120" s="31" t="s">
        <v>648</v>
      </c>
      <c r="AB120" s="31" t="s">
        <v>636</v>
      </c>
      <c r="AC120" s="31" t="s">
        <v>153</v>
      </c>
      <c r="AD120" s="31" t="s">
        <v>610</v>
      </c>
      <c r="AE120" s="31">
        <v>48</v>
      </c>
      <c r="AF120" s="31">
        <v>120</v>
      </c>
      <c r="AG120" s="31" t="s">
        <v>650</v>
      </c>
      <c r="AH120" s="31">
        <v>6</v>
      </c>
      <c r="AI120" cm="1">
        <f t="array" ref="AI120">_xlfn.IFS(AF120="NR", "NA", AG120="NR", "NA", AG120="NA","NA", AND(AG120="mg/ml", AH120&lt;&gt;"NR"), ((AF120/2492)*AH120*1000000), AND(AG120="mol/L", AH120&lt;&gt;"NR"), AF120*AH120*1000000, AG120="nmol", AF120*1000, AND(AG120="nmol/uL", AH120&lt;&gt;"NR"), AF120*AH120*1000, AG120="pg", AF120/2492, AG120="pmol", AF120, AND(AG120="pmol/uL", AH120&lt;&gt;"NR"), AF120*AH120, AG120="ug", AF120/2492*1000000, AND(AG120="ug/mL", AH120&lt;&gt;"NR"), (AF120/1000*AH120)/2492*1000000, AND(AG120="ug/uL", AH120&lt;&gt;"NR"), (AF120*AH120)/2492*1000000, AND(AG120="umol/L", AH120&lt;&gt;"NR"), AH120*AF120, TRUE, "NA")</f>
        <v>120</v>
      </c>
      <c r="AJ120" s="31" t="s">
        <v>9</v>
      </c>
      <c r="AK120" s="31">
        <v>1</v>
      </c>
      <c r="AL120" s="31" t="s">
        <v>731</v>
      </c>
      <c r="AM120" s="31" t="s">
        <v>8</v>
      </c>
      <c r="AN120" s="31" t="s">
        <v>9</v>
      </c>
      <c r="AO120" s="32" t="s">
        <v>756</v>
      </c>
      <c r="AP120" t="s">
        <v>1228</v>
      </c>
      <c r="AQ120" s="31">
        <v>0.5</v>
      </c>
      <c r="AR120" s="31" t="s">
        <v>103</v>
      </c>
      <c r="AS120" s="32">
        <v>24</v>
      </c>
      <c r="AT120" s="31" t="s">
        <v>271</v>
      </c>
      <c r="AU120" s="31" t="s">
        <v>652</v>
      </c>
      <c r="AV120" s="31" t="s">
        <v>679</v>
      </c>
      <c r="AW120" s="31">
        <v>77.95</v>
      </c>
      <c r="AX120" s="31">
        <v>22.71</v>
      </c>
      <c r="AY120" s="31">
        <v>50.33</v>
      </c>
      <c r="AZ120" s="31">
        <v>14.73</v>
      </c>
      <c r="BA120" s="31" t="s">
        <v>656</v>
      </c>
      <c r="BB120" s="31" t="s">
        <v>122</v>
      </c>
      <c r="BC120" cm="1">
        <f t="array" ref="BC120">_xlfn.IFS(BA120="Direct rLV % whole brain", AW120, BA120="Indirect rLV % whole brain", AW120, BA120="Direct rLV % hemisphere", AW120/2, BA120="Indirect rLV % hemisphere", AW120/2, AND(F120="Mouse", BA120="mm3"), (AW120/508.91)*100, AND(F120="Rat", BA120="mm3"), (AW120/1971)*100, AND(F120="Mouse", BA120="ul"), (AW120/508.91)*100, AND(F120="Rat", BA120="ul"), (AW120/1971)*100,  AND(F120="Mouse", BA120="nl"), (AW120/508910)*100, AND(F120="Rat", BA120="nl"), (AW120/1971000)*100, AND(F120="Mouse", BA120="cm3"), (AW120/0.50891)*100, AND(F120="Rat", BA120="cm3"), (AW120/1.971)*100, AND(F120="Mouse", BA120="mL"), (AW120/0.50891)*100, AND(F120="Rat", BA120="mL"), (AW120/1.971)*100, TRUE, "NA")</f>
        <v>3.9548452562151191</v>
      </c>
      <c r="BD120" cm="1">
        <f t="array" ref="BD120">_xlfn.IFS(AZ120="NA", "NA",BA120="Direct rLV % whole brain", AY120, BA120="Indirect rLV % whole brain", AY120, BA120="Direct rLV % hemisphere", AY120/2, BA120="Indirect rLV % hemisphere", AY120/2, AND(F120="Mouse", BA120="mm3"), (AY120/508.91)*100, AND(F120="Rat", BA120="mm3"), (AY120/1971)*100, AND(F120="Mouse", BA120="ul"), (AY120/508.91)*100, AND(F120="Rat", BA120="ul"), (AY120/1971)*100,  AND(F120="Mouse", BA120="nl"), (AY120/508910)*100, AND(F120="Rat", BA120="nl"), (AY120/1971000)*100, AND(F120="Mouse", BA120="cm3"), (AY120/0.50891)*100, AND(F120="Rat", BA120="cm3"), (AY120/1.971)*100, AND(F120="Mouse", BA120="mL"), (AY120/0.50891)*100, AND(F120="Rat", BA120="mL"), (AY120/1.971)*100, TRUE, "NA")</f>
        <v>2.5535261288685946</v>
      </c>
      <c r="BE120" cm="1">
        <f t="array" ref="BE120">_xlfn.IFS(AX120="NA", "NA", BB120="NR", "NA", BB120="SD", AX120, BB120="SE", AX120*(SQRT(R120)), BB120="SEM", AX120*(SQRT(R120)), TRUE, "NA")</f>
        <v>22.71</v>
      </c>
      <c r="BF120" cm="1">
        <f t="array" ref="BF120">_xlfn.IFS(BE120="NA", "NA",BA120="Direct rLV % whole brain", BE120, BA120="Indirect rLV % whole brain", BE120, BA120="Direct rLV % hemisphere", BE120/2, BA120="Indirect rLV % hemisphere", BE120/2, AND(F120="Mouse", BA120="mm3"), (BE120/508.91)*100, AND(F120="Rat", BA120="mm3"), (BE120/1971)*100, AND(F120="Mouse", BA120="ul"), (BE120/508.91)*100, AND(F120="Rat", BA120="ul"), (BE120/1971)*100,  AND(F120="Mouse", BA120="nl"), (BE120/508910)*100, AND(F120="Rat", BA120="nl"), (BE120/1971000)*100, AND(F120="Mouse", BA120="cm3"), (BE120/0.50891)*100, AND(F120="Rat", BA120="cm3"), (BE120/1.971)*100, AND(F120="Mouse", BA120="mL"), (BE120/0.50891)*100, AND(F120="Rat", BA120="mL"), (BE120/1.971)*100, TRUE, "NA")</f>
        <v>1.15220700152207</v>
      </c>
      <c r="BG120" cm="1">
        <f t="array" ref="BG120">_xlfn.IFS(AZ120="NA", "NA", BB120="NR", "NA", BB120="SD", AZ120, BB120="SE", AZ120*(SQRT(R120)), BB120="SEM", AZ120*(SQRT(R120)), TRUE, "NA")</f>
        <v>14.73</v>
      </c>
      <c r="BH120" s="32" t="s">
        <v>154</v>
      </c>
      <c r="BI120" s="31" t="s">
        <v>154</v>
      </c>
      <c r="BJ120" s="31" t="s">
        <v>153</v>
      </c>
    </row>
    <row r="121" spans="1:63" x14ac:dyDescent="0.3">
      <c r="A121" s="38" t="s">
        <v>1003</v>
      </c>
      <c r="B121" t="s">
        <v>1002</v>
      </c>
      <c r="C121">
        <v>1995</v>
      </c>
      <c r="D121" t="s">
        <v>1004</v>
      </c>
      <c r="E121" t="s">
        <v>647</v>
      </c>
      <c r="F121" t="s">
        <v>23</v>
      </c>
      <c r="G121" t="s">
        <v>10</v>
      </c>
      <c r="H121" t="s">
        <v>34</v>
      </c>
      <c r="I121" t="s">
        <v>12</v>
      </c>
      <c r="J121" t="s">
        <v>8</v>
      </c>
      <c r="K121" t="s">
        <v>9</v>
      </c>
      <c r="L121" t="s">
        <v>9</v>
      </c>
      <c r="M121" t="s">
        <v>9</v>
      </c>
      <c r="N121">
        <v>280</v>
      </c>
      <c r="O121">
        <f>AVERAGE(N121,P121)</f>
        <v>315</v>
      </c>
      <c r="P121">
        <v>350</v>
      </c>
      <c r="Q121">
        <v>4</v>
      </c>
      <c r="R121">
        <v>8</v>
      </c>
      <c r="S121">
        <v>1</v>
      </c>
      <c r="T121">
        <v>8</v>
      </c>
      <c r="U121" s="18" t="s">
        <v>111</v>
      </c>
      <c r="V121" t="s">
        <v>8</v>
      </c>
      <c r="W121" t="s">
        <v>8</v>
      </c>
      <c r="X121" s="18" t="s">
        <v>111</v>
      </c>
      <c r="Y121" t="s">
        <v>8</v>
      </c>
      <c r="Z121" t="s">
        <v>8</v>
      </c>
      <c r="AA121" t="s">
        <v>640</v>
      </c>
      <c r="AB121" t="s">
        <v>636</v>
      </c>
      <c r="AC121" t="s">
        <v>153</v>
      </c>
      <c r="AD121" t="s">
        <v>634</v>
      </c>
      <c r="AE121">
        <v>0</v>
      </c>
      <c r="AF121">
        <v>60</v>
      </c>
      <c r="AG121" t="s">
        <v>650</v>
      </c>
      <c r="AH121">
        <v>3</v>
      </c>
      <c r="AI121" s="41" cm="1">
        <f t="array" ref="AI121">_xlfn.IFS(AF121="NR", "NA", AG121="NR", "NA", AG121="NA","NA", AND(AG121="mg/ml", AH121&lt;&gt;"NR"), ((AF121/2492)*AH121*1000000), AND(AG121="mol/L", AH121&lt;&gt;"NR"), AF121*AH121*1000000, AG121="nmol", AF121*1000, AND(AG121="nmol/uL", AH121&lt;&gt;"NR"), AF121*AH121*1000, AG121="pg", AF121/2492, AG121="pmol", AF121, AND(AG121="pmol/uL", AH121&lt;&gt;"NR"), AF121*AH121, AG121="ug", AF121/2492*1000000, AND(AG121="ug/mL", AH121&lt;&gt;"NR"), (AF121/1000*AH121)/2492*1000000, AND(AG121="ug/uL", AH121&lt;&gt;"NR"), (AF121*AH121)/2492*1000000, AND(AG121="umol/L", AH121&lt;&gt;"NR"), AH121*AF121, TRUE, "NA")</f>
        <v>60</v>
      </c>
      <c r="AJ121">
        <v>2</v>
      </c>
      <c r="AK121">
        <v>1</v>
      </c>
      <c r="AL121" t="s">
        <v>9</v>
      </c>
      <c r="AM121" t="s">
        <v>8</v>
      </c>
      <c r="AN121" t="s">
        <v>9</v>
      </c>
      <c r="AO121" s="18" t="s">
        <v>176</v>
      </c>
      <c r="AP121" t="s">
        <v>1228</v>
      </c>
      <c r="AQ121">
        <v>-0.5</v>
      </c>
      <c r="AR121" t="s">
        <v>101</v>
      </c>
      <c r="AS121" s="18">
        <v>72</v>
      </c>
      <c r="AT121" t="s">
        <v>271</v>
      </c>
      <c r="AU121" t="s">
        <v>652</v>
      </c>
      <c r="AV121" t="s">
        <v>679</v>
      </c>
      <c r="AW121">
        <f>98.26+30.94</f>
        <v>129.20000000000002</v>
      </c>
      <c r="AX121">
        <f>SQRT((11.4*SQRT(R121))^2 + (3.8*SQRT(R121))^2)</f>
        <v>33.988233257996804</v>
      </c>
      <c r="AY121">
        <f>47+33</f>
        <v>80</v>
      </c>
      <c r="AZ121">
        <f>SQRT((16*SQRT(T121))^2 + (4*SQRT(T121))^2)</f>
        <v>46.647615158762406</v>
      </c>
      <c r="BA121" t="s">
        <v>656</v>
      </c>
      <c r="BB121" t="s">
        <v>122</v>
      </c>
      <c r="BC121" cm="1">
        <f t="array" ref="BC121">_xlfn.IFS(BA121="Direct rLV % whole brain", AW121, BA121="Indirect rLV % whole brain", AW121, BA121="Direct rLV % hemisphere", AW121/2, BA121="Indirect rLV % hemisphere", AW121/2, AND(F121="Mouse", BA121="mm3"), (AW121/508.91)*100, AND(F121="Rat", BA121="mm3"), (AW121/1971)*100, AND(F121="Mouse", BA121="ul"), (AW121/508.91)*100, AND(F121="Rat", BA121="ul"), (AW121/1971)*100,  AND(F121="Mouse", BA121="nl"), (AW121/508910)*100, AND(F121="Rat", BA121="nl"), (AW121/1971000)*100, AND(F121="Mouse", BA121="cm3"), (AW121/0.50891)*100, AND(F121="Rat", BA121="cm3"), (AW121/1.971)*100, AND(F121="Mouse", BA121="mL"), (AW121/0.50891)*100, AND(F121="Rat", BA121="mL"), (AW121/1.971)*100, TRUE, "NA")</f>
        <v>6.5550481988838154</v>
      </c>
      <c r="BD121" cm="1">
        <f t="array" ref="BD121">_xlfn.IFS(AZ121="NA", "NA",BA121="Direct rLV % whole brain", AY121, BA121="Indirect rLV % whole brain", AY121, BA121="Direct rLV % hemisphere", AY121/2, BA121="Indirect rLV % hemisphere", AY121/2, AND(F121="Mouse", BA121="mm3"), (AY121/508.91)*100, AND(F121="Rat", BA121="mm3"), (AY121/1971)*100, AND(F121="Mouse", BA121="ul"), (AY121/508.91)*100, AND(F121="Rat", BA121="ul"), (AY121/1971)*100,  AND(F121="Mouse", BA121="nl"), (AY121/508910)*100, AND(F121="Rat", BA121="nl"), (AY121/1971000)*100, AND(F121="Mouse", BA121="cm3"), (AY121/0.50891)*100, AND(F121="Rat", BA121="cm3"), (AY121/1.971)*100, AND(F121="Mouse", BA121="mL"), (AY121/0.50891)*100, AND(F121="Rat", BA121="mL"), (AY121/1.971)*100, TRUE, "NA")</f>
        <v>4.0588533739218668</v>
      </c>
      <c r="BE121" cm="1">
        <f t="array" ref="BE121">_xlfn.IFS(AX121="NA", "NA", BB121="NR", "NA", BB121="SD", AX121, BB121="SE", AX121*(SQRT(R121)), BB121="SEM", AX121*(SQRT(R121)), TRUE, "NA")</f>
        <v>33.988233257996804</v>
      </c>
      <c r="BF121" cm="1">
        <f t="array" ref="BF121">_xlfn.IFS(BE121="NA", "NA",BA121="Direct rLV % whole brain", BE121, BA121="Indirect rLV % whole brain", BE121, BA121="Direct rLV % hemisphere", BE121/2, BA121="Indirect rLV % hemisphere", BE121/2, AND(F121="Mouse", BA121="mm3"), (BE121/508.91)*100, AND(F121="Rat", BA121="mm3"), (BE121/1971)*100, AND(F121="Mouse", BA121="ul"), (BE121/508.91)*100, AND(F121="Rat", BA121="ul"), (BE121/1971)*100,  AND(F121="Mouse", BA121="nl"), (BE121/508910)*100, AND(F121="Rat", BA121="nl"), (BE121/1971000)*100, AND(F121="Mouse", BA121="cm3"), (BE121/0.50891)*100, AND(F121="Rat", BA121="cm3"), (BE121/1.971)*100, AND(F121="Mouse", BA121="mL"), (BE121/0.50891)*100, AND(F121="Rat", BA121="mL"), (BE121/1.971)*100, TRUE, "NA")</f>
        <v>1.7244156904107966</v>
      </c>
      <c r="BG121" cm="1">
        <f t="array" ref="BG121">_xlfn.IFS(AZ121="NA", "NA", BB121="NR", "NA", BB121="SD", AZ121, BB121="SE", AZ121*(SQRT(R121)), BB121="SEM", AZ121*(SQRT(R121)), TRUE, "NA")</f>
        <v>46.647615158762406</v>
      </c>
      <c r="BH121" s="18" t="s">
        <v>154</v>
      </c>
      <c r="BI121" t="s">
        <v>153</v>
      </c>
      <c r="BJ121" t="s">
        <v>154</v>
      </c>
    </row>
    <row r="122" spans="1:63" x14ac:dyDescent="0.3">
      <c r="A122" s="38" t="s">
        <v>1003</v>
      </c>
      <c r="B122" t="s">
        <v>1002</v>
      </c>
      <c r="C122">
        <v>1995</v>
      </c>
      <c r="D122" t="s">
        <v>1004</v>
      </c>
      <c r="E122" t="s">
        <v>678</v>
      </c>
      <c r="F122" t="s">
        <v>23</v>
      </c>
      <c r="G122" t="s">
        <v>10</v>
      </c>
      <c r="H122" t="s">
        <v>34</v>
      </c>
      <c r="I122" t="s">
        <v>12</v>
      </c>
      <c r="J122" t="s">
        <v>8</v>
      </c>
      <c r="K122" t="s">
        <v>9</v>
      </c>
      <c r="L122" t="s">
        <v>9</v>
      </c>
      <c r="M122" t="s">
        <v>9</v>
      </c>
      <c r="N122">
        <v>280</v>
      </c>
      <c r="O122">
        <f t="shared" ref="O122" si="16">AVERAGE(N122,P122)</f>
        <v>315</v>
      </c>
      <c r="P122">
        <v>350</v>
      </c>
      <c r="Q122">
        <v>4</v>
      </c>
      <c r="R122">
        <v>8</v>
      </c>
      <c r="S122" t="s">
        <v>8</v>
      </c>
      <c r="T122" t="s">
        <v>8</v>
      </c>
      <c r="U122" s="18" t="s">
        <v>66</v>
      </c>
      <c r="V122" t="s">
        <v>96</v>
      </c>
      <c r="W122" t="s">
        <v>8</v>
      </c>
      <c r="X122" s="18" t="s">
        <v>66</v>
      </c>
      <c r="Y122" t="s">
        <v>96</v>
      </c>
      <c r="Z122" t="s">
        <v>8</v>
      </c>
      <c r="AA122" t="s">
        <v>640</v>
      </c>
      <c r="AB122" t="s">
        <v>636</v>
      </c>
      <c r="AC122" t="s">
        <v>153</v>
      </c>
      <c r="AD122" t="s">
        <v>634</v>
      </c>
      <c r="AE122">
        <v>0</v>
      </c>
      <c r="AF122">
        <v>60</v>
      </c>
      <c r="AG122" t="s">
        <v>650</v>
      </c>
      <c r="AH122">
        <v>3</v>
      </c>
      <c r="AI122" s="41" cm="1">
        <f t="array" ref="AI122">_xlfn.IFS(AF122="NR", "NA", AG122="NR", "NA", AG122="NA","NA", AND(AG122="mg/ml", AH122&lt;&gt;"NR"), ((AF122/2492)*AH122*1000000), AND(AG122="mol/L", AH122&lt;&gt;"NR"), AF122*AH122*1000000, AG122="nmol", AF122*1000, AND(AG122="nmol/uL", AH122&lt;&gt;"NR"), AF122*AH122*1000, AG122="pg", AF122/2492, AG122="pmol", AF122, AND(AG122="pmol/uL", AH122&lt;&gt;"NR"), AF122*AH122, AG122="ug", AF122/2492*1000000, AND(AG122="ug/mL", AH122&lt;&gt;"NR"), (AF122/1000*AH122)/2492*1000000, AND(AG122="ug/uL", AH122&lt;&gt;"NR"), (AF122*AH122)/2492*1000000, AND(AG122="umol/L", AH122&lt;&gt;"NR"), AH122*AF122, TRUE, "NA")</f>
        <v>60</v>
      </c>
      <c r="AJ122">
        <v>2</v>
      </c>
      <c r="AK122">
        <v>1</v>
      </c>
      <c r="AL122" t="s">
        <v>9</v>
      </c>
      <c r="AM122" t="s">
        <v>8</v>
      </c>
      <c r="AN122" t="s">
        <v>9</v>
      </c>
      <c r="AO122" s="18" t="s">
        <v>12</v>
      </c>
      <c r="AP122" t="s">
        <v>8</v>
      </c>
      <c r="AQ122" t="s">
        <v>8</v>
      </c>
      <c r="AR122" t="s">
        <v>8</v>
      </c>
      <c r="AS122" s="18">
        <v>72</v>
      </c>
      <c r="AT122" t="s">
        <v>271</v>
      </c>
      <c r="AU122" t="s">
        <v>652</v>
      </c>
      <c r="AV122" t="s">
        <v>8</v>
      </c>
      <c r="AW122">
        <f>215+39.63</f>
        <v>254.63</v>
      </c>
      <c r="AX122">
        <f>SQRT((27*SQRT(R122))^2 + (3.26*SQRT(R122))^2)</f>
        <v>76.922173656235174</v>
      </c>
      <c r="AY122" t="s">
        <v>8</v>
      </c>
      <c r="AZ122" t="s">
        <v>8</v>
      </c>
      <c r="BA122" t="s">
        <v>656</v>
      </c>
      <c r="BB122" t="s">
        <v>122</v>
      </c>
      <c r="BC122" cm="1">
        <f t="array" ref="BC122">_xlfn.IFS(BA122="Direct rLV % whole brain", AW122, BA122="Indirect rLV % whole brain", AW122, BA122="Direct rLV % hemisphere", AW122/2, BA122="Indirect rLV % hemisphere", AW122/2, AND(F122="Mouse", BA122="mm3"), (AW122/508.91)*100, AND(F122="Rat", BA122="mm3"), (AW122/1971)*100, AND(F122="Mouse", BA122="ul"), (AW122/508.91)*100, AND(F122="Rat", BA122="ul"), (AW122/1971)*100,  AND(F122="Mouse", BA122="nl"), (AW122/508910)*100, AND(F122="Rat", BA122="nl"), (AW122/1971000)*100, AND(F122="Mouse", BA122="cm3"), (AW122/0.50891)*100, AND(F122="Rat", BA122="cm3"), (AW122/1.971)*100, AND(F122="Mouse", BA122="mL"), (AW122/0.50891)*100, AND(F122="Rat", BA122="mL"), (AW122/1.971)*100, TRUE, "NA")</f>
        <v>12.918822932521563</v>
      </c>
      <c r="BD122" t="str" cm="1">
        <f t="array" ref="BD122">_xlfn.IFS(AZ122="NA", "NA",BA122="Direct rLV % whole brain", AY122, BA122="Indirect rLV % whole brain", AY122, BA122="Direct rLV % hemisphere", AY122/2, BA122="Indirect rLV % hemisphere", AY122/2, AND(F122="Mouse", BA122="mm3"), (AY122/508.91)*100, AND(F122="Rat", BA122="mm3"), (AY122/1971)*100, AND(F122="Mouse", BA122="ul"), (AY122/508.91)*100, AND(F122="Rat", BA122="ul"), (AY122/1971)*100,  AND(F122="Mouse", BA122="nl"), (AY122/508910)*100, AND(F122="Rat", BA122="nl"), (AY122/1971000)*100, AND(F122="Mouse", BA122="cm3"), (AY122/0.50891)*100, AND(F122="Rat", BA122="cm3"), (AY122/1.971)*100, AND(F122="Mouse", BA122="mL"), (AY122/0.50891)*100, AND(F122="Rat", BA122="mL"), (AY122/1.971)*100, TRUE, "NA")</f>
        <v>NA</v>
      </c>
      <c r="BE122" cm="1">
        <f t="array" ref="BE122">_xlfn.IFS(AX122="NA", "NA", BB122="NR", "NA", BB122="SD", AX122, BB122="SE", AX122*(SQRT(R122)), BB122="SEM", AX122*(SQRT(R122)), TRUE, "NA")</f>
        <v>76.922173656235174</v>
      </c>
      <c r="BF122" cm="1">
        <f t="array" ref="BF122">_xlfn.IFS(BE122="NA", "NA",BA122="Direct rLV % whole brain", BE122, BA122="Indirect rLV % whole brain", BE122, BA122="Direct rLV % hemisphere", BE122/2, BA122="Indirect rLV % hemisphere", BE122/2, AND(F122="Mouse", BA122="mm3"), (BE122/508.91)*100, AND(F122="Rat", BA122="mm3"), (BE122/1971)*100, AND(F122="Mouse", BA122="ul"), (BE122/508.91)*100, AND(F122="Rat", BA122="ul"), (BE122/1971)*100,  AND(F122="Mouse", BA122="nl"), (BE122/508910)*100, AND(F122="Rat", BA122="nl"), (BE122/1971000)*100, AND(F122="Mouse", BA122="cm3"), (BE122/0.50891)*100, AND(F122="Rat", BA122="cm3"), (BE122/1.971)*100, AND(F122="Mouse", BA122="mL"), (BE122/0.50891)*100, AND(F122="Rat", BA122="mL"), (BE122/1.971)*100, TRUE, "NA")</f>
        <v>3.9026978009251736</v>
      </c>
      <c r="BG122" t="str" cm="1">
        <f t="array" ref="BG122">_xlfn.IFS(AZ122="NA", "NA", BB122="NR", "NA", BB122="SD", AZ122, BB122="SE", AZ122*(SQRT(R122)), BB122="SEM", AZ122*(SQRT(R122)), TRUE, "NA")</f>
        <v>NA</v>
      </c>
      <c r="BH122" s="18" t="s">
        <v>154</v>
      </c>
      <c r="BI122" t="s">
        <v>153</v>
      </c>
      <c r="BJ122" t="s">
        <v>154</v>
      </c>
      <c r="BK122" t="s">
        <v>1242</v>
      </c>
    </row>
    <row r="123" spans="1:63" s="31" customFormat="1" x14ac:dyDescent="0.3">
      <c r="A123" s="39" t="s">
        <v>1005</v>
      </c>
      <c r="B123" s="31" t="s">
        <v>1002</v>
      </c>
      <c r="C123" s="31">
        <v>1994</v>
      </c>
      <c r="D123" s="31" t="s">
        <v>1006</v>
      </c>
      <c r="E123" s="31" t="s">
        <v>647</v>
      </c>
      <c r="F123" s="31" t="s">
        <v>23</v>
      </c>
      <c r="G123" s="31" t="s">
        <v>10</v>
      </c>
      <c r="H123" s="31" t="s">
        <v>34</v>
      </c>
      <c r="I123" s="31" t="s">
        <v>12</v>
      </c>
      <c r="J123" s="31" t="s">
        <v>8</v>
      </c>
      <c r="K123" s="31" t="s">
        <v>9</v>
      </c>
      <c r="L123" s="31" t="s">
        <v>9</v>
      </c>
      <c r="M123" s="31" t="s">
        <v>9</v>
      </c>
      <c r="N123" s="31">
        <v>280</v>
      </c>
      <c r="O123" s="31">
        <f>AVERAGE(N123,P123)</f>
        <v>315</v>
      </c>
      <c r="P123" s="31">
        <v>350</v>
      </c>
      <c r="Q123" s="31">
        <v>2</v>
      </c>
      <c r="R123" s="31">
        <v>8</v>
      </c>
      <c r="S123" s="31" t="s">
        <v>8</v>
      </c>
      <c r="T123" s="31" t="s">
        <v>8</v>
      </c>
      <c r="U123" s="32" t="s">
        <v>111</v>
      </c>
      <c r="V123" s="31" t="s">
        <v>8</v>
      </c>
      <c r="W123" s="31" t="s">
        <v>8</v>
      </c>
      <c r="X123" s="31" t="s">
        <v>111</v>
      </c>
      <c r="Y123" s="31" t="s">
        <v>8</v>
      </c>
      <c r="Z123" s="31" t="s">
        <v>8</v>
      </c>
      <c r="AA123" s="31" t="s">
        <v>640</v>
      </c>
      <c r="AB123" s="31" t="s">
        <v>636</v>
      </c>
      <c r="AC123" s="31" t="s">
        <v>153</v>
      </c>
      <c r="AD123" s="31" t="s">
        <v>634</v>
      </c>
      <c r="AE123" s="31">
        <v>0</v>
      </c>
      <c r="AF123" s="31">
        <v>60</v>
      </c>
      <c r="AG123" s="31" t="s">
        <v>650</v>
      </c>
      <c r="AH123" s="31">
        <v>3</v>
      </c>
      <c r="AI123" cm="1">
        <f t="array" ref="AI123">_xlfn.IFS(AF123="NR", "NA", AG123="NR", "NA", AG123="NA","NA", AND(AG123="mg/ml", AH123&lt;&gt;"NR"), ((AF123/2492)*AH123*1000000), AND(AG123="mol/L", AH123&lt;&gt;"NR"), AF123*AH123*1000000, AG123="nmol", AF123*1000, AND(AG123="nmol/uL", AH123&lt;&gt;"NR"), AF123*AH123*1000, AG123="pg", AF123/2492, AG123="pmol", AF123, AND(AG123="pmol/uL", AH123&lt;&gt;"NR"), AF123*AH123, AG123="ug", AF123/2492*1000000, AND(AG123="ug/mL", AH123&lt;&gt;"NR"), (AF123/1000*AH123)/2492*1000000, AND(AG123="ug/uL", AH123&lt;&gt;"NR"), (AF123*AH123)/2492*1000000, AND(AG123="umol/L", AH123&lt;&gt;"NR"), AH123*AF123, TRUE, "NA")</f>
        <v>60</v>
      </c>
      <c r="AJ123" s="31">
        <v>2</v>
      </c>
      <c r="AK123" s="31">
        <v>1</v>
      </c>
      <c r="AL123" s="31" t="s">
        <v>9</v>
      </c>
      <c r="AM123" s="31" t="s">
        <v>8</v>
      </c>
      <c r="AN123" s="31" t="s">
        <v>9</v>
      </c>
      <c r="AO123" s="32" t="s">
        <v>12</v>
      </c>
      <c r="AP123" s="31" t="s">
        <v>8</v>
      </c>
      <c r="AQ123" s="31" t="s">
        <v>8</v>
      </c>
      <c r="AR123" s="31" t="s">
        <v>8</v>
      </c>
      <c r="AS123" s="32">
        <v>72</v>
      </c>
      <c r="AT123" s="31" t="s">
        <v>271</v>
      </c>
      <c r="AU123" s="31" t="s">
        <v>9</v>
      </c>
      <c r="AV123" s="31" t="s">
        <v>8</v>
      </c>
      <c r="AW123" s="31">
        <f>98+32</f>
        <v>130</v>
      </c>
      <c r="AX123" s="31">
        <f>SQRT((12*SQRT(R123))^2 + (3*SQRT(R123))^2)</f>
        <v>34.985711369071808</v>
      </c>
      <c r="AY123" s="31" t="s">
        <v>8</v>
      </c>
      <c r="AZ123" s="31" t="s">
        <v>8</v>
      </c>
      <c r="BA123" s="31" t="s">
        <v>656</v>
      </c>
      <c r="BB123" s="31" t="s">
        <v>122</v>
      </c>
      <c r="BC123" cm="1">
        <f t="array" ref="BC123">_xlfn.IFS(BA123="Direct rLV % whole brain", AW123, BA123="Indirect rLV % whole brain", AW123, BA123="Direct rLV % hemisphere", AW123/2, BA123="Indirect rLV % hemisphere", AW123/2, AND(F123="Mouse", BA123="mm3"), (AW123/508.91)*100, AND(F123="Rat", BA123="mm3"), (AW123/1971)*100, AND(F123="Mouse", BA123="ul"), (AW123/508.91)*100, AND(F123="Rat", BA123="ul"), (AW123/1971)*100,  AND(F123="Mouse", BA123="nl"), (AW123/508910)*100, AND(F123="Rat", BA123="nl"), (AW123/1971000)*100, AND(F123="Mouse", BA123="cm3"), (AW123/0.50891)*100, AND(F123="Rat", BA123="cm3"), (AW123/1.971)*100, AND(F123="Mouse", BA123="mL"), (AW123/0.50891)*100, AND(F123="Rat", BA123="mL"), (AW123/1.971)*100, TRUE, "NA")</f>
        <v>6.5956367326230332</v>
      </c>
      <c r="BD123" t="str" cm="1">
        <f t="array" ref="BD123">_xlfn.IFS(AZ123="NA", "NA",BA123="Direct rLV % whole brain", AY123, BA123="Indirect rLV % whole brain", AY123, BA123="Direct rLV % hemisphere", AY123/2, BA123="Indirect rLV % hemisphere", AY123/2, AND(F123="Mouse", BA123="mm3"), (AY123/508.91)*100, AND(F123="Rat", BA123="mm3"), (AY123/1971)*100, AND(F123="Mouse", BA123="ul"), (AY123/508.91)*100, AND(F123="Rat", BA123="ul"), (AY123/1971)*100,  AND(F123="Mouse", BA123="nl"), (AY123/508910)*100, AND(F123="Rat", BA123="nl"), (AY123/1971000)*100, AND(F123="Mouse", BA123="cm3"), (AY123/0.50891)*100, AND(F123="Rat", BA123="cm3"), (AY123/1.971)*100, AND(F123="Mouse", BA123="mL"), (AY123/0.50891)*100, AND(F123="Rat", BA123="mL"), (AY123/1.971)*100, TRUE, "NA")</f>
        <v>NA</v>
      </c>
      <c r="BE123" cm="1">
        <f t="array" ref="BE123">_xlfn.IFS(AX123="NA", "NA", BB123="NR", "NA", BB123="SD", AX123, BB123="SE", AX123*(SQRT(R123)), BB123="SEM", AX123*(SQRT(R123)), TRUE, "NA")</f>
        <v>34.985711369071808</v>
      </c>
      <c r="BF123" cm="1">
        <f t="array" ref="BF123">_xlfn.IFS(BE123="NA", "NA",BA123="Direct rLV % whole brain", BE123, BA123="Indirect rLV % whole brain", BE123, BA123="Direct rLV % hemisphere", BE123/2, BA123="Indirect rLV % hemisphere", BE123/2, AND(F123="Mouse", BA123="mm3"), (BE123/508.91)*100, AND(F123="Rat", BA123="mm3"), (BE123/1971)*100, AND(F123="Mouse", BA123="ul"), (BE123/508.91)*100, AND(F123="Rat", BA123="ul"), (BE123/1971)*100,  AND(F123="Mouse", BA123="nl"), (BE123/508910)*100, AND(F123="Rat", BA123="nl"), (BE123/1971000)*100, AND(F123="Mouse", BA123="cm3"), (BE123/0.50891)*100, AND(F123="Rat", BA123="cm3"), (BE123/1.971)*100, AND(F123="Mouse", BA123="mL"), (BE123/0.50891)*100, AND(F123="Rat", BA123="mL"), (BE123/1.971)*100, TRUE, "NA")</f>
        <v>1.7750234078676719</v>
      </c>
      <c r="BG123" t="str" cm="1">
        <f t="array" ref="BG123">_xlfn.IFS(AZ123="NA", "NA", BB123="NR", "NA", BB123="SD", AZ123, BB123="SE", AZ123*(SQRT(R123)), BB123="SEM", AZ123*(SQRT(R123)), TRUE, "NA")</f>
        <v>NA</v>
      </c>
      <c r="BH123" s="32" t="s">
        <v>153</v>
      </c>
      <c r="BI123" s="31" t="s">
        <v>154</v>
      </c>
      <c r="BJ123" s="31" t="s">
        <v>154</v>
      </c>
      <c r="BK123" s="31" t="s">
        <v>1007</v>
      </c>
    </row>
    <row r="124" spans="1:63" s="31" customFormat="1" x14ac:dyDescent="0.3">
      <c r="A124" s="39" t="s">
        <v>1005</v>
      </c>
      <c r="B124" s="31" t="s">
        <v>1002</v>
      </c>
      <c r="C124" s="31">
        <v>1994</v>
      </c>
      <c r="D124" s="31" t="s">
        <v>1006</v>
      </c>
      <c r="E124" s="31" t="s">
        <v>678</v>
      </c>
      <c r="F124" s="31" t="s">
        <v>23</v>
      </c>
      <c r="G124" s="31" t="s">
        <v>10</v>
      </c>
      <c r="H124" s="31" t="s">
        <v>34</v>
      </c>
      <c r="I124" s="31" t="s">
        <v>12</v>
      </c>
      <c r="J124" s="31" t="s">
        <v>8</v>
      </c>
      <c r="K124" s="31" t="s">
        <v>9</v>
      </c>
      <c r="L124" s="31" t="s">
        <v>9</v>
      </c>
      <c r="M124" s="31" t="s">
        <v>9</v>
      </c>
      <c r="N124" s="31">
        <v>280</v>
      </c>
      <c r="O124" s="31">
        <f t="shared" ref="O124" si="17">AVERAGE(N124,P124)</f>
        <v>315</v>
      </c>
      <c r="P124" s="31">
        <v>350</v>
      </c>
      <c r="Q124" s="31">
        <v>2</v>
      </c>
      <c r="R124" s="31">
        <v>6</v>
      </c>
      <c r="S124" s="31" t="s">
        <v>8</v>
      </c>
      <c r="T124" s="31" t="s">
        <v>8</v>
      </c>
      <c r="U124" s="32" t="s">
        <v>66</v>
      </c>
      <c r="V124" s="31" t="s">
        <v>96</v>
      </c>
      <c r="W124" s="31" t="s">
        <v>8</v>
      </c>
      <c r="X124" s="31" t="s">
        <v>66</v>
      </c>
      <c r="Y124" s="31" t="s">
        <v>96</v>
      </c>
      <c r="Z124" s="31" t="s">
        <v>8</v>
      </c>
      <c r="AA124" s="31" t="s">
        <v>640</v>
      </c>
      <c r="AB124" s="31" t="s">
        <v>636</v>
      </c>
      <c r="AC124" s="31" t="s">
        <v>153</v>
      </c>
      <c r="AD124" s="31" t="s">
        <v>634</v>
      </c>
      <c r="AE124" s="31">
        <v>0</v>
      </c>
      <c r="AF124" s="31">
        <v>60</v>
      </c>
      <c r="AG124" s="31" t="s">
        <v>650</v>
      </c>
      <c r="AH124" s="31">
        <v>3</v>
      </c>
      <c r="AI124" cm="1">
        <f t="array" ref="AI124">_xlfn.IFS(AF124="NR", "NA", AG124="NR", "NA", AG124="NA","NA", AND(AG124="mg/ml", AH124&lt;&gt;"NR"), ((AF124/2492)*AH124*1000000), AND(AG124="mol/L", AH124&lt;&gt;"NR"), AF124*AH124*1000000, AG124="nmol", AF124*1000, AND(AG124="nmol/uL", AH124&lt;&gt;"NR"), AF124*AH124*1000, AG124="pg", AF124/2492, AG124="pmol", AF124, AND(AG124="pmol/uL", AH124&lt;&gt;"NR"), AF124*AH124, AG124="ug", AF124/2492*1000000, AND(AG124="ug/mL", AH124&lt;&gt;"NR"), (AF124/1000*AH124)/2492*1000000, AND(AG124="ug/uL", AH124&lt;&gt;"NR"), (AF124*AH124)/2492*1000000, AND(AG124="umol/L", AH124&lt;&gt;"NR"), AH124*AF124, TRUE, "NA")</f>
        <v>60</v>
      </c>
      <c r="AJ124" s="31">
        <v>2</v>
      </c>
      <c r="AK124" s="31">
        <v>1</v>
      </c>
      <c r="AL124" s="31" t="s">
        <v>9</v>
      </c>
      <c r="AM124" s="31" t="s">
        <v>8</v>
      </c>
      <c r="AN124" s="31" t="s">
        <v>9</v>
      </c>
      <c r="AO124" s="32" t="s">
        <v>12</v>
      </c>
      <c r="AP124" s="31" t="s">
        <v>8</v>
      </c>
      <c r="AQ124" s="31" t="s">
        <v>8</v>
      </c>
      <c r="AR124" s="31" t="s">
        <v>8</v>
      </c>
      <c r="AS124" s="32">
        <v>72</v>
      </c>
      <c r="AT124" s="31" t="s">
        <v>271</v>
      </c>
      <c r="AU124" s="31" t="s">
        <v>9</v>
      </c>
      <c r="AV124" s="31" t="s">
        <v>674</v>
      </c>
      <c r="AW124" s="31">
        <f>95+40</f>
        <v>135</v>
      </c>
      <c r="AX124" s="31">
        <f>SQRT((10*SQRT(R124))^2 + (2*SQRT(R124))^2)</f>
        <v>24.979991993593593</v>
      </c>
      <c r="AY124" s="31" t="s">
        <v>8</v>
      </c>
      <c r="AZ124" s="31" t="s">
        <v>8</v>
      </c>
      <c r="BA124" s="31" t="s">
        <v>656</v>
      </c>
      <c r="BB124" s="31" t="s">
        <v>122</v>
      </c>
      <c r="BC124" cm="1">
        <f t="array" ref="BC124">_xlfn.IFS(BA124="Direct rLV % whole brain", AW124, BA124="Indirect rLV % whole brain", AW124, BA124="Direct rLV % hemisphere", AW124/2, BA124="Indirect rLV % hemisphere", AW124/2, AND(F124="Mouse", BA124="mm3"), (AW124/508.91)*100, AND(F124="Rat", BA124="mm3"), (AW124/1971)*100, AND(F124="Mouse", BA124="ul"), (AW124/508.91)*100, AND(F124="Rat", BA124="ul"), (AW124/1971)*100,  AND(F124="Mouse", BA124="nl"), (AW124/508910)*100, AND(F124="Rat", BA124="nl"), (AW124/1971000)*100, AND(F124="Mouse", BA124="cm3"), (AW124/0.50891)*100, AND(F124="Rat", BA124="cm3"), (AW124/1.971)*100, AND(F124="Mouse", BA124="mL"), (AW124/0.50891)*100, AND(F124="Rat", BA124="mL"), (AW124/1.971)*100, TRUE, "NA")</f>
        <v>6.8493150684931505</v>
      </c>
      <c r="BD124" t="str" cm="1">
        <f t="array" ref="BD124">_xlfn.IFS(AZ124="NA", "NA",BA124="Direct rLV % whole brain", AY124, BA124="Indirect rLV % whole brain", AY124, BA124="Direct rLV % hemisphere", AY124/2, BA124="Indirect rLV % hemisphere", AY124/2, AND(F124="Mouse", BA124="mm3"), (AY124/508.91)*100, AND(F124="Rat", BA124="mm3"), (AY124/1971)*100, AND(F124="Mouse", BA124="ul"), (AY124/508.91)*100, AND(F124="Rat", BA124="ul"), (AY124/1971)*100,  AND(F124="Mouse", BA124="nl"), (AY124/508910)*100, AND(F124="Rat", BA124="nl"), (AY124/1971000)*100, AND(F124="Mouse", BA124="cm3"), (AY124/0.50891)*100, AND(F124="Rat", BA124="cm3"), (AY124/1.971)*100, AND(F124="Mouse", BA124="mL"), (AY124/0.50891)*100, AND(F124="Rat", BA124="mL"), (AY124/1.971)*100, TRUE, "NA")</f>
        <v>NA</v>
      </c>
      <c r="BE124" cm="1">
        <f t="array" ref="BE124">_xlfn.IFS(AX124="NA", "NA", BB124="NR", "NA", BB124="SD", AX124, BB124="SE", AX124*(SQRT(R124)), BB124="SEM", AX124*(SQRT(R124)), TRUE, "NA")</f>
        <v>24.979991993593593</v>
      </c>
      <c r="BF124" cm="1">
        <f t="array" ref="BF124">_xlfn.IFS(BE124="NA", "NA",BA124="Direct rLV % whole brain", BE124, BA124="Indirect rLV % whole brain", BE124, BA124="Direct rLV % hemisphere", BE124/2, BA124="Indirect rLV % hemisphere", BE124/2, AND(F124="Mouse", BA124="mm3"), (BE124/508.91)*100, AND(F124="Rat", BA124="mm3"), (BE124/1971)*100, AND(F124="Mouse", BA124="ul"), (BE124/508.91)*100, AND(F124="Rat", BA124="ul"), (BE124/1971)*100,  AND(F124="Mouse", BA124="nl"), (BE124/508910)*100, AND(F124="Rat", BA124="nl"), (BE124/1971000)*100, AND(F124="Mouse", BA124="cm3"), (BE124/0.50891)*100, AND(F124="Rat", BA124="cm3"), (BE124/1.971)*100, AND(F124="Mouse", BA124="mL"), (BE124/0.50891)*100, AND(F124="Rat", BA124="mL"), (BE124/1.971)*100, TRUE, "NA")</f>
        <v>1.2673765597967324</v>
      </c>
      <c r="BG124" t="str" cm="1">
        <f t="array" ref="BG124">_xlfn.IFS(AZ124="NA", "NA", BB124="NR", "NA", BB124="SD", AZ124, BB124="SE", AZ124*(SQRT(R124)), BB124="SEM", AZ124*(SQRT(R124)), TRUE, "NA")</f>
        <v>NA</v>
      </c>
      <c r="BH124" s="32" t="s">
        <v>153</v>
      </c>
      <c r="BI124" s="31" t="s">
        <v>154</v>
      </c>
      <c r="BJ124" s="31" t="s">
        <v>154</v>
      </c>
      <c r="BK124" s="31" t="s">
        <v>1007</v>
      </c>
    </row>
    <row r="125" spans="1:63" x14ac:dyDescent="0.3">
      <c r="A125" t="s">
        <v>1009</v>
      </c>
      <c r="B125" t="s">
        <v>1008</v>
      </c>
      <c r="C125">
        <v>2012</v>
      </c>
      <c r="D125" t="s">
        <v>1010</v>
      </c>
      <c r="E125" t="s">
        <v>647</v>
      </c>
      <c r="F125" t="s">
        <v>24</v>
      </c>
      <c r="G125" t="s">
        <v>192</v>
      </c>
      <c r="H125" t="s">
        <v>34</v>
      </c>
      <c r="I125" t="s">
        <v>12</v>
      </c>
      <c r="J125" t="s">
        <v>8</v>
      </c>
      <c r="K125">
        <v>8</v>
      </c>
      <c r="L125">
        <f>AVERAGE(K125,M125)</f>
        <v>9</v>
      </c>
      <c r="M125">
        <v>10</v>
      </c>
      <c r="N125">
        <v>35</v>
      </c>
      <c r="O125">
        <f t="shared" ref="O125:O131" si="18">AVERAGE(N125,P125)</f>
        <v>37.5</v>
      </c>
      <c r="P125">
        <v>40</v>
      </c>
      <c r="Q125">
        <v>2</v>
      </c>
      <c r="R125">
        <v>13</v>
      </c>
      <c r="S125">
        <v>2</v>
      </c>
      <c r="T125">
        <v>10</v>
      </c>
      <c r="U125" s="18" t="s">
        <v>68</v>
      </c>
      <c r="V125" t="s">
        <v>96</v>
      </c>
      <c r="W125" t="s">
        <v>8</v>
      </c>
      <c r="X125" t="s">
        <v>68</v>
      </c>
      <c r="Y125" t="s">
        <v>96</v>
      </c>
      <c r="Z125" t="s">
        <v>8</v>
      </c>
      <c r="AA125" t="s">
        <v>640</v>
      </c>
      <c r="AB125" t="s">
        <v>636</v>
      </c>
      <c r="AC125" t="s">
        <v>9</v>
      </c>
      <c r="AD125" t="s">
        <v>634</v>
      </c>
      <c r="AE125">
        <v>0</v>
      </c>
      <c r="AF125">
        <v>400</v>
      </c>
      <c r="AG125" t="s">
        <v>650</v>
      </c>
      <c r="AH125">
        <v>1</v>
      </c>
      <c r="AI125" cm="1">
        <f t="array" ref="AI125">_xlfn.IFS(AF125="NR", "NA", AG125="NR", "NA", AG125="NA","NA", AND(AG125="mg/ml", AH125&lt;&gt;"NR"), ((AF125/2492)*AH125*1000000), AND(AG125="mol/L", AH125&lt;&gt;"NR"), AF125*AH125*1000000, AG125="nmol", AF125*1000, AND(AG125="nmol/uL", AH125&lt;&gt;"NR"), AF125*AH125*1000, AG125="pg", AF125/2492, AG125="pmol", AF125, AND(AG125="pmol/uL", AH125&lt;&gt;"NR"), AF125*AH125, AG125="ug", AF125/2492*1000000, AND(AG125="ug/mL", AH125&lt;&gt;"NR"), (AF125/1000*AH125)/2492*1000000, AND(AG125="ug/uL", AH125&lt;&gt;"NR"), (AF125*AH125)/2492*1000000, AND(AG125="umol/L", AH125&lt;&gt;"NR"), AH125*AF125, TRUE, "NA")</f>
        <v>400</v>
      </c>
      <c r="AJ125" t="s">
        <v>9</v>
      </c>
      <c r="AK125">
        <v>1</v>
      </c>
      <c r="AL125" t="s">
        <v>9</v>
      </c>
      <c r="AM125" t="s">
        <v>8</v>
      </c>
      <c r="AN125" t="s">
        <v>9</v>
      </c>
      <c r="AO125" s="18" t="s">
        <v>1011</v>
      </c>
      <c r="AP125" t="s">
        <v>1228</v>
      </c>
      <c r="AQ125">
        <v>-0.5</v>
      </c>
      <c r="AR125" t="s">
        <v>101</v>
      </c>
      <c r="AS125" s="18">
        <v>48</v>
      </c>
      <c r="AT125" t="s">
        <v>269</v>
      </c>
      <c r="AU125" t="s">
        <v>8</v>
      </c>
      <c r="AV125" t="s">
        <v>9</v>
      </c>
      <c r="AW125">
        <v>5.4</v>
      </c>
      <c r="AX125">
        <v>0.78</v>
      </c>
      <c r="AY125">
        <v>6.72</v>
      </c>
      <c r="AZ125">
        <v>0.97</v>
      </c>
      <c r="BA125" t="s">
        <v>656</v>
      </c>
      <c r="BB125" t="s">
        <v>123</v>
      </c>
      <c r="BC125" cm="1">
        <f t="array" ref="BC125">_xlfn.IFS(BA125="Direct rLV % whole brain", AW125, BA125="Indirect rLV % whole brain", AW125, BA125="Direct rLV % hemisphere", AW125/2, BA125="Indirect rLV % hemisphere", AW125/2, AND(F125="Mouse", BA125="mm3"), (AW125/508.91)*100, AND(F125="Rat", BA125="mm3"), (AW125/1971)*100, AND(F125="Mouse", BA125="ul"), (AW125/508.91)*100, AND(F125="Rat", BA125="ul"), (AW125/1971)*100,  AND(F125="Mouse", BA125="nl"), (AW125/508910)*100, AND(F125="Rat", BA125="nl"), (AW125/1971000)*100, AND(F125="Mouse", BA125="cm3"), (AW125/0.50891)*100, AND(F125="Rat", BA125="cm3"), (AW125/1.971)*100, AND(F125="Mouse", BA125="mL"), (AW125/0.50891)*100, AND(F125="Rat", BA125="mL"), (AW125/1.971)*100, TRUE, "NA")</f>
        <v>1.0610913521054803</v>
      </c>
      <c r="BD125" cm="1">
        <f t="array" ref="BD125">_xlfn.IFS(AZ125="NA", "NA",BA125="Direct rLV % whole brain", AY125, BA125="Indirect rLV % whole brain", AY125, BA125="Direct rLV % hemisphere", AY125/2, BA125="Indirect rLV % hemisphere", AY125/2, AND(F125="Mouse", BA125="mm3"), (AY125/508.91)*100, AND(F125="Rat", BA125="mm3"), (AY125/1971)*100, AND(F125="Mouse", BA125="ul"), (AY125/508.91)*100, AND(F125="Rat", BA125="ul"), (AY125/1971)*100,  AND(F125="Mouse", BA125="nl"), (AY125/508910)*100, AND(F125="Rat", BA125="nl"), (AY125/1971000)*100, AND(F125="Mouse", BA125="cm3"), (AY125/0.50891)*100, AND(F125="Rat", BA125="cm3"), (AY125/1.971)*100, AND(F125="Mouse", BA125="mL"), (AY125/0.50891)*100, AND(F125="Rat", BA125="mL"), (AY125/1.971)*100, TRUE, "NA")</f>
        <v>1.3204692381757088</v>
      </c>
      <c r="BE125" cm="1">
        <f t="array" ref="BE125">_xlfn.IFS(AX125="NA", "NA", BB125="NR", "NA", BB125="SD", AX125, BB125="SE", AX125*(SQRT(R125)), BB125="SEM", AX125*(SQRT(R125)), TRUE, "NA")</f>
        <v>2.8123299948619116</v>
      </c>
      <c r="BF125" cm="1">
        <f t="array" ref="BF125">_xlfn.IFS(BE125="NA", "NA",BA125="Direct rLV % whole brain", BE125, BA125="Indirect rLV % whole brain", BE125, BA125="Direct rLV % hemisphere", BE125/2, BA125="Indirect rLV % hemisphere", BE125/2, AND(F125="Mouse", BA125="mm3"), (BE125/508.91)*100, AND(F125="Rat", BA125="mm3"), (BE125/1971)*100, AND(F125="Mouse", BA125="ul"), (BE125/508.91)*100, AND(F125="Rat", BA125="ul"), (BE125/1971)*100,  AND(F125="Mouse", BA125="nl"), (BE125/508910)*100, AND(F125="Rat", BA125="nl"), (BE125/1971000)*100, AND(F125="Mouse", BA125="cm3"), (BE125/0.50891)*100, AND(F125="Rat", BA125="cm3"), (BE125/1.971)*100, AND(F125="Mouse", BA125="mL"), (BE125/0.50891)*100, AND(F125="Rat", BA125="mL"), (BE125/1.971)*100, TRUE, "NA")</f>
        <v>0.55261834015089328</v>
      </c>
      <c r="BG125" cm="1">
        <f t="array" ref="BG125">_xlfn.IFS(AZ125="NA", "NA", BB125="NR", "NA", BB125="SD", AZ125, BB125="SE", AZ125*(SQRT(R125)), BB125="SEM", AZ125*(SQRT(R125)), TRUE, "NA")</f>
        <v>3.4973847372000693</v>
      </c>
      <c r="BH125" s="18" t="s">
        <v>154</v>
      </c>
      <c r="BI125" t="s">
        <v>154</v>
      </c>
      <c r="BJ125" t="s">
        <v>154</v>
      </c>
    </row>
    <row r="126" spans="1:63" x14ac:dyDescent="0.3">
      <c r="A126" t="s">
        <v>1009</v>
      </c>
      <c r="B126" t="s">
        <v>1008</v>
      </c>
      <c r="C126">
        <v>2012</v>
      </c>
      <c r="D126" t="s">
        <v>1010</v>
      </c>
      <c r="E126" t="s">
        <v>678</v>
      </c>
      <c r="F126" t="s">
        <v>24</v>
      </c>
      <c r="G126" t="s">
        <v>1012</v>
      </c>
      <c r="H126" t="s">
        <v>34</v>
      </c>
      <c r="I126" t="s">
        <v>12</v>
      </c>
      <c r="J126" t="s">
        <v>8</v>
      </c>
      <c r="K126">
        <v>8</v>
      </c>
      <c r="L126">
        <f t="shared" ref="L126:L128" si="19">AVERAGE(K126,M126)</f>
        <v>9</v>
      </c>
      <c r="M126">
        <v>10</v>
      </c>
      <c r="N126">
        <v>35</v>
      </c>
      <c r="O126">
        <f t="shared" si="18"/>
        <v>37.5</v>
      </c>
      <c r="P126">
        <v>40</v>
      </c>
      <c r="Q126">
        <v>2</v>
      </c>
      <c r="R126">
        <v>12</v>
      </c>
      <c r="S126">
        <v>2</v>
      </c>
      <c r="T126">
        <v>10</v>
      </c>
      <c r="U126" s="18" t="s">
        <v>68</v>
      </c>
      <c r="V126" t="s">
        <v>96</v>
      </c>
      <c r="W126" t="s">
        <v>8</v>
      </c>
      <c r="X126" t="s">
        <v>68</v>
      </c>
      <c r="Y126" t="s">
        <v>96</v>
      </c>
      <c r="Z126" t="s">
        <v>8</v>
      </c>
      <c r="AA126" t="s">
        <v>640</v>
      </c>
      <c r="AB126" t="s">
        <v>636</v>
      </c>
      <c r="AC126" t="s">
        <v>9</v>
      </c>
      <c r="AD126" t="s">
        <v>634</v>
      </c>
      <c r="AE126">
        <v>0</v>
      </c>
      <c r="AF126">
        <v>400</v>
      </c>
      <c r="AG126" t="s">
        <v>650</v>
      </c>
      <c r="AH126">
        <v>1</v>
      </c>
      <c r="AI126" cm="1">
        <f t="array" ref="AI126">_xlfn.IFS(AF126="NR", "NA", AG126="NR", "NA", AG126="NA","NA", AND(AG126="mg/ml", AH126&lt;&gt;"NR"), ((AF126/2492)*AH126*1000000), AND(AG126="mol/L", AH126&lt;&gt;"NR"), AF126*AH126*1000000, AG126="nmol", AF126*1000, AND(AG126="nmol/uL", AH126&lt;&gt;"NR"), AF126*AH126*1000, AG126="pg", AF126/2492, AG126="pmol", AF126, AND(AG126="pmol/uL", AH126&lt;&gt;"NR"), AF126*AH126, AG126="ug", AF126/2492*1000000, AND(AG126="ug/mL", AH126&lt;&gt;"NR"), (AF126/1000*AH126)/2492*1000000, AND(AG126="ug/uL", AH126&lt;&gt;"NR"), (AF126*AH126)/2492*1000000, AND(AG126="umol/L", AH126&lt;&gt;"NR"), AH126*AF126, TRUE, "NA")</f>
        <v>400</v>
      </c>
      <c r="AJ126" t="s">
        <v>9</v>
      </c>
      <c r="AK126">
        <v>1</v>
      </c>
      <c r="AL126" t="s">
        <v>9</v>
      </c>
      <c r="AM126" t="s">
        <v>8</v>
      </c>
      <c r="AN126" t="s">
        <v>9</v>
      </c>
      <c r="AO126" s="18" t="s">
        <v>1011</v>
      </c>
      <c r="AP126" t="s">
        <v>1228</v>
      </c>
      <c r="AQ126">
        <v>-0.5</v>
      </c>
      <c r="AR126" t="s">
        <v>101</v>
      </c>
      <c r="AS126" s="18">
        <v>48</v>
      </c>
      <c r="AT126" t="s">
        <v>269</v>
      </c>
      <c r="AU126" t="s">
        <v>8</v>
      </c>
      <c r="AV126" t="s">
        <v>9</v>
      </c>
      <c r="AW126">
        <v>9</v>
      </c>
      <c r="AX126">
        <v>1.08</v>
      </c>
      <c r="AY126">
        <v>6.19</v>
      </c>
      <c r="AZ126">
        <v>1</v>
      </c>
      <c r="BA126" t="s">
        <v>656</v>
      </c>
      <c r="BB126" t="s">
        <v>123</v>
      </c>
      <c r="BC126" cm="1">
        <f t="array" ref="BC126">_xlfn.IFS(BA126="Direct rLV % whole brain", AW126, BA126="Indirect rLV % whole brain", AW126, BA126="Direct rLV % hemisphere", AW126/2, BA126="Indirect rLV % hemisphere", AW126/2, AND(F126="Mouse", BA126="mm3"), (AW126/508.91)*100, AND(F126="Rat", BA126="mm3"), (AW126/1971)*100, AND(F126="Mouse", BA126="ul"), (AW126/508.91)*100, AND(F126="Rat", BA126="ul"), (AW126/1971)*100,  AND(F126="Mouse", BA126="nl"), (AW126/508910)*100, AND(F126="Rat", BA126="nl"), (AW126/1971000)*100, AND(F126="Mouse", BA126="cm3"), (AW126/0.50891)*100, AND(F126="Rat", BA126="cm3"), (AW126/1.971)*100, AND(F126="Mouse", BA126="mL"), (AW126/0.50891)*100, AND(F126="Rat", BA126="mL"), (AW126/1.971)*100, TRUE, "NA")</f>
        <v>1.7684855868424671</v>
      </c>
      <c r="BD126" cm="1">
        <f t="array" ref="BD126">_xlfn.IFS(AZ126="NA", "NA",BA126="Direct rLV % whole brain", AY126, BA126="Indirect rLV % whole brain", AY126, BA126="Direct rLV % hemisphere", AY126/2, BA126="Indirect rLV % hemisphere", AY126/2, AND(F126="Mouse", BA126="mm3"), (AY126/508.91)*100, AND(F126="Rat", BA126="mm3"), (AY126/1971)*100, AND(F126="Mouse", BA126="ul"), (AY126/508.91)*100, AND(F126="Rat", BA126="ul"), (AY126/1971)*100,  AND(F126="Mouse", BA126="nl"), (AY126/508910)*100, AND(F126="Rat", BA126="nl"), (AY126/1971000)*100, AND(F126="Mouse", BA126="cm3"), (AY126/0.50891)*100, AND(F126="Rat", BA126="cm3"), (AY126/1.971)*100, AND(F126="Mouse", BA126="mL"), (AY126/0.50891)*100, AND(F126="Rat", BA126="mL"), (AY126/1.971)*100, TRUE, "NA")</f>
        <v>1.2163250869505415</v>
      </c>
      <c r="BE126" cm="1">
        <f t="array" ref="BE126">_xlfn.IFS(AX126="NA", "NA", BB126="NR", "NA", BB126="SD", AX126, BB126="SE", AX126*(SQRT(R126)), BB126="SEM", AX126*(SQRT(R126)), TRUE, "NA")</f>
        <v>3.7412297443487752</v>
      </c>
      <c r="BF126" cm="1">
        <f t="array" ref="BF126">_xlfn.IFS(BE126="NA", "NA",BA126="Direct rLV % whole brain", BE126, BA126="Indirect rLV % whole brain", BE126, BA126="Direct rLV % hemisphere", BE126/2, BA126="Indirect rLV % hemisphere", BE126/2, AND(F126="Mouse", BA126="mm3"), (BE126/508.91)*100, AND(F126="Rat", BA126="mm3"), (BE126/1971)*100, AND(F126="Mouse", BA126="ul"), (BE126/508.91)*100, AND(F126="Rat", BA126="ul"), (BE126/1971)*100,  AND(F126="Mouse", BA126="nl"), (BE126/508910)*100, AND(F126="Rat", BA126="nl"), (BE126/1971000)*100, AND(F126="Mouse", BA126="cm3"), (BE126/0.50891)*100, AND(F126="Rat", BA126="cm3"), (BE126/1.971)*100, AND(F126="Mouse", BA126="mL"), (BE126/0.50891)*100, AND(F126="Rat", BA126="mL"), (BE126/1.971)*100, TRUE, "NA")</f>
        <v>0.73514565332745963</v>
      </c>
      <c r="BG126" cm="1">
        <f t="array" ref="BG126">_xlfn.IFS(AZ126="NA", "NA", BB126="NR", "NA", BB126="SD", AZ126, BB126="SE", AZ126*(SQRT(R126)), BB126="SEM", AZ126*(SQRT(R126)), TRUE, "NA")</f>
        <v>3.4641016151377544</v>
      </c>
      <c r="BH126" s="18" t="s">
        <v>154</v>
      </c>
      <c r="BI126" t="s">
        <v>154</v>
      </c>
      <c r="BJ126" t="s">
        <v>154</v>
      </c>
    </row>
    <row r="127" spans="1:63" s="31" customFormat="1" x14ac:dyDescent="0.3">
      <c r="A127" s="31" t="s">
        <v>1014</v>
      </c>
      <c r="B127" s="31" t="s">
        <v>1013</v>
      </c>
      <c r="C127" s="31">
        <v>2017</v>
      </c>
      <c r="D127" s="31" t="s">
        <v>1015</v>
      </c>
      <c r="E127" s="31" t="s">
        <v>647</v>
      </c>
      <c r="F127" s="31" t="s">
        <v>23</v>
      </c>
      <c r="G127" s="31" t="s">
        <v>46</v>
      </c>
      <c r="H127" s="31" t="s">
        <v>34</v>
      </c>
      <c r="I127" s="31" t="s">
        <v>12</v>
      </c>
      <c r="J127" s="31" t="s">
        <v>8</v>
      </c>
      <c r="K127" s="31">
        <v>12</v>
      </c>
      <c r="L127">
        <f t="shared" si="19"/>
        <v>13</v>
      </c>
      <c r="M127" s="31">
        <v>14</v>
      </c>
      <c r="N127" s="31">
        <v>275</v>
      </c>
      <c r="O127" s="31">
        <f t="shared" si="18"/>
        <v>287.5</v>
      </c>
      <c r="P127" s="31">
        <v>300</v>
      </c>
      <c r="Q127" s="31">
        <v>2</v>
      </c>
      <c r="R127" s="31">
        <v>7</v>
      </c>
      <c r="S127" s="31">
        <v>2</v>
      </c>
      <c r="T127" s="31">
        <v>6</v>
      </c>
      <c r="U127" s="32" t="s">
        <v>111</v>
      </c>
      <c r="V127" s="31" t="s">
        <v>8</v>
      </c>
      <c r="W127" s="31" t="s">
        <v>8</v>
      </c>
      <c r="X127" s="31" t="s">
        <v>111</v>
      </c>
      <c r="Y127" s="31" t="s">
        <v>8</v>
      </c>
      <c r="Z127" s="31" t="s">
        <v>8</v>
      </c>
      <c r="AA127" s="31" t="s">
        <v>640</v>
      </c>
      <c r="AB127" s="31" t="s">
        <v>636</v>
      </c>
      <c r="AC127" s="31" t="s">
        <v>153</v>
      </c>
      <c r="AD127" s="31" t="s">
        <v>634</v>
      </c>
      <c r="AE127" s="31">
        <v>0</v>
      </c>
      <c r="AF127" s="31">
        <v>200</v>
      </c>
      <c r="AG127" s="31" t="s">
        <v>650</v>
      </c>
      <c r="AH127" s="31" t="s">
        <v>9</v>
      </c>
      <c r="AI127" cm="1">
        <f t="array" ref="AI127">_xlfn.IFS(AF127="NR", "NA", AG127="NR", "NA", AG127="NA","NA", AND(AG127="mg/ml", AH127&lt;&gt;"NR"), ((AF127/2492)*AH127*1000000), AND(AG127="mol/L", AH127&lt;&gt;"NR"), AF127*AH127*1000000, AG127="nmol", AF127*1000, AND(AG127="nmol/uL", AH127&lt;&gt;"NR"), AF127*AH127*1000, AG127="pg", AF127/2492, AG127="pmol", AF127, AND(AG127="pmol/uL", AH127&lt;&gt;"NR"), AF127*AH127, AG127="ug", AF127/2492*1000000, AND(AG127="ug/mL", AH127&lt;&gt;"NR"), (AF127/1000*AH127)/2492*1000000, AND(AG127="ug/uL", AH127&lt;&gt;"NR"), (AF127*AH127)/2492*1000000, AND(AG127="umol/L", AH127&lt;&gt;"NR"), AH127*AF127, TRUE, "NA")</f>
        <v>200</v>
      </c>
      <c r="AJ127" s="31" t="s">
        <v>9</v>
      </c>
      <c r="AK127" s="31">
        <v>1</v>
      </c>
      <c r="AL127" s="31" t="s">
        <v>9</v>
      </c>
      <c r="AM127" s="31" t="s">
        <v>8</v>
      </c>
      <c r="AN127" s="31" t="s">
        <v>9</v>
      </c>
      <c r="AO127" s="32" t="s">
        <v>1016</v>
      </c>
      <c r="AP127" t="s">
        <v>1228</v>
      </c>
      <c r="AQ127" s="31">
        <v>0.5</v>
      </c>
      <c r="AR127" s="31" t="s">
        <v>103</v>
      </c>
      <c r="AS127" s="32">
        <v>24</v>
      </c>
      <c r="AT127" s="31" t="s">
        <v>271</v>
      </c>
      <c r="AU127" s="31" t="s">
        <v>652</v>
      </c>
      <c r="AV127" s="31">
        <v>9.5999999999999992E-3</v>
      </c>
      <c r="AW127" s="31">
        <v>55.4</v>
      </c>
      <c r="AX127" s="31">
        <v>4.5999999999999996</v>
      </c>
      <c r="AY127" s="31">
        <v>31.3</v>
      </c>
      <c r="AZ127" s="31">
        <v>6.4</v>
      </c>
      <c r="BA127" s="31" t="s">
        <v>656</v>
      </c>
      <c r="BB127" s="31" t="s">
        <v>122</v>
      </c>
      <c r="BC127" cm="1">
        <f t="array" ref="BC127">_xlfn.IFS(BA127="Direct rLV % whole brain", AW127, BA127="Indirect rLV % whole brain", AW127, BA127="Direct rLV % hemisphere", AW127/2, BA127="Indirect rLV % hemisphere", AW127/2, AND(F127="Mouse", BA127="mm3"), (AW127/508.91)*100, AND(F127="Rat", BA127="mm3"), (AW127/1971)*100, AND(F127="Mouse", BA127="ul"), (AW127/508.91)*100, AND(F127="Rat", BA127="ul"), (AW127/1971)*100,  AND(F127="Mouse", BA127="nl"), (AW127/508910)*100, AND(F127="Rat", BA127="nl"), (AW127/1971000)*100, AND(F127="Mouse", BA127="cm3"), (AW127/0.50891)*100, AND(F127="Rat", BA127="cm3"), (AW127/1.971)*100, AND(F127="Mouse", BA127="mL"), (AW127/0.50891)*100, AND(F127="Rat", BA127="mL"), (AW127/1.971)*100, TRUE, "NA")</f>
        <v>2.8107559614408926</v>
      </c>
      <c r="BD127" cm="1">
        <f t="array" ref="BD127">_xlfn.IFS(AZ127="NA", "NA",BA127="Direct rLV % whole brain", AY127, BA127="Indirect rLV % whole brain", AY127, BA127="Direct rLV % hemisphere", AY127/2, BA127="Indirect rLV % hemisphere", AY127/2, AND(F127="Mouse", BA127="mm3"), (AY127/508.91)*100, AND(F127="Rat", BA127="mm3"), (AY127/1971)*100, AND(F127="Mouse", BA127="ul"), (AY127/508.91)*100, AND(F127="Rat", BA127="ul"), (AY127/1971)*100,  AND(F127="Mouse", BA127="nl"), (AY127/508910)*100, AND(F127="Rat", BA127="nl"), (AY127/1971000)*100, AND(F127="Mouse", BA127="cm3"), (AY127/0.50891)*100, AND(F127="Rat", BA127="cm3"), (AY127/1.971)*100, AND(F127="Mouse", BA127="mL"), (AY127/0.50891)*100, AND(F127="Rat", BA127="mL"), (AY127/1.971)*100, TRUE, "NA")</f>
        <v>1.5880263825469305</v>
      </c>
      <c r="BE127" cm="1">
        <f t="array" ref="BE127">_xlfn.IFS(AX127="NA", "NA", BB127="NR", "NA", BB127="SD", AX127, BB127="SE", AX127*(SQRT(R127)), BB127="SEM", AX127*(SQRT(R127)), TRUE, "NA")</f>
        <v>4.5999999999999996</v>
      </c>
      <c r="BF127" cm="1">
        <f t="array" ref="BF127">_xlfn.IFS(BE127="NA", "NA",BA127="Direct rLV % whole brain", BE127, BA127="Indirect rLV % whole brain", BE127, BA127="Direct rLV % hemisphere", BE127/2, BA127="Indirect rLV % hemisphere", BE127/2, AND(F127="Mouse", BA127="mm3"), (BE127/508.91)*100, AND(F127="Rat", BA127="mm3"), (BE127/1971)*100, AND(F127="Mouse", BA127="ul"), (BE127/508.91)*100, AND(F127="Rat", BA127="ul"), (BE127/1971)*100,  AND(F127="Mouse", BA127="nl"), (BE127/508910)*100, AND(F127="Rat", BA127="nl"), (BE127/1971000)*100, AND(F127="Mouse", BA127="cm3"), (BE127/0.50891)*100, AND(F127="Rat", BA127="cm3"), (BE127/1.971)*100, AND(F127="Mouse", BA127="mL"), (BE127/0.50891)*100, AND(F127="Rat", BA127="mL"), (BE127/1.971)*100, TRUE, "NA")</f>
        <v>0.23338406900050732</v>
      </c>
      <c r="BG127" cm="1">
        <f t="array" ref="BG127">_xlfn.IFS(AZ127="NA", "NA", BB127="NR", "NA", BB127="SD", AZ127, BB127="SE", AZ127*(SQRT(R127)), BB127="SEM", AZ127*(SQRT(R127)), TRUE, "NA")</f>
        <v>6.4</v>
      </c>
      <c r="BH127" s="32" t="s">
        <v>154</v>
      </c>
      <c r="BI127" s="31" t="s">
        <v>154</v>
      </c>
      <c r="BJ127" s="31" t="s">
        <v>153</v>
      </c>
    </row>
    <row r="128" spans="1:63" s="31" customFormat="1" x14ac:dyDescent="0.3">
      <c r="A128" s="31" t="s">
        <v>1014</v>
      </c>
      <c r="B128" s="31" t="s">
        <v>1013</v>
      </c>
      <c r="C128" s="31">
        <v>2017</v>
      </c>
      <c r="D128" s="31" t="s">
        <v>1015</v>
      </c>
      <c r="E128" s="31" t="s">
        <v>678</v>
      </c>
      <c r="F128" s="31" t="s">
        <v>23</v>
      </c>
      <c r="G128" s="31" t="s">
        <v>48</v>
      </c>
      <c r="H128" s="31" t="s">
        <v>34</v>
      </c>
      <c r="I128" s="31" t="s">
        <v>127</v>
      </c>
      <c r="J128" s="31" t="s">
        <v>156</v>
      </c>
      <c r="K128" s="31">
        <v>12</v>
      </c>
      <c r="L128">
        <f t="shared" si="19"/>
        <v>13</v>
      </c>
      <c r="M128" s="31">
        <v>14</v>
      </c>
      <c r="N128" s="31">
        <v>275</v>
      </c>
      <c r="O128" s="31">
        <f t="shared" si="18"/>
        <v>287.5</v>
      </c>
      <c r="P128" s="31">
        <v>300</v>
      </c>
      <c r="Q128" s="31">
        <v>2</v>
      </c>
      <c r="R128" s="31">
        <v>5</v>
      </c>
      <c r="S128" s="31">
        <v>2</v>
      </c>
      <c r="T128" s="31">
        <v>7</v>
      </c>
      <c r="U128" s="32" t="s">
        <v>111</v>
      </c>
      <c r="V128" s="31" t="s">
        <v>8</v>
      </c>
      <c r="W128" s="31" t="s">
        <v>8</v>
      </c>
      <c r="X128" s="31" t="s">
        <v>111</v>
      </c>
      <c r="Y128" s="31" t="s">
        <v>8</v>
      </c>
      <c r="Z128" s="31" t="s">
        <v>8</v>
      </c>
      <c r="AA128" s="31" t="s">
        <v>640</v>
      </c>
      <c r="AB128" s="31" t="s">
        <v>636</v>
      </c>
      <c r="AC128" s="31" t="s">
        <v>153</v>
      </c>
      <c r="AD128" s="31" t="s">
        <v>634</v>
      </c>
      <c r="AE128" s="31">
        <v>0</v>
      </c>
      <c r="AF128" s="31">
        <v>200</v>
      </c>
      <c r="AG128" s="31" t="s">
        <v>650</v>
      </c>
      <c r="AH128" s="31" t="s">
        <v>9</v>
      </c>
      <c r="AI128" cm="1">
        <f t="array" ref="AI128">_xlfn.IFS(AF128="NR", "NA", AG128="NR", "NA", AG128="NA","NA", AND(AG128="mg/ml", AH128&lt;&gt;"NR"), ((AF128/2492)*AH128*1000000), AND(AG128="mol/L", AH128&lt;&gt;"NR"), AF128*AH128*1000000, AG128="nmol", AF128*1000, AND(AG128="nmol/uL", AH128&lt;&gt;"NR"), AF128*AH128*1000, AG128="pg", AF128/2492, AG128="pmol", AF128, AND(AG128="pmol/uL", AH128&lt;&gt;"NR"), AF128*AH128, AG128="ug", AF128/2492*1000000, AND(AG128="ug/mL", AH128&lt;&gt;"NR"), (AF128/1000*AH128)/2492*1000000, AND(AG128="ug/uL", AH128&lt;&gt;"NR"), (AF128*AH128)/2492*1000000, AND(AG128="umol/L", AH128&lt;&gt;"NR"), AH128*AF128, TRUE, "NA")</f>
        <v>200</v>
      </c>
      <c r="AJ128" s="31" t="s">
        <v>9</v>
      </c>
      <c r="AK128" s="31">
        <v>1</v>
      </c>
      <c r="AL128" s="31" t="s">
        <v>9</v>
      </c>
      <c r="AM128" s="31" t="s">
        <v>8</v>
      </c>
      <c r="AN128" s="31" t="s">
        <v>9</v>
      </c>
      <c r="AO128" s="32" t="s">
        <v>1016</v>
      </c>
      <c r="AP128" t="s">
        <v>1228</v>
      </c>
      <c r="AQ128" s="31">
        <v>0.5</v>
      </c>
      <c r="AR128" s="31" t="s">
        <v>103</v>
      </c>
      <c r="AS128" s="32">
        <v>24</v>
      </c>
      <c r="AT128" s="31" t="s">
        <v>271</v>
      </c>
      <c r="AU128" s="31" t="s">
        <v>652</v>
      </c>
      <c r="AV128" s="31">
        <v>2.0999999999999999E-3</v>
      </c>
      <c r="AW128" s="31">
        <v>54.9</v>
      </c>
      <c r="AX128" s="31">
        <v>1.2</v>
      </c>
      <c r="AY128" s="31">
        <v>37.9</v>
      </c>
      <c r="AZ128" s="31">
        <v>3.3</v>
      </c>
      <c r="BA128" s="31" t="s">
        <v>656</v>
      </c>
      <c r="BB128" s="31" t="s">
        <v>122</v>
      </c>
      <c r="BC128" cm="1">
        <f t="array" ref="BC128">_xlfn.IFS(BA128="Direct rLV % whole brain", AW128, BA128="Indirect rLV % whole brain", AW128, BA128="Direct rLV % hemisphere", AW128/2, BA128="Indirect rLV % hemisphere", AW128/2, AND(F128="Mouse", BA128="mm3"), (AW128/508.91)*100, AND(F128="Rat", BA128="mm3"), (AW128/1971)*100, AND(F128="Mouse", BA128="ul"), (AW128/508.91)*100, AND(F128="Rat", BA128="ul"), (AW128/1971)*100,  AND(F128="Mouse", BA128="nl"), (AW128/508910)*100, AND(F128="Rat", BA128="nl"), (AW128/1971000)*100, AND(F128="Mouse", BA128="cm3"), (AW128/0.50891)*100, AND(F128="Rat", BA128="cm3"), (AW128/1.971)*100, AND(F128="Mouse", BA128="mL"), (AW128/0.50891)*100, AND(F128="Rat", BA128="mL"), (AW128/1.971)*100, TRUE, "NA")</f>
        <v>2.785388127853881</v>
      </c>
      <c r="BD128" cm="1">
        <f t="array" ref="BD128">_xlfn.IFS(AZ128="NA", "NA",BA128="Direct rLV % whole brain", AY128, BA128="Indirect rLV % whole brain", AY128, BA128="Direct rLV % hemisphere", AY128/2, BA128="Indirect rLV % hemisphere", AY128/2, AND(F128="Mouse", BA128="mm3"), (AY128/508.91)*100, AND(F128="Rat", BA128="mm3"), (AY128/1971)*100, AND(F128="Mouse", BA128="ul"), (AY128/508.91)*100, AND(F128="Rat", BA128="ul"), (AY128/1971)*100,  AND(F128="Mouse", BA128="nl"), (AY128/508910)*100, AND(F128="Rat", BA128="nl"), (AY128/1971000)*100, AND(F128="Mouse", BA128="cm3"), (AY128/0.50891)*100, AND(F128="Rat", BA128="cm3"), (AY128/1.971)*100, AND(F128="Mouse", BA128="mL"), (AY128/0.50891)*100, AND(F128="Rat", BA128="mL"), (AY128/1.971)*100, TRUE, "NA")</f>
        <v>1.9228817858954843</v>
      </c>
      <c r="BE128" cm="1">
        <f t="array" ref="BE128">_xlfn.IFS(AX128="NA", "NA", BB128="NR", "NA", BB128="SD", AX128, BB128="SE", AX128*(SQRT(R128)), BB128="SEM", AX128*(SQRT(R128)), TRUE, "NA")</f>
        <v>1.2</v>
      </c>
      <c r="BF128" cm="1">
        <f t="array" ref="BF128">_xlfn.IFS(BE128="NA", "NA",BA128="Direct rLV % whole brain", BE128, BA128="Indirect rLV % whole brain", BE128, BA128="Direct rLV % hemisphere", BE128/2, BA128="Indirect rLV % hemisphere", BE128/2, AND(F128="Mouse", BA128="mm3"), (BE128/508.91)*100, AND(F128="Rat", BA128="mm3"), (BE128/1971)*100, AND(F128="Mouse", BA128="ul"), (BE128/508.91)*100, AND(F128="Rat", BA128="ul"), (BE128/1971)*100,  AND(F128="Mouse", BA128="nl"), (BE128/508910)*100, AND(F128="Rat", BA128="nl"), (BE128/1971000)*100, AND(F128="Mouse", BA128="cm3"), (BE128/0.50891)*100, AND(F128="Rat", BA128="cm3"), (BE128/1.971)*100, AND(F128="Mouse", BA128="mL"), (BE128/0.50891)*100, AND(F128="Rat", BA128="mL"), (BE128/1.971)*100, TRUE, "NA")</f>
        <v>6.0882800608828003E-2</v>
      </c>
      <c r="BG128" cm="1">
        <f t="array" ref="BG128">_xlfn.IFS(AZ128="NA", "NA", BB128="NR", "NA", BB128="SD", AZ128, BB128="SE", AZ128*(SQRT(R128)), BB128="SEM", AZ128*(SQRT(R128)), TRUE, "NA")</f>
        <v>3.3</v>
      </c>
      <c r="BH128" s="32" t="s">
        <v>154</v>
      </c>
      <c r="BI128" s="31" t="s">
        <v>154</v>
      </c>
      <c r="BJ128" s="31" t="s">
        <v>153</v>
      </c>
    </row>
    <row r="129" spans="1:63" x14ac:dyDescent="0.3">
      <c r="A129" t="s">
        <v>1018</v>
      </c>
      <c r="B129" t="s">
        <v>1017</v>
      </c>
      <c r="C129">
        <v>2015</v>
      </c>
      <c r="D129" t="s">
        <v>1019</v>
      </c>
      <c r="E129" t="s">
        <v>647</v>
      </c>
      <c r="F129" t="s">
        <v>23</v>
      </c>
      <c r="G129" t="s">
        <v>11</v>
      </c>
      <c r="H129" t="s">
        <v>34</v>
      </c>
      <c r="I129" t="s">
        <v>12</v>
      </c>
      <c r="J129" t="s">
        <v>8</v>
      </c>
      <c r="K129" t="s">
        <v>9</v>
      </c>
      <c r="L129" t="s">
        <v>9</v>
      </c>
      <c r="M129" t="s">
        <v>9</v>
      </c>
      <c r="N129">
        <v>200</v>
      </c>
      <c r="O129">
        <f t="shared" si="18"/>
        <v>225</v>
      </c>
      <c r="P129">
        <v>250</v>
      </c>
      <c r="Q129">
        <v>1</v>
      </c>
      <c r="R129">
        <v>8</v>
      </c>
      <c r="S129">
        <v>1</v>
      </c>
      <c r="T129">
        <v>8</v>
      </c>
      <c r="U129" s="18" t="s">
        <v>68</v>
      </c>
      <c r="V129" t="s">
        <v>96</v>
      </c>
      <c r="W129" t="s">
        <v>8</v>
      </c>
      <c r="X129" t="s">
        <v>68</v>
      </c>
      <c r="Y129" t="s">
        <v>96</v>
      </c>
      <c r="Z129" t="s">
        <v>8</v>
      </c>
      <c r="AA129" t="s">
        <v>640</v>
      </c>
      <c r="AB129" t="s">
        <v>746</v>
      </c>
      <c r="AC129" t="s">
        <v>9</v>
      </c>
      <c r="AD129" t="s">
        <v>634</v>
      </c>
      <c r="AE129">
        <v>0</v>
      </c>
      <c r="AF129">
        <v>0.5</v>
      </c>
      <c r="AG129" t="s">
        <v>580</v>
      </c>
      <c r="AH129">
        <v>6</v>
      </c>
      <c r="AI129" cm="1">
        <f t="array" ref="AI129">_xlfn.IFS(AF129="NR", "NA", AG129="NR", "NA", AG129="NA","NA", AND(AG129="mg/ml", AH129&lt;&gt;"NR"), ((AF129/2492)*AH129*1000000), AND(AG129="mol/L", AH129&lt;&gt;"NR"), AF129*AH129*1000000, AG129="nmol", AF129*1000, AND(AG129="nmol/uL", AH129&lt;&gt;"NR"), AF129*AH129*1000, AG129="pg", AF129/2492, AG129="pmol", AF129, AND(AG129="pmol/uL", AH129&lt;&gt;"NR"), AF129*AH129, AG129="ug", AF129/2492*1000000, AND(AG129="ug/mL", AH129&lt;&gt;"NR"), (AF129/1000*AH129)/2492*1000000, AND(AG129="ug/uL", AH129&lt;&gt;"NR"), (AF129*AH129)/2492*1000000, AND(AG129="umol/L", AH129&lt;&gt;"NR"), AH129*AF129, TRUE, "NA")</f>
        <v>1203.852327447833</v>
      </c>
      <c r="AJ129">
        <v>12</v>
      </c>
      <c r="AK129">
        <v>3</v>
      </c>
      <c r="AL129" t="s">
        <v>9</v>
      </c>
      <c r="AM129" t="s">
        <v>8</v>
      </c>
      <c r="AN129" t="s">
        <v>9</v>
      </c>
      <c r="AO129" s="18" t="s">
        <v>501</v>
      </c>
      <c r="AP129" t="s">
        <v>1228</v>
      </c>
      <c r="AQ129" t="s">
        <v>9</v>
      </c>
      <c r="AR129" t="s">
        <v>9</v>
      </c>
      <c r="AS129" s="18" t="s">
        <v>9</v>
      </c>
      <c r="AT129" t="s">
        <v>271</v>
      </c>
      <c r="AU129" t="s">
        <v>652</v>
      </c>
      <c r="AV129" t="s">
        <v>971</v>
      </c>
      <c r="AW129">
        <v>127.8</v>
      </c>
      <c r="AX129">
        <v>9.1999999999999993</v>
      </c>
      <c r="AY129">
        <v>139</v>
      </c>
      <c r="AZ129">
        <v>12.1</v>
      </c>
      <c r="BA129" t="s">
        <v>656</v>
      </c>
      <c r="BB129" t="s">
        <v>123</v>
      </c>
      <c r="BC129" cm="1">
        <f t="array" ref="BC129">_xlfn.IFS(BA129="Direct rLV % whole brain", AW129, BA129="Indirect rLV % whole brain", AW129, BA129="Direct rLV % hemisphere", AW129/2, BA129="Indirect rLV % hemisphere", AW129/2, AND(F129="Mouse", BA129="mm3"), (AW129/508.91)*100, AND(F129="Rat", BA129="mm3"), (AW129/1971)*100, AND(F129="Mouse", BA129="ul"), (AW129/508.91)*100, AND(F129="Rat", BA129="ul"), (AW129/1971)*100,  AND(F129="Mouse", BA129="nl"), (AW129/508910)*100, AND(F129="Rat", BA129="nl"), (AW129/1971000)*100, AND(F129="Mouse", BA129="cm3"), (AW129/0.50891)*100, AND(F129="Rat", BA129="cm3"), (AW129/1.971)*100, AND(F129="Mouse", BA129="mL"), (AW129/0.50891)*100, AND(F129="Rat", BA129="mL"), (AW129/1.971)*100, TRUE, "NA")</f>
        <v>6.4840182648401825</v>
      </c>
      <c r="BD129" cm="1">
        <f t="array" ref="BD129">_xlfn.IFS(AZ129="NA", "NA",BA129="Direct rLV % whole brain", AY129, BA129="Indirect rLV % whole brain", AY129, BA129="Direct rLV % hemisphere", AY129/2, BA129="Indirect rLV % hemisphere", AY129/2, AND(F129="Mouse", BA129="mm3"), (AY129/508.91)*100, AND(F129="Rat", BA129="mm3"), (AY129/1971)*100, AND(F129="Mouse", BA129="ul"), (AY129/508.91)*100, AND(F129="Rat", BA129="ul"), (AY129/1971)*100,  AND(F129="Mouse", BA129="nl"), (AY129/508910)*100, AND(F129="Rat", BA129="nl"), (AY129/1971000)*100, AND(F129="Mouse", BA129="cm3"), (AY129/0.50891)*100, AND(F129="Rat", BA129="cm3"), (AY129/1.971)*100, AND(F129="Mouse", BA129="mL"), (AY129/0.50891)*100, AND(F129="Rat", BA129="mL"), (AY129/1.971)*100, TRUE, "NA")</f>
        <v>7.0522577371892439</v>
      </c>
      <c r="BE129" cm="1">
        <f t="array" ref="BE129">_xlfn.IFS(AX129="NA", "NA", BB129="NR", "NA", BB129="SD", AX129, BB129="SE", AX129*(SQRT(R129)), BB129="SEM", AX129*(SQRT(R129)), TRUE, "NA")</f>
        <v>26.021529547664947</v>
      </c>
      <c r="BF129" cm="1">
        <f t="array" ref="BF129">_xlfn.IFS(BE129="NA", "NA",BA129="Direct rLV % whole brain", BE129, BA129="Indirect rLV % whole brain", BE129, BA129="Direct rLV % hemisphere", BE129/2, BA129="Indirect rLV % hemisphere", BE129/2, AND(F129="Mouse", BA129="mm3"), (BE129/508.91)*100, AND(F129="Rat", BA129="mm3"), (BE129/1971)*100, AND(F129="Mouse", BA129="ul"), (BE129/508.91)*100, AND(F129="Rat", BA129="ul"), (BE129/1971)*100,  AND(F129="Mouse", BA129="nl"), (BE129/508910)*100, AND(F129="Rat", BA129="nl"), (BE129/1971000)*100, AND(F129="Mouse", BA129="cm3"), (BE129/0.50891)*100, AND(F129="Rat", BA129="cm3"), (BE129/1.971)*100, AND(F129="Mouse", BA129="mL"), (BE129/0.50891)*100, AND(F129="Rat", BA129="mL"), (BE129/1.971)*100, TRUE, "NA")</f>
        <v>1.3202196624893427</v>
      </c>
      <c r="BG129" cm="1">
        <f t="array" ref="BG129">_xlfn.IFS(AZ129="NA", "NA", BB129="NR", "NA", BB129="SD", AZ129, BB129="SE", AZ129*(SQRT(R129)), BB129="SEM", AZ129*(SQRT(R129)), TRUE, "NA")</f>
        <v>34.223968209428904</v>
      </c>
      <c r="BH129" s="18" t="s">
        <v>154</v>
      </c>
      <c r="BI129" t="s">
        <v>154</v>
      </c>
      <c r="BJ129" t="s">
        <v>154</v>
      </c>
    </row>
    <row r="130" spans="1:63" s="31" customFormat="1" x14ac:dyDescent="0.3">
      <c r="A130" s="31" t="s">
        <v>1020</v>
      </c>
      <c r="B130" s="31" t="s">
        <v>1017</v>
      </c>
      <c r="C130" s="31">
        <v>2016</v>
      </c>
      <c r="D130" s="31" t="s">
        <v>1021</v>
      </c>
      <c r="E130" s="31" t="s">
        <v>647</v>
      </c>
      <c r="F130" s="31" t="s">
        <v>23</v>
      </c>
      <c r="G130" s="31" t="s">
        <v>10</v>
      </c>
      <c r="H130" s="31" t="s">
        <v>34</v>
      </c>
      <c r="I130" s="31" t="s">
        <v>168</v>
      </c>
      <c r="J130" s="31" t="s">
        <v>8</v>
      </c>
      <c r="K130" s="31">
        <v>78</v>
      </c>
      <c r="L130" s="31">
        <f>AVERAGE(K130,M130)</f>
        <v>82.5</v>
      </c>
      <c r="M130" s="31">
        <v>87</v>
      </c>
      <c r="N130" s="31">
        <v>600</v>
      </c>
      <c r="O130" s="31">
        <f t="shared" si="18"/>
        <v>700</v>
      </c>
      <c r="P130" s="31">
        <v>800</v>
      </c>
      <c r="Q130" s="31">
        <v>1</v>
      </c>
      <c r="R130" s="31">
        <v>8</v>
      </c>
      <c r="S130" s="31">
        <v>1</v>
      </c>
      <c r="T130" s="31">
        <v>10</v>
      </c>
      <c r="U130" s="32" t="s">
        <v>68</v>
      </c>
      <c r="V130" s="31" t="s">
        <v>96</v>
      </c>
      <c r="W130" s="31" t="s">
        <v>8</v>
      </c>
      <c r="X130" s="31" t="s">
        <v>68</v>
      </c>
      <c r="Y130" s="31" t="s">
        <v>96</v>
      </c>
      <c r="Z130" s="31" t="s">
        <v>8</v>
      </c>
      <c r="AA130" s="31" t="s">
        <v>640</v>
      </c>
      <c r="AB130" s="31" t="s">
        <v>636</v>
      </c>
      <c r="AC130" s="31" t="s">
        <v>9</v>
      </c>
      <c r="AD130" s="31" t="s">
        <v>634</v>
      </c>
      <c r="AE130" s="31">
        <v>0</v>
      </c>
      <c r="AF130" s="31">
        <v>0.5</v>
      </c>
      <c r="AG130" s="31" t="s">
        <v>580</v>
      </c>
      <c r="AH130" s="31">
        <v>4.5</v>
      </c>
      <c r="AI130" cm="1">
        <f t="array" ref="AI130">_xlfn.IFS(AF130="NR", "NA", AG130="NR", "NA", AG130="NA","NA", AND(AG130="mg/ml", AH130&lt;&gt;"NR"), ((AF130/2492)*AH130*1000000), AND(AG130="mol/L", AH130&lt;&gt;"NR"), AF130*AH130*1000000, AG130="nmol", AF130*1000, AND(AG130="nmol/uL", AH130&lt;&gt;"NR"), AF130*AH130*1000, AG130="pg", AF130/2492, AG130="pmol", AF130, AND(AG130="pmol/uL", AH130&lt;&gt;"NR"), AF130*AH130, AG130="ug", AF130/2492*1000000, AND(AG130="ug/mL", AH130&lt;&gt;"NR"), (AF130/1000*AH130)/2492*1000000, AND(AG130="ug/uL", AH130&lt;&gt;"NR"), (AF130*AH130)/2492*1000000, AND(AG130="umol/L", AH130&lt;&gt;"NR"), AH130*AF130, TRUE, "NA")</f>
        <v>902.88924558587485</v>
      </c>
      <c r="AJ130" s="31">
        <v>9</v>
      </c>
      <c r="AK130" s="31">
        <v>3</v>
      </c>
      <c r="AL130" s="31" t="s">
        <v>9</v>
      </c>
      <c r="AM130" s="31" t="s">
        <v>8</v>
      </c>
      <c r="AN130" s="31" t="s">
        <v>9</v>
      </c>
      <c r="AO130" s="32" t="s">
        <v>501</v>
      </c>
      <c r="AP130" t="s">
        <v>1228</v>
      </c>
      <c r="AQ130" s="31">
        <v>168</v>
      </c>
      <c r="AR130" s="31" t="s">
        <v>103</v>
      </c>
      <c r="AS130" s="32">
        <v>768</v>
      </c>
      <c r="AT130" s="31" t="s">
        <v>271</v>
      </c>
      <c r="AU130" s="31" t="s">
        <v>652</v>
      </c>
      <c r="AV130" s="31" t="s">
        <v>674</v>
      </c>
      <c r="AW130" s="31">
        <v>55.1</v>
      </c>
      <c r="AX130" s="31">
        <v>7.31</v>
      </c>
      <c r="AY130" s="31">
        <v>50.6</v>
      </c>
      <c r="AZ130" s="31">
        <v>8.61</v>
      </c>
      <c r="BA130" s="31" t="s">
        <v>656</v>
      </c>
      <c r="BB130" s="31" t="s">
        <v>123</v>
      </c>
      <c r="BC130" cm="1">
        <f t="array" ref="BC130">_xlfn.IFS(BA130="Direct rLV % whole brain", AW130, BA130="Indirect rLV % whole brain", AW130, BA130="Direct rLV % hemisphere", AW130/2, BA130="Indirect rLV % hemisphere", AW130/2, AND(F130="Mouse", BA130="mm3"), (AW130/508.91)*100, AND(F130="Rat", BA130="mm3"), (AW130/1971)*100, AND(F130="Mouse", BA130="ul"), (AW130/508.91)*100, AND(F130="Rat", BA130="ul"), (AW130/1971)*100,  AND(F130="Mouse", BA130="nl"), (AW130/508910)*100, AND(F130="Rat", BA130="nl"), (AW130/1971000)*100, AND(F130="Mouse", BA130="cm3"), (AW130/0.50891)*100, AND(F130="Rat", BA130="cm3"), (AW130/1.971)*100, AND(F130="Mouse", BA130="mL"), (AW130/0.50891)*100, AND(F130="Rat", BA130="mL"), (AW130/1.971)*100, TRUE, "NA")</f>
        <v>2.7955352612886859</v>
      </c>
      <c r="BD130" cm="1">
        <f t="array" ref="BD130">_xlfn.IFS(AZ130="NA", "NA",BA130="Direct rLV % whole brain", AY130, BA130="Indirect rLV % whole brain", AY130, BA130="Direct rLV % hemisphere", AY130/2, BA130="Indirect rLV % hemisphere", AY130/2, AND(F130="Mouse", BA130="mm3"), (AY130/508.91)*100, AND(F130="Rat", BA130="mm3"), (AY130/1971)*100, AND(F130="Mouse", BA130="ul"), (AY130/508.91)*100, AND(F130="Rat", BA130="ul"), (AY130/1971)*100,  AND(F130="Mouse", BA130="nl"), (AY130/508910)*100, AND(F130="Rat", BA130="nl"), (AY130/1971000)*100, AND(F130="Mouse", BA130="cm3"), (AY130/0.50891)*100, AND(F130="Rat", BA130="cm3"), (AY130/1.971)*100, AND(F130="Mouse", BA130="mL"), (AY130/0.50891)*100, AND(F130="Rat", BA130="mL"), (AY130/1.971)*100, TRUE, "NA")</f>
        <v>2.567224759005581</v>
      </c>
      <c r="BE130" cm="1">
        <f t="array" ref="BE130">_xlfn.IFS(AX130="NA", "NA", BB130="NR", "NA", BB130="SD", AX130, BB130="SE", AX130*(SQRT(R130)), BB130="SEM", AX130*(SQRT(R130)), TRUE, "NA")</f>
        <v>20.675802281894651</v>
      </c>
      <c r="BF130" cm="1">
        <f t="array" ref="BF130">_xlfn.IFS(BE130="NA", "NA",BA130="Direct rLV % whole brain", BE130, BA130="Indirect rLV % whole brain", BE130, BA130="Direct rLV % hemisphere", BE130/2, BA130="Indirect rLV % hemisphere", BE130/2, AND(F130="Mouse", BA130="mm3"), (BE130/508.91)*100, AND(F130="Rat", BA130="mm3"), (BE130/1971)*100, AND(F130="Mouse", BA130="ul"), (BE130/508.91)*100, AND(F130="Rat", BA130="ul"), (BE130/1971)*100,  AND(F130="Mouse", BA130="nl"), (BE130/508910)*100, AND(F130="Rat", BA130="nl"), (BE130/1971000)*100, AND(F130="Mouse", BA130="cm3"), (BE130/0.50891)*100, AND(F130="Rat", BA130="cm3"), (BE130/1.971)*100, AND(F130="Mouse", BA130="mL"), (BE130/0.50891)*100, AND(F130="Rat", BA130="mL"), (BE130/1.971)*100, TRUE, "NA")</f>
        <v>1.0490006231301192</v>
      </c>
      <c r="BG130" cm="1">
        <f t="array" ref="BG130">_xlfn.IFS(AZ130="NA", "NA", BB130="NR", "NA", BB130="SD", AZ130, BB130="SE", AZ130*(SQRT(R130)), BB130="SEM", AZ130*(SQRT(R130)), TRUE, "NA")</f>
        <v>24.352757544064698</v>
      </c>
      <c r="BH130" s="32" t="s">
        <v>154</v>
      </c>
      <c r="BI130" s="31" t="s">
        <v>154</v>
      </c>
      <c r="BJ130" s="31" t="s">
        <v>154</v>
      </c>
    </row>
    <row r="131" spans="1:63" x14ac:dyDescent="0.3">
      <c r="A131" t="s">
        <v>1023</v>
      </c>
      <c r="B131" t="s">
        <v>1022</v>
      </c>
      <c r="C131">
        <v>2017</v>
      </c>
      <c r="D131" t="s">
        <v>1024</v>
      </c>
      <c r="E131" t="s">
        <v>647</v>
      </c>
      <c r="F131" t="s">
        <v>23</v>
      </c>
      <c r="G131" t="s">
        <v>11</v>
      </c>
      <c r="H131" t="s">
        <v>34</v>
      </c>
      <c r="I131" t="s">
        <v>12</v>
      </c>
      <c r="J131" t="s">
        <v>8</v>
      </c>
      <c r="K131" t="s">
        <v>9</v>
      </c>
      <c r="L131" t="s">
        <v>9</v>
      </c>
      <c r="M131" t="s">
        <v>9</v>
      </c>
      <c r="N131">
        <v>200</v>
      </c>
      <c r="O131">
        <f t="shared" si="18"/>
        <v>225</v>
      </c>
      <c r="P131">
        <v>250</v>
      </c>
      <c r="Q131">
        <v>1</v>
      </c>
      <c r="R131">
        <v>10</v>
      </c>
      <c r="S131">
        <v>1</v>
      </c>
      <c r="T131">
        <v>14</v>
      </c>
      <c r="U131" s="18" t="s">
        <v>68</v>
      </c>
      <c r="V131" t="s">
        <v>96</v>
      </c>
      <c r="W131" t="s">
        <v>8</v>
      </c>
      <c r="X131" t="s">
        <v>68</v>
      </c>
      <c r="Y131" t="s">
        <v>96</v>
      </c>
      <c r="Z131" t="s">
        <v>8</v>
      </c>
      <c r="AA131" t="s">
        <v>640</v>
      </c>
      <c r="AB131" t="s">
        <v>746</v>
      </c>
      <c r="AC131" t="s">
        <v>9</v>
      </c>
      <c r="AD131" t="s">
        <v>634</v>
      </c>
      <c r="AE131">
        <v>0</v>
      </c>
      <c r="AF131">
        <v>0.5</v>
      </c>
      <c r="AG131" t="s">
        <v>580</v>
      </c>
      <c r="AH131">
        <v>6</v>
      </c>
      <c r="AI131" cm="1">
        <f t="array" ref="AI131">_xlfn.IFS(AF131="NR", "NA", AG131="NR", "NA", AG131="NA","NA", AND(AG131="mg/ml", AH131&lt;&gt;"NR"), ((AF131/2492)*AH131*1000000), AND(AG131="mol/L", AH131&lt;&gt;"NR"), AF131*AH131*1000000, AG131="nmol", AF131*1000, AND(AG131="nmol/uL", AH131&lt;&gt;"NR"), AF131*AH131*1000, AG131="pg", AF131/2492, AG131="pmol", AF131, AND(AG131="pmol/uL", AH131&lt;&gt;"NR"), AF131*AH131, AG131="ug", AF131/2492*1000000, AND(AG131="ug/mL", AH131&lt;&gt;"NR"), (AF131/1000*AH131)/2492*1000000, AND(AG131="ug/uL", AH131&lt;&gt;"NR"), (AF131*AH131)/2492*1000000, AND(AG131="umol/L", AH131&lt;&gt;"NR"), AH131*AF131, TRUE, "NA")</f>
        <v>1203.852327447833</v>
      </c>
      <c r="AJ131">
        <v>12</v>
      </c>
      <c r="AK131">
        <v>3</v>
      </c>
      <c r="AL131" t="s">
        <v>9</v>
      </c>
      <c r="AM131" t="s">
        <v>8</v>
      </c>
      <c r="AN131" t="s">
        <v>9</v>
      </c>
      <c r="AO131" s="18" t="s">
        <v>1025</v>
      </c>
      <c r="AP131" t="s">
        <v>1228</v>
      </c>
      <c r="AQ131">
        <v>120</v>
      </c>
      <c r="AR131" t="s">
        <v>103</v>
      </c>
      <c r="AS131" s="18">
        <v>792</v>
      </c>
      <c r="AT131" t="s">
        <v>271</v>
      </c>
      <c r="AU131" t="s">
        <v>652</v>
      </c>
      <c r="AV131" t="s">
        <v>674</v>
      </c>
      <c r="AW131">
        <v>121.9</v>
      </c>
      <c r="AX131">
        <v>13.1</v>
      </c>
      <c r="AY131">
        <v>109.8</v>
      </c>
      <c r="AZ131">
        <v>12.3</v>
      </c>
      <c r="BA131" t="s">
        <v>656</v>
      </c>
      <c r="BB131" t="s">
        <v>123</v>
      </c>
      <c r="BC131" cm="1">
        <f t="array" ref="BC131">_xlfn.IFS(BA131="Direct rLV % whole brain", AW131, BA131="Indirect rLV % whole brain", AW131, BA131="Direct rLV % hemisphere", AW131/2, BA131="Indirect rLV % hemisphere", AW131/2, AND(F131="Mouse", BA131="mm3"), (AW131/508.91)*100, AND(F131="Rat", BA131="mm3"), (AW131/1971)*100, AND(F131="Mouse", BA131="ul"), (AW131/508.91)*100, AND(F131="Rat", BA131="ul"), (AW131/1971)*100,  AND(F131="Mouse", BA131="nl"), (AW131/508910)*100, AND(F131="Rat", BA131="nl"), (AW131/1971000)*100, AND(F131="Mouse", BA131="cm3"), (AW131/0.50891)*100, AND(F131="Rat", BA131="cm3"), (AW131/1.971)*100, AND(F131="Mouse", BA131="mL"), (AW131/0.50891)*100, AND(F131="Rat", BA131="mL"), (AW131/1.971)*100, TRUE, "NA")</f>
        <v>6.1846778285134452</v>
      </c>
      <c r="BD131" cm="1">
        <f t="array" ref="BD131">_xlfn.IFS(AZ131="NA", "NA",BA131="Direct rLV % whole brain", AY131, BA131="Indirect rLV % whole brain", AY131, BA131="Direct rLV % hemisphere", AY131/2, BA131="Indirect rLV % hemisphere", AY131/2, AND(F131="Mouse", BA131="mm3"), (AY131/508.91)*100, AND(F131="Rat", BA131="mm3"), (AY131/1971)*100, AND(F131="Mouse", BA131="ul"), (AY131/508.91)*100, AND(F131="Rat", BA131="ul"), (AY131/1971)*100,  AND(F131="Mouse", BA131="nl"), (AY131/508910)*100, AND(F131="Rat", BA131="nl"), (AY131/1971000)*100, AND(F131="Mouse", BA131="cm3"), (AY131/0.50891)*100, AND(F131="Rat", BA131="cm3"), (AY131/1.971)*100, AND(F131="Mouse", BA131="mL"), (AY131/0.50891)*100, AND(F131="Rat", BA131="mL"), (AY131/1.971)*100, TRUE, "NA")</f>
        <v>5.570776255707762</v>
      </c>
      <c r="BE131" cm="1">
        <f t="array" ref="BE131">_xlfn.IFS(AX131="NA", "NA", BB131="NR", "NA", BB131="SD", AX131, BB131="SE", AX131*(SQRT(R131)), BB131="SEM", AX131*(SQRT(R131)), TRUE, "NA")</f>
        <v>41.425837348205768</v>
      </c>
      <c r="BF131" cm="1">
        <f t="array" ref="BF131">_xlfn.IFS(BE131="NA", "NA",BA131="Direct rLV % whole brain", BE131, BA131="Indirect rLV % whole brain", BE131, BA131="Direct rLV % hemisphere", BE131/2, BA131="Indirect rLV % hemisphere", BE131/2, AND(F131="Mouse", BA131="mm3"), (BE131/508.91)*100, AND(F131="Rat", BA131="mm3"), (BE131/1971)*100, AND(F131="Mouse", BA131="ul"), (BE131/508.91)*100, AND(F131="Rat", BA131="ul"), (BE131/1971)*100,  AND(F131="Mouse", BA131="nl"), (BE131/508910)*100, AND(F131="Rat", BA131="nl"), (BE131/1971000)*100, AND(F131="Mouse", BA131="cm3"), (BE131/0.50891)*100, AND(F131="Rat", BA131="cm3"), (BE131/1.971)*100, AND(F131="Mouse", BA131="mL"), (BE131/0.50891)*100, AND(F131="Rat", BA131="mL"), (BE131/1.971)*100, TRUE, "NA")</f>
        <v>2.1017674961037933</v>
      </c>
      <c r="BG131" cm="1">
        <f t="array" ref="BG131">_xlfn.IFS(AZ131="NA", "NA", BB131="NR", "NA", BB131="SD", AZ131, BB131="SE", AZ131*(SQRT(R131)), BB131="SEM", AZ131*(SQRT(R131)), TRUE, "NA")</f>
        <v>38.896015220071071</v>
      </c>
      <c r="BH131" s="18" t="s">
        <v>154</v>
      </c>
      <c r="BI131" t="s">
        <v>154</v>
      </c>
      <c r="BJ131" t="s">
        <v>154</v>
      </c>
    </row>
    <row r="132" spans="1:63" s="31" customFormat="1" x14ac:dyDescent="0.3">
      <c r="A132" s="39" t="s">
        <v>1192</v>
      </c>
      <c r="B132" s="31" t="s">
        <v>1027</v>
      </c>
      <c r="C132" s="31">
        <v>2005</v>
      </c>
      <c r="D132" s="31" t="s">
        <v>1028</v>
      </c>
      <c r="E132" s="31" t="s">
        <v>647</v>
      </c>
      <c r="F132" s="31" t="s">
        <v>23</v>
      </c>
      <c r="G132" s="31" t="s">
        <v>9</v>
      </c>
      <c r="H132" s="31" t="s">
        <v>9</v>
      </c>
      <c r="I132" s="31" t="s">
        <v>12</v>
      </c>
      <c r="J132" s="31" t="s">
        <v>8</v>
      </c>
      <c r="K132" s="31" t="s">
        <v>9</v>
      </c>
      <c r="L132" s="31" t="s">
        <v>9</v>
      </c>
      <c r="M132" s="31" t="s">
        <v>9</v>
      </c>
      <c r="N132" s="31">
        <v>250</v>
      </c>
      <c r="O132" s="31">
        <f t="shared" ref="O132:O133" si="20">AVERAGE(N132,P132)</f>
        <v>275</v>
      </c>
      <c r="P132" s="31">
        <v>300</v>
      </c>
      <c r="Q132" s="31">
        <v>1</v>
      </c>
      <c r="R132" s="31">
        <v>9</v>
      </c>
      <c r="S132" s="31">
        <v>7</v>
      </c>
      <c r="T132" s="31">
        <v>5</v>
      </c>
      <c r="U132" s="32" t="s">
        <v>71</v>
      </c>
      <c r="V132" s="31" t="s">
        <v>98</v>
      </c>
      <c r="W132" s="31" t="s">
        <v>8</v>
      </c>
      <c r="X132" s="31" t="s">
        <v>69</v>
      </c>
      <c r="Y132" s="31" t="s">
        <v>8</v>
      </c>
      <c r="Z132" s="31" t="s">
        <v>8</v>
      </c>
      <c r="AA132" s="31" t="s">
        <v>648</v>
      </c>
      <c r="AB132" s="31" t="s">
        <v>636</v>
      </c>
      <c r="AC132" s="31" t="s">
        <v>153</v>
      </c>
      <c r="AD132" s="31" t="s">
        <v>634</v>
      </c>
      <c r="AE132" s="31">
        <v>24</v>
      </c>
      <c r="AF132" s="31">
        <v>500</v>
      </c>
      <c r="AG132" s="31" t="s">
        <v>650</v>
      </c>
      <c r="AH132" s="31">
        <v>6</v>
      </c>
      <c r="AI132" cm="1">
        <f t="array" ref="AI132">_xlfn.IFS(AF132="NR", "NA", AG132="NR", "NA", AG132="NA","NA", AND(AG132="mg/ml", AH132&lt;&gt;"NR"), ((AF132/2492)*AH132*1000000), AND(AG132="mol/L", AH132&lt;&gt;"NR"), AF132*AH132*1000000, AG132="nmol", AF132*1000, AND(AG132="nmol/uL", AH132&lt;&gt;"NR"), AF132*AH132*1000, AG132="pg", AF132/2492, AG132="pmol", AF132, AND(AG132="pmol/uL", AH132&lt;&gt;"NR"), AF132*AH132, AG132="ug", AF132/2492*1000000, AND(AG132="ug/mL", AH132&lt;&gt;"NR"), (AF132/1000*AH132)/2492*1000000, AND(AG132="ug/uL", AH132&lt;&gt;"NR"), (AF132*AH132)/2492*1000000, AND(AG132="umol/L", AH132&lt;&gt;"NR"), AH132*AF132, TRUE, "NA")</f>
        <v>500</v>
      </c>
      <c r="AJ132" s="31">
        <v>6</v>
      </c>
      <c r="AK132" s="31">
        <v>1</v>
      </c>
      <c r="AL132" s="31" t="s">
        <v>9</v>
      </c>
      <c r="AM132" s="31" t="s">
        <v>8</v>
      </c>
      <c r="AN132" s="31" t="s">
        <v>9</v>
      </c>
      <c r="AO132" s="32" t="s">
        <v>93</v>
      </c>
      <c r="AP132" t="s">
        <v>1228</v>
      </c>
      <c r="AQ132" s="31">
        <v>-0.66</v>
      </c>
      <c r="AR132" s="31" t="s">
        <v>101</v>
      </c>
      <c r="AS132" s="32" t="s">
        <v>9</v>
      </c>
      <c r="AT132" s="31" t="s">
        <v>271</v>
      </c>
      <c r="AU132" s="31" t="s">
        <v>652</v>
      </c>
      <c r="AV132" s="31" t="s">
        <v>679</v>
      </c>
      <c r="AW132" s="31">
        <f>55.77+62.21</f>
        <v>117.98</v>
      </c>
      <c r="AX132" s="31">
        <f>SQRT((5.37*SQRT(R132))^2 + (9.57*SQRT(R132))^2)</f>
        <v>32.921060128738262</v>
      </c>
      <c r="AY132" s="31">
        <f>21.17+52.97</f>
        <v>74.14</v>
      </c>
      <c r="AZ132" s="31">
        <f>SQRT((5.26*SQRT(T132))^2 + (4.84*SQRT(T132))^2)</f>
        <v>15.983303788641447</v>
      </c>
      <c r="BA132" s="31" t="s">
        <v>656</v>
      </c>
      <c r="BB132" s="31" t="s">
        <v>122</v>
      </c>
      <c r="BC132" cm="1">
        <f t="array" ref="BC132">_xlfn.IFS(BA132="Direct rLV % whole brain", AW132, BA132="Indirect rLV % whole brain", AW132, BA132="Direct rLV % hemisphere", AW132/2, BA132="Indirect rLV % hemisphere", AW132/2, AND(F132="Mouse", BA132="mm3"), (AW132/508.91)*100, AND(F132="Rat", BA132="mm3"), (AW132/1971)*100, AND(F132="Mouse", BA132="ul"), (AW132/508.91)*100, AND(F132="Rat", BA132="ul"), (AW132/1971)*100,  AND(F132="Mouse", BA132="nl"), (AW132/508910)*100, AND(F132="Rat", BA132="nl"), (AW132/1971000)*100, AND(F132="Mouse", BA132="cm3"), (AW132/0.50891)*100, AND(F132="Rat", BA132="cm3"), (AW132/1.971)*100, AND(F132="Mouse", BA132="mL"), (AW132/0.50891)*100, AND(F132="Rat", BA132="mL"), (AW132/1.971)*100, TRUE, "NA")</f>
        <v>5.9857940131912732</v>
      </c>
      <c r="BD132" cm="1">
        <f t="array" ref="BD132">_xlfn.IFS(AZ132="NA", "NA",BA132="Direct rLV % whole brain", AY132, BA132="Indirect rLV % whole brain", AY132, BA132="Direct rLV % hemisphere", AY132/2, BA132="Indirect rLV % hemisphere", AY132/2, AND(F132="Mouse", BA132="mm3"), (AY132/508.91)*100, AND(F132="Rat", BA132="mm3"), (AY132/1971)*100, AND(F132="Mouse", BA132="ul"), (AY132/508.91)*100, AND(F132="Rat", BA132="ul"), (AY132/1971)*100,  AND(F132="Mouse", BA132="nl"), (AY132/508910)*100, AND(F132="Rat", BA132="nl"), (AY132/1971000)*100, AND(F132="Mouse", BA132="cm3"), (AY132/0.50891)*100, AND(F132="Rat", BA132="cm3"), (AY132/1.971)*100, AND(F132="Mouse", BA132="mL"), (AY132/0.50891)*100, AND(F132="Rat", BA132="mL"), (AY132/1.971)*100, TRUE, "NA")</f>
        <v>3.7615423642820902</v>
      </c>
      <c r="BE132" cm="1">
        <f t="array" ref="BE132">_xlfn.IFS(AX132="NA", "NA", BB132="NR", "NA", BB132="SD", AX132, BB132="SE", AX132*(SQRT(R132)), BB132="SEM", AX132*(SQRT(R132)), TRUE, "NA")</f>
        <v>32.921060128738262</v>
      </c>
      <c r="BF132" cm="1">
        <f t="array" ref="BF132">_xlfn.IFS(BE132="NA", "NA",BA132="Direct rLV % whole brain", BE132, BA132="Indirect rLV % whole brain", BE132, BA132="Direct rLV % hemisphere", BE132/2, BA132="Indirect rLV % hemisphere", BE132/2, AND(F132="Mouse", BA132="mm3"), (BE132/508.91)*100, AND(F132="Rat", BA132="mm3"), (BE132/1971)*100, AND(F132="Mouse", BA132="ul"), (BE132/508.91)*100, AND(F132="Rat", BA132="ul"), (BE132/1971)*100,  AND(F132="Mouse", BA132="nl"), (BE132/508910)*100, AND(F132="Rat", BA132="nl"), (BE132/1971000)*100, AND(F132="Mouse", BA132="cm3"), (BE132/0.50891)*100, AND(F132="Rat", BA132="cm3"), (BE132/1.971)*100, AND(F132="Mouse", BA132="mL"), (BE132/0.50891)*100, AND(F132="Rat", BA132="mL"), (BE132/1.971)*100, TRUE, "NA")</f>
        <v>1.6702719497076741</v>
      </c>
      <c r="BG132" cm="1">
        <f t="array" ref="BG132">_xlfn.IFS(AZ132="NA", "NA", BB132="NR", "NA", BB132="SD", AZ132, BB132="SE", AZ132*(SQRT(R132)), BB132="SEM", AZ132*(SQRT(R132)), TRUE, "NA")</f>
        <v>15.983303788641447</v>
      </c>
      <c r="BH132" s="32" t="s">
        <v>154</v>
      </c>
      <c r="BI132" s="31" t="s">
        <v>153</v>
      </c>
      <c r="BJ132" s="31" t="s">
        <v>154</v>
      </c>
      <c r="BK132" s="31" t="s">
        <v>1029</v>
      </c>
    </row>
    <row r="133" spans="1:63" s="31" customFormat="1" x14ac:dyDescent="0.3">
      <c r="A133" s="39" t="s">
        <v>1192</v>
      </c>
      <c r="B133" s="31" t="s">
        <v>1027</v>
      </c>
      <c r="C133" s="31">
        <v>2005</v>
      </c>
      <c r="D133" s="31" t="s">
        <v>1028</v>
      </c>
      <c r="E133" s="31" t="s">
        <v>678</v>
      </c>
      <c r="F133" s="31" t="s">
        <v>23</v>
      </c>
      <c r="G133" s="31" t="s">
        <v>9</v>
      </c>
      <c r="H133" s="31" t="s">
        <v>9</v>
      </c>
      <c r="I133" s="31" t="s">
        <v>12</v>
      </c>
      <c r="J133" s="31" t="s">
        <v>8</v>
      </c>
      <c r="K133" s="31" t="s">
        <v>9</v>
      </c>
      <c r="L133" s="31" t="s">
        <v>9</v>
      </c>
      <c r="M133" s="31" t="s">
        <v>9</v>
      </c>
      <c r="N133" s="31">
        <v>250</v>
      </c>
      <c r="O133" s="31">
        <f t="shared" si="20"/>
        <v>275</v>
      </c>
      <c r="P133" s="31">
        <v>300</v>
      </c>
      <c r="Q133" s="31">
        <v>1</v>
      </c>
      <c r="R133" s="31">
        <v>9</v>
      </c>
      <c r="S133" s="31">
        <v>7</v>
      </c>
      <c r="T133" s="31">
        <v>5</v>
      </c>
      <c r="U133" s="32" t="s">
        <v>71</v>
      </c>
      <c r="V133" s="31" t="s">
        <v>98</v>
      </c>
      <c r="W133" s="31" t="s">
        <v>8</v>
      </c>
      <c r="X133" s="31" t="s">
        <v>69</v>
      </c>
      <c r="Y133" s="31" t="s">
        <v>8</v>
      </c>
      <c r="Z133" s="31" t="s">
        <v>8</v>
      </c>
      <c r="AA133" s="31" t="s">
        <v>648</v>
      </c>
      <c r="AB133" s="31" t="s">
        <v>636</v>
      </c>
      <c r="AC133" s="31" t="s">
        <v>153</v>
      </c>
      <c r="AD133" s="31" t="s">
        <v>634</v>
      </c>
      <c r="AE133" s="31">
        <v>24</v>
      </c>
      <c r="AF133" s="31">
        <v>500</v>
      </c>
      <c r="AG133" s="31" t="s">
        <v>650</v>
      </c>
      <c r="AH133" s="31">
        <v>6</v>
      </c>
      <c r="AI133" cm="1">
        <f t="array" ref="AI133">_xlfn.IFS(AF133="NR", "NA", AG133="NR", "NA", AG133="NA","NA", AND(AG133="mg/ml", AH133&lt;&gt;"NR"), ((AF133/2492)*AH133*1000000), AND(AG133="mol/L", AH133&lt;&gt;"NR"), AF133*AH133*1000000, AG133="nmol", AF133*1000, AND(AG133="nmol/uL", AH133&lt;&gt;"NR"), AF133*AH133*1000, AG133="pg", AF133/2492, AG133="pmol", AF133, AND(AG133="pmol/uL", AH133&lt;&gt;"NR"), AF133*AH133, AG133="ug", AF133/2492*1000000, AND(AG133="ug/mL", AH133&lt;&gt;"NR"), (AF133/1000*AH133)/2492*1000000, AND(AG133="ug/uL", AH133&lt;&gt;"NR"), (AF133*AH133)/2492*1000000, AND(AG133="umol/L", AH133&lt;&gt;"NR"), AH133*AF133, TRUE, "NA")</f>
        <v>500</v>
      </c>
      <c r="AJ133" s="31">
        <v>6</v>
      </c>
      <c r="AK133" s="31">
        <v>1</v>
      </c>
      <c r="AL133" s="31" t="s">
        <v>9</v>
      </c>
      <c r="AM133" s="31" t="s">
        <v>8</v>
      </c>
      <c r="AN133" s="31" t="s">
        <v>9</v>
      </c>
      <c r="AO133" s="32" t="s">
        <v>1030</v>
      </c>
      <c r="AP133" t="s">
        <v>1228</v>
      </c>
      <c r="AQ133" s="31">
        <v>-0.66</v>
      </c>
      <c r="AR133" s="31" t="s">
        <v>101</v>
      </c>
      <c r="AS133" s="32" t="s">
        <v>9</v>
      </c>
      <c r="AT133" s="31" t="s">
        <v>271</v>
      </c>
      <c r="AU133" s="31" t="s">
        <v>652</v>
      </c>
      <c r="AV133" s="31" t="s">
        <v>679</v>
      </c>
      <c r="AW133" s="31">
        <f>55.77+62.21</f>
        <v>117.98</v>
      </c>
      <c r="AX133" s="31">
        <f>SQRT((5.37*SQRT(R133))^2 + (9.57*SQRT(R133))^2)</f>
        <v>32.921060128738262</v>
      </c>
      <c r="AY133" s="31">
        <f>46.53+30.3</f>
        <v>76.83</v>
      </c>
      <c r="AZ133" s="31">
        <f>SQRT((7.09*SQRT(T133))^2 + (9.46*SQRT(T133))^2)</f>
        <v>26.434797143159621</v>
      </c>
      <c r="BA133" s="31" t="s">
        <v>656</v>
      </c>
      <c r="BB133" s="31" t="s">
        <v>122</v>
      </c>
      <c r="BC133" cm="1">
        <f t="array" ref="BC133">_xlfn.IFS(BA133="Direct rLV % whole brain", AW133, BA133="Indirect rLV % whole brain", AW133, BA133="Direct rLV % hemisphere", AW133/2, BA133="Indirect rLV % hemisphere", AW133/2, AND(F133="Mouse", BA133="mm3"), (AW133/508.91)*100, AND(F133="Rat", BA133="mm3"), (AW133/1971)*100, AND(F133="Mouse", BA133="ul"), (AW133/508.91)*100, AND(F133="Rat", BA133="ul"), (AW133/1971)*100,  AND(F133="Mouse", BA133="nl"), (AW133/508910)*100, AND(F133="Rat", BA133="nl"), (AW133/1971000)*100, AND(F133="Mouse", BA133="cm3"), (AW133/0.50891)*100, AND(F133="Rat", BA133="cm3"), (AW133/1.971)*100, AND(F133="Mouse", BA133="mL"), (AW133/0.50891)*100, AND(F133="Rat", BA133="mL"), (AW133/1.971)*100, TRUE, "NA")</f>
        <v>5.9857940131912732</v>
      </c>
      <c r="BD133" cm="1">
        <f t="array" ref="BD133">_xlfn.IFS(AZ133="NA", "NA",BA133="Direct rLV % whole brain", AY133, BA133="Indirect rLV % whole brain", AY133, BA133="Direct rLV % hemisphere", AY133/2, BA133="Indirect rLV % hemisphere", AY133/2, AND(F133="Mouse", BA133="mm3"), (AY133/508.91)*100, AND(F133="Rat", BA133="mm3"), (AY133/1971)*100, AND(F133="Mouse", BA133="ul"), (AY133/508.91)*100, AND(F133="Rat", BA133="ul"), (AY133/1971)*100,  AND(F133="Mouse", BA133="nl"), (AY133/508910)*100, AND(F133="Rat", BA133="nl"), (AY133/1971000)*100, AND(F133="Mouse", BA133="cm3"), (AY133/0.50891)*100, AND(F133="Rat", BA133="cm3"), (AY133/1.971)*100, AND(F133="Mouse", BA133="mL"), (AY133/0.50891)*100, AND(F133="Rat", BA133="mL"), (AY133/1.971)*100, TRUE, "NA")</f>
        <v>3.8980213089802129</v>
      </c>
      <c r="BE133" cm="1">
        <f t="array" ref="BE133">_xlfn.IFS(AX133="NA", "NA", BB133="NR", "NA", BB133="SD", AX133, BB133="SE", AX133*(SQRT(R133)), BB133="SEM", AX133*(SQRT(R133)), TRUE, "NA")</f>
        <v>32.921060128738262</v>
      </c>
      <c r="BF133" cm="1">
        <f t="array" ref="BF133">_xlfn.IFS(BE133="NA", "NA",BA133="Direct rLV % whole brain", BE133, BA133="Indirect rLV % whole brain", BE133, BA133="Direct rLV % hemisphere", BE133/2, BA133="Indirect rLV % hemisphere", BE133/2, AND(F133="Mouse", BA133="mm3"), (BE133/508.91)*100, AND(F133="Rat", BA133="mm3"), (BE133/1971)*100, AND(F133="Mouse", BA133="ul"), (BE133/508.91)*100, AND(F133="Rat", BA133="ul"), (BE133/1971)*100,  AND(F133="Mouse", BA133="nl"), (BE133/508910)*100, AND(F133="Rat", BA133="nl"), (BE133/1971000)*100, AND(F133="Mouse", BA133="cm3"), (BE133/0.50891)*100, AND(F133="Rat", BA133="cm3"), (BE133/1.971)*100, AND(F133="Mouse", BA133="mL"), (BE133/0.50891)*100, AND(F133="Rat", BA133="mL"), (BE133/1.971)*100, TRUE, "NA")</f>
        <v>1.6702719497076741</v>
      </c>
      <c r="BG133" cm="1">
        <f t="array" ref="BG133">_xlfn.IFS(AZ133="NA", "NA", BB133="NR", "NA", BB133="SD", AZ133, BB133="SE", AZ133*(SQRT(R133)), BB133="SEM", AZ133*(SQRT(R133)), TRUE, "NA")</f>
        <v>26.434797143159621</v>
      </c>
      <c r="BH133" s="32" t="s">
        <v>154</v>
      </c>
      <c r="BI133" s="31" t="s">
        <v>153</v>
      </c>
      <c r="BJ133" s="31" t="s">
        <v>154</v>
      </c>
      <c r="BK133" s="31" t="s">
        <v>1029</v>
      </c>
    </row>
    <row r="134" spans="1:63" x14ac:dyDescent="0.3">
      <c r="A134" t="s">
        <v>1032</v>
      </c>
      <c r="B134" t="s">
        <v>1031</v>
      </c>
      <c r="C134">
        <v>2016</v>
      </c>
      <c r="D134" t="s">
        <v>1033</v>
      </c>
      <c r="E134" t="s">
        <v>647</v>
      </c>
      <c r="F134" t="s">
        <v>23</v>
      </c>
      <c r="G134" t="s">
        <v>10</v>
      </c>
      <c r="H134" t="s">
        <v>34</v>
      </c>
      <c r="I134" t="s">
        <v>12</v>
      </c>
      <c r="J134" t="s">
        <v>8</v>
      </c>
      <c r="K134" t="s">
        <v>9</v>
      </c>
      <c r="L134" t="s">
        <v>9</v>
      </c>
      <c r="M134" t="s">
        <v>9</v>
      </c>
      <c r="N134">
        <v>350</v>
      </c>
      <c r="O134">
        <f t="shared" ref="O134:O136" si="21">AVERAGE(N134,P134)</f>
        <v>375</v>
      </c>
      <c r="P134">
        <v>400</v>
      </c>
      <c r="Q134">
        <v>1</v>
      </c>
      <c r="R134">
        <v>18</v>
      </c>
      <c r="S134">
        <v>2</v>
      </c>
      <c r="T134">
        <v>16</v>
      </c>
      <c r="U134" s="18" t="s">
        <v>68</v>
      </c>
      <c r="V134" t="s">
        <v>96</v>
      </c>
      <c r="W134" t="s">
        <v>8</v>
      </c>
      <c r="X134" t="s">
        <v>68</v>
      </c>
      <c r="Y134" t="s">
        <v>96</v>
      </c>
      <c r="Z134" t="s">
        <v>8</v>
      </c>
      <c r="AA134" t="s">
        <v>640</v>
      </c>
      <c r="AB134" t="s">
        <v>636</v>
      </c>
      <c r="AC134" t="s">
        <v>153</v>
      </c>
      <c r="AD134" t="s">
        <v>634</v>
      </c>
      <c r="AE134">
        <v>0</v>
      </c>
      <c r="AF134">
        <v>160</v>
      </c>
      <c r="AG134" t="s">
        <v>650</v>
      </c>
      <c r="AH134">
        <v>3.2</v>
      </c>
      <c r="AI134" cm="1">
        <f t="array" ref="AI134">_xlfn.IFS(AF134="NR", "NA", AG134="NR", "NA", AG134="NA","NA", AND(AG134="mg/ml", AH134&lt;&gt;"NR"), ((AF134/2492)*AH134*1000000), AND(AG134="mol/L", AH134&lt;&gt;"NR"), AF134*AH134*1000000, AG134="nmol", AF134*1000, AND(AG134="nmol/uL", AH134&lt;&gt;"NR"), AF134*AH134*1000, AG134="pg", AF134/2492, AG134="pmol", AF134, AND(AG134="pmol/uL", AH134&lt;&gt;"NR"), AF134*AH134, AG134="ug", AF134/2492*1000000, AND(AG134="ug/mL", AH134&lt;&gt;"NR"), (AF134/1000*AH134)/2492*1000000, AND(AG134="ug/uL", AH134&lt;&gt;"NR"), (AF134*AH134)/2492*1000000, AND(AG134="umol/L", AH134&lt;&gt;"NR"), AH134*AF134, TRUE, "NA")</f>
        <v>160</v>
      </c>
      <c r="AJ134">
        <v>3.2</v>
      </c>
      <c r="AK134">
        <v>1</v>
      </c>
      <c r="AL134" t="s">
        <v>1035</v>
      </c>
      <c r="AM134" t="s">
        <v>8</v>
      </c>
      <c r="AN134" t="s">
        <v>9</v>
      </c>
      <c r="AO134" s="18" t="s">
        <v>1034</v>
      </c>
      <c r="AP134" t="s">
        <v>1228</v>
      </c>
      <c r="AQ134">
        <v>2</v>
      </c>
      <c r="AR134" t="s">
        <v>103</v>
      </c>
      <c r="AS134" s="18">
        <v>168</v>
      </c>
      <c r="AT134" t="s">
        <v>270</v>
      </c>
      <c r="AU134" t="s">
        <v>8</v>
      </c>
      <c r="AV134" t="s">
        <v>679</v>
      </c>
      <c r="AW134">
        <v>20.23</v>
      </c>
      <c r="AX134">
        <v>2.27</v>
      </c>
      <c r="AY134">
        <v>14.18</v>
      </c>
      <c r="AZ134">
        <v>1.1299999999999999</v>
      </c>
      <c r="BA134" t="s">
        <v>202</v>
      </c>
      <c r="BB134" t="s">
        <v>123</v>
      </c>
      <c r="BC134" cm="1">
        <f t="array" ref="BC134">_xlfn.IFS(BA134="Direct rLV % whole brain", AW134, BA134="Indirect rLV % whole brain", AW134, BA134="Direct rLV % hemisphere", AW134/2, BA134="Indirect rLV % hemisphere", AW134/2, AND(F134="Mouse", BA134="mm3"), (AW134/508.91)*100, AND(F134="Rat", BA134="mm3"), (AW134/1971)*100, AND(F134="Mouse", BA134="ul"), (AW134/508.91)*100, AND(F134="Rat", BA134="ul"), (AW134/1971)*100,  AND(F134="Mouse", BA134="nl"), (AW134/508910)*100, AND(F134="Rat", BA134="nl"), (AW134/1971000)*100, AND(F134="Mouse", BA134="cm3"), (AW134/0.50891)*100, AND(F134="Rat", BA134="cm3"), (AW134/1.971)*100, AND(F134="Mouse", BA134="mL"), (AW134/0.50891)*100, AND(F134="Rat", BA134="mL"), (AW134/1.971)*100, TRUE, "NA")</f>
        <v>10.115</v>
      </c>
      <c r="BD134" cm="1">
        <f t="array" ref="BD134">_xlfn.IFS(AZ134="NA", "NA",BA134="Direct rLV % whole brain", AY134, BA134="Indirect rLV % whole brain", AY134, BA134="Direct rLV % hemisphere", AY134/2, BA134="Indirect rLV % hemisphere", AY134/2, AND(F134="Mouse", BA134="mm3"), (AY134/508.91)*100, AND(F134="Rat", BA134="mm3"), (AY134/1971)*100, AND(F134="Mouse", BA134="ul"), (AY134/508.91)*100, AND(F134="Rat", BA134="ul"), (AY134/1971)*100,  AND(F134="Mouse", BA134="nl"), (AY134/508910)*100, AND(F134="Rat", BA134="nl"), (AY134/1971000)*100, AND(F134="Mouse", BA134="cm3"), (AY134/0.50891)*100, AND(F134="Rat", BA134="cm3"), (AY134/1.971)*100, AND(F134="Mouse", BA134="mL"), (AY134/0.50891)*100, AND(F134="Rat", BA134="mL"), (AY134/1.971)*100, TRUE, "NA")</f>
        <v>7.09</v>
      </c>
      <c r="BE134" cm="1">
        <f t="array" ref="BE134">_xlfn.IFS(AX134="NA", "NA", BB134="NR", "NA", BB134="SD", AX134, BB134="SE", AX134*(SQRT(R134)), BB134="SEM", AX134*(SQRT(R134)), TRUE, "NA")</f>
        <v>9.6307943597607757</v>
      </c>
      <c r="BF134" cm="1">
        <f t="array" ref="BF134">_xlfn.IFS(BE134="NA", "NA",BA134="Direct rLV % whole brain", BE134, BA134="Indirect rLV % whole brain", BE134, BA134="Direct rLV % hemisphere", BE134/2, BA134="Indirect rLV % hemisphere", BE134/2, AND(F134="Mouse", BA134="mm3"), (BE134/508.91)*100, AND(F134="Rat", BA134="mm3"), (BE134/1971)*100, AND(F134="Mouse", BA134="ul"), (BE134/508.91)*100, AND(F134="Rat", BA134="ul"), (BE134/1971)*100,  AND(F134="Mouse", BA134="nl"), (BE134/508910)*100, AND(F134="Rat", BA134="nl"), (BE134/1971000)*100, AND(F134="Mouse", BA134="cm3"), (BE134/0.50891)*100, AND(F134="Rat", BA134="cm3"), (BE134/1.971)*100, AND(F134="Mouse", BA134="mL"), (BE134/0.50891)*100, AND(F134="Rat", BA134="mL"), (BE134/1.971)*100, TRUE, "NA")</f>
        <v>4.8153971798803878</v>
      </c>
      <c r="BG134" cm="1">
        <f t="array" ref="BG134">_xlfn.IFS(AZ134="NA", "NA", BB134="NR", "NA", BB134="SD", AZ134, BB134="SE", AZ134*(SQRT(R134)), BB134="SEM", AZ134*(SQRT(R134)), TRUE, "NA")</f>
        <v>4.7941839764447911</v>
      </c>
      <c r="BH134" s="18" t="s">
        <v>154</v>
      </c>
      <c r="BI134" t="s">
        <v>153</v>
      </c>
      <c r="BJ134" t="s">
        <v>154</v>
      </c>
    </row>
    <row r="135" spans="1:63" s="31" customFormat="1" x14ac:dyDescent="0.3">
      <c r="A135" s="31" t="s">
        <v>1037</v>
      </c>
      <c r="B135" s="31" t="s">
        <v>1036</v>
      </c>
      <c r="C135" s="31">
        <v>2006</v>
      </c>
      <c r="D135" s="31" t="s">
        <v>1038</v>
      </c>
      <c r="E135" s="31" t="s">
        <v>647</v>
      </c>
      <c r="F135" s="31" t="s">
        <v>23</v>
      </c>
      <c r="G135" s="31" t="s">
        <v>47</v>
      </c>
      <c r="H135" s="31" t="s">
        <v>34</v>
      </c>
      <c r="I135" s="31" t="s">
        <v>12</v>
      </c>
      <c r="J135" s="31" t="s">
        <v>8</v>
      </c>
      <c r="K135" s="31" t="s">
        <v>9</v>
      </c>
      <c r="L135" s="31" t="s">
        <v>9</v>
      </c>
      <c r="M135" s="31" t="s">
        <v>9</v>
      </c>
      <c r="N135" s="31">
        <v>280</v>
      </c>
      <c r="O135" s="31">
        <f t="shared" si="21"/>
        <v>290</v>
      </c>
      <c r="P135" s="31">
        <v>300</v>
      </c>
      <c r="Q135" s="31">
        <v>1</v>
      </c>
      <c r="R135" s="31">
        <v>6</v>
      </c>
      <c r="S135" s="31">
        <v>1</v>
      </c>
      <c r="T135" s="31">
        <v>6</v>
      </c>
      <c r="U135" s="32" t="s">
        <v>111</v>
      </c>
      <c r="V135" s="31" t="s">
        <v>8</v>
      </c>
      <c r="W135" s="31" t="s">
        <v>8</v>
      </c>
      <c r="X135" s="31" t="s">
        <v>12</v>
      </c>
      <c r="Y135" s="31" t="s">
        <v>8</v>
      </c>
      <c r="Z135" s="31" t="s">
        <v>8</v>
      </c>
      <c r="AA135" s="31" t="s">
        <v>648</v>
      </c>
      <c r="AB135" s="31" t="s">
        <v>636</v>
      </c>
      <c r="AC135" s="31" t="s">
        <v>153</v>
      </c>
      <c r="AD135" s="31" t="s">
        <v>610</v>
      </c>
      <c r="AE135" s="31">
        <v>72</v>
      </c>
      <c r="AF135" s="31">
        <v>120</v>
      </c>
      <c r="AG135" s="31" t="s">
        <v>650</v>
      </c>
      <c r="AH135" s="31">
        <v>6</v>
      </c>
      <c r="AI135" cm="1">
        <f t="array" ref="AI135">_xlfn.IFS(AF135="NR", "NA", AG135="NR", "NA", AG135="NA","NA", AND(AG135="mg/ml", AH135&lt;&gt;"NR"), ((AF135/2492)*AH135*1000000), AND(AG135="mol/L", AH135&lt;&gt;"NR"), AF135*AH135*1000000, AG135="nmol", AF135*1000, AND(AG135="nmol/uL", AH135&lt;&gt;"NR"), AF135*AH135*1000, AG135="pg", AF135/2492, AG135="pmol", AF135, AND(AG135="pmol/uL", AH135&lt;&gt;"NR"), AF135*AH135, AG135="ug", AF135/2492*1000000, AND(AG135="ug/mL", AH135&lt;&gt;"NR"), (AF135/1000*AH135)/2492*1000000, AND(AG135="ug/uL", AH135&lt;&gt;"NR"), (AF135*AH135)/2492*1000000, AND(AG135="umol/L", AH135&lt;&gt;"NR"), AH135*AF135, TRUE, "NA")</f>
        <v>120</v>
      </c>
      <c r="AJ135" s="31">
        <v>6</v>
      </c>
      <c r="AK135" s="31">
        <v>1</v>
      </c>
      <c r="AL135" s="31" t="s">
        <v>9</v>
      </c>
      <c r="AM135" s="31" t="s">
        <v>8</v>
      </c>
      <c r="AN135" s="31" t="s">
        <v>9</v>
      </c>
      <c r="AO135" s="32" t="s">
        <v>725</v>
      </c>
      <c r="AP135" t="s">
        <v>1228</v>
      </c>
      <c r="AQ135" s="31">
        <v>3</v>
      </c>
      <c r="AR135" s="31" t="s">
        <v>103</v>
      </c>
      <c r="AS135" s="32">
        <v>48</v>
      </c>
      <c r="AT135" s="31" t="s">
        <v>271</v>
      </c>
      <c r="AU135" s="31" t="s">
        <v>1243</v>
      </c>
      <c r="AV135" s="31" t="s">
        <v>728</v>
      </c>
      <c r="AW135" s="31">
        <v>74.48</v>
      </c>
      <c r="AX135" s="31">
        <v>17.91</v>
      </c>
      <c r="AY135" s="31">
        <v>20.37</v>
      </c>
      <c r="AZ135" s="31">
        <v>5.64</v>
      </c>
      <c r="BA135" s="31" t="s">
        <v>656</v>
      </c>
      <c r="BB135" s="31" t="s">
        <v>123</v>
      </c>
      <c r="BC135" cm="1">
        <f t="array" ref="BC135">_xlfn.IFS(BA135="Direct rLV % whole brain", AW135, BA135="Indirect rLV % whole brain", AW135, BA135="Direct rLV % hemisphere", AW135/2, BA135="Indirect rLV % hemisphere", AW135/2, AND(F135="Mouse", BA135="mm3"), (AW135/508.91)*100, AND(F135="Rat", BA135="mm3"), (AW135/1971)*100, AND(F135="Mouse", BA135="ul"), (AW135/508.91)*100, AND(F135="Rat", BA135="ul"), (AW135/1971)*100,  AND(F135="Mouse", BA135="nl"), (AW135/508910)*100, AND(F135="Rat", BA135="nl"), (AW135/1971000)*100, AND(F135="Mouse", BA135="cm3"), (AW135/0.50891)*100, AND(F135="Rat", BA135="cm3"), (AW135/1.971)*100, AND(F135="Mouse", BA135="mL"), (AW135/0.50891)*100, AND(F135="Rat", BA135="mL"), (AW135/1.971)*100, TRUE, "NA")</f>
        <v>3.7787924911212585</v>
      </c>
      <c r="BD135" cm="1">
        <f t="array" ref="BD135">_xlfn.IFS(AZ135="NA", "NA",BA135="Direct rLV % whole brain", AY135, BA135="Indirect rLV % whole brain", AY135, BA135="Direct rLV % hemisphere", AY135/2, BA135="Indirect rLV % hemisphere", AY135/2, AND(F135="Mouse", BA135="mm3"), (AY135/508.91)*100, AND(F135="Rat", BA135="mm3"), (AY135/1971)*100, AND(F135="Mouse", BA135="ul"), (AY135/508.91)*100, AND(F135="Rat", BA135="ul"), (AY135/1971)*100,  AND(F135="Mouse", BA135="nl"), (AY135/508910)*100, AND(F135="Rat", BA135="nl"), (AY135/1971000)*100, AND(F135="Mouse", BA135="cm3"), (AY135/0.50891)*100, AND(F135="Rat", BA135="cm3"), (AY135/1.971)*100, AND(F135="Mouse", BA135="mL"), (AY135/0.50891)*100, AND(F135="Rat", BA135="mL"), (AY135/1.971)*100, TRUE, "NA")</f>
        <v>1.0334855403348555</v>
      </c>
      <c r="BE135" cm="1">
        <f t="array" ref="BE135">_xlfn.IFS(AX135="NA", "NA", BB135="NR", "NA", BB135="SD", AX135, BB135="SE", AX135*(SQRT(R135)), BB135="SEM", AX135*(SQRT(R135)), TRUE, "NA")</f>
        <v>43.870361293246717</v>
      </c>
      <c r="BF135" cm="1">
        <f t="array" ref="BF135">_xlfn.IFS(BE135="NA", "NA",BA135="Direct rLV % whole brain", BE135, BA135="Indirect rLV % whole brain", BE135, BA135="Direct rLV % hemisphere", BE135/2, BA135="Indirect rLV % hemisphere", BE135/2, AND(F135="Mouse", BA135="mm3"), (BE135/508.91)*100, AND(F135="Rat", BA135="mm3"), (BE135/1971)*100, AND(F135="Mouse", BA135="ul"), (BE135/508.91)*100, AND(F135="Rat", BA135="ul"), (BE135/1971)*100,  AND(F135="Mouse", BA135="nl"), (BE135/508910)*100, AND(F135="Rat", BA135="nl"), (BE135/1971000)*100, AND(F135="Mouse", BA135="cm3"), (BE135/0.50891)*100, AND(F135="Rat", BA135="cm3"), (BE135/1.971)*100, AND(F135="Mouse", BA135="mL"), (BE135/0.50891)*100, AND(F135="Rat", BA135="mL"), (BE135/1.971)*100, TRUE, "NA")</f>
        <v>2.2257920493783216</v>
      </c>
      <c r="BG135" cm="1">
        <f t="array" ref="BG135">_xlfn.IFS(AZ135="NA", "NA", BB135="NR", "NA", BB135="SD", AZ135, BB135="SE", AZ135*(SQRT(R135)), BB135="SEM", AZ135*(SQRT(R135)), TRUE, "NA")</f>
        <v>13.815122149297123</v>
      </c>
      <c r="BH135" s="32" t="s">
        <v>154</v>
      </c>
      <c r="BI135" s="31" t="s">
        <v>154</v>
      </c>
      <c r="BJ135" s="31" t="s">
        <v>154</v>
      </c>
    </row>
    <row r="136" spans="1:63" x14ac:dyDescent="0.3">
      <c r="A136" t="s">
        <v>1039</v>
      </c>
      <c r="B136" t="s">
        <v>1036</v>
      </c>
      <c r="C136">
        <v>2007</v>
      </c>
      <c r="D136" t="s">
        <v>1040</v>
      </c>
      <c r="E136" t="s">
        <v>647</v>
      </c>
      <c r="F136" t="s">
        <v>23</v>
      </c>
      <c r="G136" t="s">
        <v>47</v>
      </c>
      <c r="H136" t="s">
        <v>34</v>
      </c>
      <c r="I136" t="s">
        <v>12</v>
      </c>
      <c r="J136" t="s">
        <v>8</v>
      </c>
      <c r="K136" t="s">
        <v>9</v>
      </c>
      <c r="L136" t="s">
        <v>9</v>
      </c>
      <c r="M136" t="s">
        <v>9</v>
      </c>
      <c r="N136">
        <v>280</v>
      </c>
      <c r="O136">
        <f t="shared" si="21"/>
        <v>290</v>
      </c>
      <c r="P136">
        <v>300</v>
      </c>
      <c r="Q136">
        <v>6</v>
      </c>
      <c r="R136">
        <v>4.5</v>
      </c>
      <c r="S136" t="s">
        <v>8</v>
      </c>
      <c r="T136" t="s">
        <v>8</v>
      </c>
      <c r="U136" s="18" t="s">
        <v>111</v>
      </c>
      <c r="V136" t="s">
        <v>8</v>
      </c>
      <c r="W136" t="s">
        <v>8</v>
      </c>
      <c r="X136" t="s">
        <v>12</v>
      </c>
      <c r="Y136" t="s">
        <v>8</v>
      </c>
      <c r="Z136" t="s">
        <v>8</v>
      </c>
      <c r="AA136" t="s">
        <v>648</v>
      </c>
      <c r="AB136" t="s">
        <v>636</v>
      </c>
      <c r="AC136" t="s">
        <v>153</v>
      </c>
      <c r="AD136" t="s">
        <v>610</v>
      </c>
      <c r="AE136">
        <v>72</v>
      </c>
      <c r="AF136">
        <v>120</v>
      </c>
      <c r="AG136" t="s">
        <v>650</v>
      </c>
      <c r="AH136">
        <v>6</v>
      </c>
      <c r="AI136" cm="1">
        <f t="array" ref="AI136">_xlfn.IFS(AF136="NR", "NA", AG136="NR", "NA", AG136="NA","NA", AND(AG136="mg/ml", AH136&lt;&gt;"NR"), ((AF136/2492)*AH136*1000000), AND(AG136="mol/L", AH136&lt;&gt;"NR"), AF136*AH136*1000000, AG136="nmol", AF136*1000, AND(AG136="nmol/uL", AH136&lt;&gt;"NR"), AF136*AH136*1000, AG136="pg", AF136/2492, AG136="pmol", AF136, AND(AG136="pmol/uL", AH136&lt;&gt;"NR"), AF136*AH136, AG136="ug", AF136/2492*1000000, AND(AG136="ug/mL", AH136&lt;&gt;"NR"), (AF136/1000*AH136)/2492*1000000, AND(AG136="ug/uL", AH136&lt;&gt;"NR"), (AF136*AH136)/2492*1000000, AND(AG136="umol/L", AH136&lt;&gt;"NR"), AH136*AF136, TRUE, "NA")</f>
        <v>120</v>
      </c>
      <c r="AJ136">
        <v>6</v>
      </c>
      <c r="AK136">
        <v>1</v>
      </c>
      <c r="AL136" t="s">
        <v>9</v>
      </c>
      <c r="AM136" t="s">
        <v>8</v>
      </c>
      <c r="AN136" t="s">
        <v>9</v>
      </c>
      <c r="AO136" s="18" t="s">
        <v>12</v>
      </c>
      <c r="AP136" t="s">
        <v>8</v>
      </c>
      <c r="AQ136" t="s">
        <v>8</v>
      </c>
      <c r="AR136" t="s">
        <v>8</v>
      </c>
      <c r="AS136" s="18">
        <v>72</v>
      </c>
      <c r="AT136" t="s">
        <v>271</v>
      </c>
      <c r="AU136" t="s">
        <v>1243</v>
      </c>
      <c r="AV136" t="s">
        <v>8</v>
      </c>
      <c r="AW136">
        <v>88.45</v>
      </c>
      <c r="AX136">
        <v>13.77</v>
      </c>
      <c r="AY136" t="s">
        <v>8</v>
      </c>
      <c r="AZ136" t="s">
        <v>8</v>
      </c>
      <c r="BA136" t="s">
        <v>656</v>
      </c>
      <c r="BB136" t="s">
        <v>123</v>
      </c>
      <c r="BC136" cm="1">
        <f t="array" ref="BC136">_xlfn.IFS(BA136="Direct rLV % whole brain", AW136, BA136="Indirect rLV % whole brain", AW136, BA136="Direct rLV % hemisphere", AW136/2, BA136="Indirect rLV % hemisphere", AW136/2, AND(F136="Mouse", BA136="mm3"), (AW136/508.91)*100, AND(F136="Rat", BA136="mm3"), (AW136/1971)*100, AND(F136="Mouse", BA136="ul"), (AW136/508.91)*100, AND(F136="Rat", BA136="ul"), (AW136/1971)*100,  AND(F136="Mouse", BA136="nl"), (AW136/508910)*100, AND(F136="Rat", BA136="nl"), (AW136/1971000)*100, AND(F136="Mouse", BA136="cm3"), (AW136/0.50891)*100, AND(F136="Rat", BA136="cm3"), (AW136/1.971)*100, AND(F136="Mouse", BA136="mL"), (AW136/0.50891)*100, AND(F136="Rat", BA136="mL"), (AW136/1.971)*100, TRUE, "NA")</f>
        <v>4.487569761542364</v>
      </c>
      <c r="BD136" t="str" cm="1">
        <f t="array" ref="BD136">_xlfn.IFS(AZ136="NA", "NA",BA136="Direct rLV % whole brain", AY136, BA136="Indirect rLV % whole brain", AY136, BA136="Direct rLV % hemisphere", AY136/2, BA136="Indirect rLV % hemisphere", AY136/2, AND(F136="Mouse", BA136="mm3"), (AY136/508.91)*100, AND(F136="Rat", BA136="mm3"), (AY136/1971)*100, AND(F136="Mouse", BA136="ul"), (AY136/508.91)*100, AND(F136="Rat", BA136="ul"), (AY136/1971)*100,  AND(F136="Mouse", BA136="nl"), (AY136/508910)*100, AND(F136="Rat", BA136="nl"), (AY136/1971000)*100, AND(F136="Mouse", BA136="cm3"), (AY136/0.50891)*100, AND(F136="Rat", BA136="cm3"), (AY136/1.971)*100, AND(F136="Mouse", BA136="mL"), (AY136/0.50891)*100, AND(F136="Rat", BA136="mL"), (AY136/1.971)*100, TRUE, "NA")</f>
        <v>NA</v>
      </c>
      <c r="BE136" cm="1">
        <f t="array" ref="BE136">_xlfn.IFS(AX136="NA", "NA", BB136="NR", "NA", BB136="SD", AX136, BB136="SE", AX136*(SQRT(R136)), BB136="SEM", AX136*(SQRT(R136)), TRUE, "NA")</f>
        <v>29.210581130816276</v>
      </c>
      <c r="BF136" cm="1">
        <f t="array" ref="BF136">_xlfn.IFS(BE136="NA", "NA",BA136="Direct rLV % whole brain", BE136, BA136="Indirect rLV % whole brain", BE136, BA136="Direct rLV % hemisphere", BE136/2, BA136="Indirect rLV % hemisphere", BE136/2, AND(F136="Mouse", BA136="mm3"), (BE136/508.91)*100, AND(F136="Rat", BA136="mm3"), (BE136/1971)*100, AND(F136="Mouse", BA136="ul"), (BE136/508.91)*100, AND(F136="Rat", BA136="ul"), (BE136/1971)*100,  AND(F136="Mouse", BA136="nl"), (BE136/508910)*100, AND(F136="Rat", BA136="nl"), (BE136/1971000)*100, AND(F136="Mouse", BA136="cm3"), (BE136/0.50891)*100, AND(F136="Rat", BA136="cm3"), (BE136/1.971)*100, AND(F136="Mouse", BA136="mL"), (BE136/0.50891)*100, AND(F136="Rat", BA136="mL"), (BE136/1.971)*100, TRUE, "NA")</f>
        <v>1.4820183222129009</v>
      </c>
      <c r="BG136" t="str" cm="1">
        <f t="array" ref="BG136">_xlfn.IFS(AZ136="NA", "NA", BB136="NR", "NA", BB136="SD", AZ136, BB136="SE", AZ136*(SQRT(R136)), BB136="SEM", AZ136*(SQRT(R136)), TRUE, "NA")</f>
        <v>NA</v>
      </c>
      <c r="BH136" s="18" t="s">
        <v>153</v>
      </c>
      <c r="BI136" t="s">
        <v>154</v>
      </c>
      <c r="BJ136" t="s">
        <v>154</v>
      </c>
      <c r="BK136" t="s">
        <v>1041</v>
      </c>
    </row>
    <row r="137" spans="1:63" s="31" customFormat="1" x14ac:dyDescent="0.3">
      <c r="A137" s="31" t="s">
        <v>1043</v>
      </c>
      <c r="B137" s="31" t="s">
        <v>1042</v>
      </c>
      <c r="C137" s="31">
        <v>2005</v>
      </c>
      <c r="D137" s="31" t="s">
        <v>1044</v>
      </c>
      <c r="E137" s="31" t="s">
        <v>647</v>
      </c>
      <c r="F137" s="31" t="s">
        <v>23</v>
      </c>
      <c r="G137" s="31" t="s">
        <v>47</v>
      </c>
      <c r="H137" s="31" t="s">
        <v>34</v>
      </c>
      <c r="I137" s="31" t="s">
        <v>12</v>
      </c>
      <c r="J137" s="31" t="s">
        <v>8</v>
      </c>
      <c r="K137" s="31" t="s">
        <v>9</v>
      </c>
      <c r="L137" s="31" t="s">
        <v>9</v>
      </c>
      <c r="M137" s="31" t="s">
        <v>9</v>
      </c>
      <c r="N137" s="31">
        <v>300</v>
      </c>
      <c r="O137" s="31">
        <f t="shared" ref="O137" si="22">AVERAGE(N137,P137)</f>
        <v>310</v>
      </c>
      <c r="P137" s="31">
        <v>320</v>
      </c>
      <c r="Q137" s="31">
        <v>1</v>
      </c>
      <c r="R137" s="31">
        <v>5</v>
      </c>
      <c r="S137" s="31">
        <v>2</v>
      </c>
      <c r="T137" s="31">
        <v>6</v>
      </c>
      <c r="U137" s="32" t="s">
        <v>68</v>
      </c>
      <c r="V137" s="31" t="s">
        <v>96</v>
      </c>
      <c r="W137" s="31" t="s">
        <v>8</v>
      </c>
      <c r="X137" s="31" t="s">
        <v>68</v>
      </c>
      <c r="Y137" s="31" t="s">
        <v>96</v>
      </c>
      <c r="Z137" s="31" t="s">
        <v>8</v>
      </c>
      <c r="AA137" s="31" t="s">
        <v>640</v>
      </c>
      <c r="AB137" s="31" t="s">
        <v>746</v>
      </c>
      <c r="AC137" s="31" t="s">
        <v>154</v>
      </c>
      <c r="AD137" s="31" t="s">
        <v>634</v>
      </c>
      <c r="AE137" s="31">
        <v>0</v>
      </c>
      <c r="AF137" s="31">
        <v>400</v>
      </c>
      <c r="AG137" s="31" t="s">
        <v>745</v>
      </c>
      <c r="AH137" s="31">
        <v>5</v>
      </c>
      <c r="AI137" cm="1">
        <f t="array" ref="AI137">_xlfn.IFS(AF137="NR", "NA", AG137="NR", "NA", AG137="NA","NA", AND(AG137="mg/ml", AH137&lt;&gt;"NR"), ((AF137/2492)*AH137*1000000), AND(AG137="mol/L", AH137&lt;&gt;"NR"), AF137*AH137*1000000, AG137="nmol", AF137*1000, AND(AG137="nmol/uL", AH137&lt;&gt;"NR"), AF137*AH137*1000, AG137="pg", AF137/2492, AG137="pmol", AF137, AND(AG137="pmol/uL", AH137&lt;&gt;"NR"), AF137*AH137, AG137="ug", AF137/2492*1000000, AND(AG137="ug/mL", AH137&lt;&gt;"NR"), (AF137/1000*AH137)/2492*1000000, AND(AG137="ug/uL", AH137&lt;&gt;"NR"), (AF137*AH137)/2492*1000000, AND(AG137="umol/L", AH137&lt;&gt;"NR"), AH137*AF137, TRUE, "NA")</f>
        <v>2000</v>
      </c>
      <c r="AJ137" s="31" t="s">
        <v>9</v>
      </c>
      <c r="AK137" s="31">
        <v>3</v>
      </c>
      <c r="AL137" s="31" t="s">
        <v>9</v>
      </c>
      <c r="AM137" s="31" t="s">
        <v>8</v>
      </c>
      <c r="AN137" s="31" t="s">
        <v>9</v>
      </c>
      <c r="AO137" s="32" t="s">
        <v>773</v>
      </c>
      <c r="AP137" t="s">
        <v>1228</v>
      </c>
      <c r="AQ137" s="31">
        <v>168</v>
      </c>
      <c r="AR137" s="31" t="s">
        <v>103</v>
      </c>
      <c r="AS137" s="32">
        <v>1224</v>
      </c>
      <c r="AT137" s="31" t="s">
        <v>271</v>
      </c>
      <c r="AU137" s="31" t="s">
        <v>652</v>
      </c>
      <c r="AV137" s="31">
        <v>0.61160000000000003</v>
      </c>
      <c r="AW137" s="31">
        <v>30.54</v>
      </c>
      <c r="AX137" s="31">
        <v>8.9</v>
      </c>
      <c r="AY137" s="31">
        <v>27.92</v>
      </c>
      <c r="AZ137" s="31">
        <v>4.5</v>
      </c>
      <c r="BA137" s="31" t="s">
        <v>656</v>
      </c>
      <c r="BB137" s="31" t="s">
        <v>123</v>
      </c>
      <c r="BC137" cm="1">
        <f t="array" ref="BC137">_xlfn.IFS(BA137="Direct rLV % whole brain", AW137, BA137="Indirect rLV % whole brain", AW137, BA137="Direct rLV % hemisphere", AW137/2, BA137="Indirect rLV % hemisphere", AW137/2, AND(F137="Mouse", BA137="mm3"), (AW137/508.91)*100, AND(F137="Rat", BA137="mm3"), (AW137/1971)*100, AND(F137="Mouse", BA137="ul"), (AW137/508.91)*100, AND(F137="Rat", BA137="ul"), (AW137/1971)*100,  AND(F137="Mouse", BA137="nl"), (AW137/508910)*100, AND(F137="Rat", BA137="nl"), (AW137/1971000)*100, AND(F137="Mouse", BA137="cm3"), (AW137/0.50891)*100, AND(F137="Rat", BA137="cm3"), (AW137/1.971)*100, AND(F137="Mouse", BA137="mL"), (AW137/0.50891)*100, AND(F137="Rat", BA137="mL"), (AW137/1.971)*100, TRUE, "NA")</f>
        <v>1.5494672754946728</v>
      </c>
      <c r="BD137" cm="1">
        <f t="array" ref="BD137">_xlfn.IFS(AZ137="NA", "NA",BA137="Direct rLV % whole brain", AY137, BA137="Indirect rLV % whole brain", AY137, BA137="Direct rLV % hemisphere", AY137/2, BA137="Indirect rLV % hemisphere", AY137/2, AND(F137="Mouse", BA137="mm3"), (AY137/508.91)*100, AND(F137="Rat", BA137="mm3"), (AY137/1971)*100, AND(F137="Mouse", BA137="ul"), (AY137/508.91)*100, AND(F137="Rat", BA137="ul"), (AY137/1971)*100,  AND(F137="Mouse", BA137="nl"), (AY137/508910)*100, AND(F137="Rat", BA137="nl"), (AY137/1971000)*100, AND(F137="Mouse", BA137="cm3"), (AY137/0.50891)*100, AND(F137="Rat", BA137="cm3"), (AY137/1.971)*100, AND(F137="Mouse", BA137="mL"), (AY137/0.50891)*100, AND(F137="Rat", BA137="mL"), (AY137/1.971)*100, TRUE, "NA")</f>
        <v>1.4165398274987318</v>
      </c>
      <c r="BE137" cm="1">
        <f t="array" ref="BE137">_xlfn.IFS(AX137="NA", "NA", BB137="NR", "NA", BB137="SD", AX137, BB137="SE", AX137*(SQRT(R137)), BB137="SEM", AX137*(SQRT(R137)), TRUE, "NA")</f>
        <v>19.901004999748132</v>
      </c>
      <c r="BF137" cm="1">
        <f t="array" ref="BF137">_xlfn.IFS(BE137="NA", "NA",BA137="Direct rLV % whole brain", BE137, BA137="Indirect rLV % whole brain", BE137, BA137="Direct rLV % hemisphere", BE137/2, BA137="Indirect rLV % hemisphere", BE137/2, AND(F137="Mouse", BA137="mm3"), (BE137/508.91)*100, AND(F137="Rat", BA137="mm3"), (BE137/1971)*100, AND(F137="Mouse", BA137="ul"), (BE137/508.91)*100, AND(F137="Rat", BA137="ul"), (BE137/1971)*100,  AND(F137="Mouse", BA137="nl"), (BE137/508910)*100, AND(F137="Rat", BA137="nl"), (BE137/1971000)*100, AND(F137="Mouse", BA137="cm3"), (BE137/0.50891)*100, AND(F137="Rat", BA137="cm3"), (BE137/1.971)*100, AND(F137="Mouse", BA137="mL"), (BE137/0.50891)*100, AND(F137="Rat", BA137="mL"), (BE137/1.971)*100, TRUE, "NA")</f>
        <v>1.0096907660957954</v>
      </c>
      <c r="BG137" cm="1">
        <f t="array" ref="BG137">_xlfn.IFS(AZ137="NA", "NA", BB137="NR", "NA", BB137="SD", AZ137, BB137="SE", AZ137*(SQRT(R137)), BB137="SEM", AZ137*(SQRT(R137)), TRUE, "NA")</f>
        <v>10.062305898749054</v>
      </c>
      <c r="BH137" s="32" t="s">
        <v>154</v>
      </c>
      <c r="BI137" s="31" t="s">
        <v>153</v>
      </c>
      <c r="BJ137" s="31" t="s">
        <v>154</v>
      </c>
    </row>
    <row r="138" spans="1:63" x14ac:dyDescent="0.3">
      <c r="A138" t="s">
        <v>1046</v>
      </c>
      <c r="B138" t="s">
        <v>1045</v>
      </c>
      <c r="C138">
        <v>2005</v>
      </c>
      <c r="D138" t="s">
        <v>1047</v>
      </c>
      <c r="E138" t="s">
        <v>647</v>
      </c>
      <c r="F138" t="s">
        <v>23</v>
      </c>
      <c r="G138" t="s">
        <v>11</v>
      </c>
      <c r="H138" t="s">
        <v>34</v>
      </c>
      <c r="I138" t="s">
        <v>12</v>
      </c>
      <c r="J138" t="s">
        <v>8</v>
      </c>
      <c r="K138" t="s">
        <v>8</v>
      </c>
      <c r="L138">
        <v>1.4</v>
      </c>
      <c r="M138" t="s">
        <v>8</v>
      </c>
      <c r="N138" t="s">
        <v>9</v>
      </c>
      <c r="O138" t="s">
        <v>9</v>
      </c>
      <c r="P138" t="s">
        <v>9</v>
      </c>
      <c r="Q138">
        <v>6</v>
      </c>
      <c r="R138">
        <v>11</v>
      </c>
      <c r="S138" t="s">
        <v>8</v>
      </c>
      <c r="T138" t="s">
        <v>8</v>
      </c>
      <c r="U138" s="18" t="s">
        <v>66</v>
      </c>
      <c r="V138" t="s">
        <v>8</v>
      </c>
      <c r="W138" t="s">
        <v>8</v>
      </c>
      <c r="X138" t="s">
        <v>66</v>
      </c>
      <c r="Y138" t="s">
        <v>8</v>
      </c>
      <c r="Z138" t="s">
        <v>8</v>
      </c>
      <c r="AA138" t="s">
        <v>640</v>
      </c>
      <c r="AB138" t="s">
        <v>636</v>
      </c>
      <c r="AC138" t="s">
        <v>153</v>
      </c>
      <c r="AD138" t="s">
        <v>634</v>
      </c>
      <c r="AE138">
        <v>0</v>
      </c>
      <c r="AF138">
        <v>120</v>
      </c>
      <c r="AG138" t="s">
        <v>650</v>
      </c>
      <c r="AH138">
        <v>1</v>
      </c>
      <c r="AI138" cm="1">
        <f t="array" ref="AI138">_xlfn.IFS(AF138="NR", "NA", AG138="NR", "NA", AG138="NA","NA", AND(AG138="mg/ml", AH138&lt;&gt;"NR"), ((AF138/2492)*AH138*1000000), AND(AG138="mol/L", AH138&lt;&gt;"NR"), AF138*AH138*1000000, AG138="nmol", AF138*1000, AND(AG138="nmol/uL", AH138&lt;&gt;"NR"), AF138*AH138*1000, AG138="pg", AF138/2492, AG138="pmol", AF138, AND(AG138="pmol/uL", AH138&lt;&gt;"NR"), AF138*AH138, AG138="ug", AF138/2492*1000000, AND(AG138="ug/mL", AH138&lt;&gt;"NR"), (AF138/1000*AH138)/2492*1000000, AND(AG138="ug/uL", AH138&lt;&gt;"NR"), (AF138*AH138)/2492*1000000, AND(AG138="umol/L", AH138&lt;&gt;"NR"), AH138*AF138, TRUE, "NA")</f>
        <v>120</v>
      </c>
      <c r="AJ138">
        <v>0.25</v>
      </c>
      <c r="AK138">
        <v>1</v>
      </c>
      <c r="AL138" t="s">
        <v>9</v>
      </c>
      <c r="AM138" t="s">
        <v>8</v>
      </c>
      <c r="AN138" t="s">
        <v>9</v>
      </c>
      <c r="AO138" s="18" t="s">
        <v>12</v>
      </c>
      <c r="AP138" t="s">
        <v>8</v>
      </c>
      <c r="AQ138" t="s">
        <v>8</v>
      </c>
      <c r="AR138" t="s">
        <v>8</v>
      </c>
      <c r="AS138" s="18">
        <v>1440</v>
      </c>
      <c r="AT138" t="s">
        <v>271</v>
      </c>
      <c r="AU138" t="s">
        <v>653</v>
      </c>
      <c r="AV138" t="s">
        <v>8</v>
      </c>
      <c r="AW138">
        <v>25.5</v>
      </c>
      <c r="AX138">
        <v>3.47</v>
      </c>
      <c r="AY138" t="s">
        <v>8</v>
      </c>
      <c r="AZ138" t="s">
        <v>8</v>
      </c>
      <c r="BA138" t="s">
        <v>203</v>
      </c>
      <c r="BB138" t="s">
        <v>123</v>
      </c>
      <c r="BC138" cm="1">
        <f t="array" ref="BC138">_xlfn.IFS(BA138="Direct rLV % whole brain", AW138, BA138="Indirect rLV % whole brain", AW138, BA138="Direct rLV % hemisphere", AW138/2, BA138="Indirect rLV % hemisphere", AW138/2, AND(F138="Mouse", BA138="mm3"), (AW138/508.91)*100, AND(F138="Rat", BA138="mm3"), (AW138/1971)*100, AND(F138="Mouse", BA138="ul"), (AW138/508.91)*100, AND(F138="Rat", BA138="ul"), (AW138/1971)*100,  AND(F138="Mouse", BA138="nl"), (AW138/508910)*100, AND(F138="Rat", BA138="nl"), (AW138/1971000)*100, AND(F138="Mouse", BA138="cm3"), (AW138/0.50891)*100, AND(F138="Rat", BA138="cm3"), (AW138/1.971)*100, AND(F138="Mouse", BA138="mL"), (AW138/0.50891)*100, AND(F138="Rat", BA138="mL"), (AW138/1.971)*100, TRUE, "NA")</f>
        <v>12.75</v>
      </c>
      <c r="BD138" t="str" cm="1">
        <f t="array" ref="BD138">_xlfn.IFS(AZ138="NA", "NA",BA138="Direct rLV % whole brain", AY138, BA138="Indirect rLV % whole brain", AY138, BA138="Direct rLV % hemisphere", AY138/2, BA138="Indirect rLV % hemisphere", AY138/2, AND(F138="Mouse", BA138="mm3"), (AY138/508.91)*100, AND(F138="Rat", BA138="mm3"), (AY138/1971)*100, AND(F138="Mouse", BA138="ul"), (AY138/508.91)*100, AND(F138="Rat", BA138="ul"), (AY138/1971)*100,  AND(F138="Mouse", BA138="nl"), (AY138/508910)*100, AND(F138="Rat", BA138="nl"), (AY138/1971000)*100, AND(F138="Mouse", BA138="cm3"), (AY138/0.50891)*100, AND(F138="Rat", BA138="cm3"), (AY138/1.971)*100, AND(F138="Mouse", BA138="mL"), (AY138/0.50891)*100, AND(F138="Rat", BA138="mL"), (AY138/1.971)*100, TRUE, "NA")</f>
        <v>NA</v>
      </c>
      <c r="BE138" cm="1">
        <f t="array" ref="BE138">_xlfn.IFS(AX138="NA", "NA", BB138="NR", "NA", BB138="SD", AX138, BB138="SE", AX138*(SQRT(R138)), BB138="SEM", AX138*(SQRT(R138)), TRUE, "NA")</f>
        <v>11.508688022533239</v>
      </c>
      <c r="BF138" cm="1">
        <f t="array" ref="BF138">_xlfn.IFS(BE138="NA", "NA",BA138="Direct rLV % whole brain", BE138, BA138="Indirect rLV % whole brain", BE138, BA138="Direct rLV % hemisphere", BE138/2, BA138="Indirect rLV % hemisphere", BE138/2, AND(F138="Mouse", BA138="mm3"), (BE138/508.91)*100, AND(F138="Rat", BA138="mm3"), (BE138/1971)*100, AND(F138="Mouse", BA138="ul"), (BE138/508.91)*100, AND(F138="Rat", BA138="ul"), (BE138/1971)*100,  AND(F138="Mouse", BA138="nl"), (BE138/508910)*100, AND(F138="Rat", BA138="nl"), (BE138/1971000)*100, AND(F138="Mouse", BA138="cm3"), (BE138/0.50891)*100, AND(F138="Rat", BA138="cm3"), (BE138/1.971)*100, AND(F138="Mouse", BA138="mL"), (BE138/0.50891)*100, AND(F138="Rat", BA138="mL"), (BE138/1.971)*100, TRUE, "NA")</f>
        <v>5.7543440112666193</v>
      </c>
      <c r="BG138" t="str" cm="1">
        <f t="array" ref="BG138">_xlfn.IFS(AZ138="NA", "NA", BB138="NR", "NA", BB138="SD", AZ138, BB138="SE", AZ138*(SQRT(R138)), BB138="SEM", AZ138*(SQRT(R138)), TRUE, "NA")</f>
        <v>NA</v>
      </c>
      <c r="BH138" s="18" t="s">
        <v>154</v>
      </c>
      <c r="BI138" t="s">
        <v>154</v>
      </c>
      <c r="BJ138" t="s">
        <v>154</v>
      </c>
    </row>
    <row r="139" spans="1:63" x14ac:dyDescent="0.3">
      <c r="A139" t="s">
        <v>1046</v>
      </c>
      <c r="B139" t="s">
        <v>1045</v>
      </c>
      <c r="C139">
        <v>2005</v>
      </c>
      <c r="D139" t="s">
        <v>1047</v>
      </c>
      <c r="E139" t="s">
        <v>678</v>
      </c>
      <c r="F139" t="s">
        <v>23</v>
      </c>
      <c r="G139" t="s">
        <v>11</v>
      </c>
      <c r="H139" t="s">
        <v>33</v>
      </c>
      <c r="I139" t="s">
        <v>12</v>
      </c>
      <c r="J139" t="s">
        <v>8</v>
      </c>
      <c r="K139" t="s">
        <v>8</v>
      </c>
      <c r="L139">
        <v>1.4</v>
      </c>
      <c r="M139" t="s">
        <v>8</v>
      </c>
      <c r="N139" t="s">
        <v>9</v>
      </c>
      <c r="O139" t="s">
        <v>9</v>
      </c>
      <c r="P139" t="s">
        <v>9</v>
      </c>
      <c r="Q139">
        <v>6</v>
      </c>
      <c r="R139">
        <v>19</v>
      </c>
      <c r="S139" t="s">
        <v>8</v>
      </c>
      <c r="T139" t="s">
        <v>8</v>
      </c>
      <c r="U139" s="18" t="s">
        <v>66</v>
      </c>
      <c r="V139" t="s">
        <v>8</v>
      </c>
      <c r="W139" t="s">
        <v>8</v>
      </c>
      <c r="X139" t="s">
        <v>66</v>
      </c>
      <c r="Y139" t="s">
        <v>8</v>
      </c>
      <c r="Z139" t="s">
        <v>8</v>
      </c>
      <c r="AA139" t="s">
        <v>640</v>
      </c>
      <c r="AB139" t="s">
        <v>636</v>
      </c>
      <c r="AC139" t="s">
        <v>153</v>
      </c>
      <c r="AD139" t="s">
        <v>634</v>
      </c>
      <c r="AE139">
        <v>0</v>
      </c>
      <c r="AF139">
        <v>120</v>
      </c>
      <c r="AG139" t="s">
        <v>650</v>
      </c>
      <c r="AH139">
        <v>1</v>
      </c>
      <c r="AI139" cm="1">
        <f t="array" ref="AI139">_xlfn.IFS(AF139="NR", "NA", AG139="NR", "NA", AG139="NA","NA", AND(AG139="mg/ml", AH139&lt;&gt;"NR"), ((AF139/2492)*AH139*1000000), AND(AG139="mol/L", AH139&lt;&gt;"NR"), AF139*AH139*1000000, AG139="nmol", AF139*1000, AND(AG139="nmol/uL", AH139&lt;&gt;"NR"), AF139*AH139*1000, AG139="pg", AF139/2492, AG139="pmol", AF139, AND(AG139="pmol/uL", AH139&lt;&gt;"NR"), AF139*AH139, AG139="ug", AF139/2492*1000000, AND(AG139="ug/mL", AH139&lt;&gt;"NR"), (AF139/1000*AH139)/2492*1000000, AND(AG139="ug/uL", AH139&lt;&gt;"NR"), (AF139*AH139)/2492*1000000, AND(AG139="umol/L", AH139&lt;&gt;"NR"), AH139*AF139, TRUE, "NA")</f>
        <v>120</v>
      </c>
      <c r="AJ139">
        <v>0.25</v>
      </c>
      <c r="AK139">
        <v>1</v>
      </c>
      <c r="AL139" t="s">
        <v>9</v>
      </c>
      <c r="AM139" t="s">
        <v>8</v>
      </c>
      <c r="AN139" t="s">
        <v>9</v>
      </c>
      <c r="AO139" s="18" t="s">
        <v>12</v>
      </c>
      <c r="AP139" t="s">
        <v>8</v>
      </c>
      <c r="AQ139" t="s">
        <v>8</v>
      </c>
      <c r="AR139" t="s">
        <v>8</v>
      </c>
      <c r="AS139" s="18">
        <v>1440</v>
      </c>
      <c r="AT139" t="s">
        <v>271</v>
      </c>
      <c r="AU139" t="s">
        <v>653</v>
      </c>
      <c r="AV139" t="s">
        <v>8</v>
      </c>
      <c r="AW139">
        <v>21.56</v>
      </c>
      <c r="AX139">
        <v>2.5099999999999998</v>
      </c>
      <c r="AY139" t="s">
        <v>8</v>
      </c>
      <c r="AZ139" t="s">
        <v>8</v>
      </c>
      <c r="BA139" t="s">
        <v>203</v>
      </c>
      <c r="BB139" t="s">
        <v>123</v>
      </c>
      <c r="BC139" cm="1">
        <f t="array" ref="BC139">_xlfn.IFS(BA139="Direct rLV % whole brain", AW139, BA139="Indirect rLV % whole brain", AW139, BA139="Direct rLV % hemisphere", AW139/2, BA139="Indirect rLV % hemisphere", AW139/2, AND(F139="Mouse", BA139="mm3"), (AW139/508.91)*100, AND(F139="Rat", BA139="mm3"), (AW139/1971)*100, AND(F139="Mouse", BA139="ul"), (AW139/508.91)*100, AND(F139="Rat", BA139="ul"), (AW139/1971)*100,  AND(F139="Mouse", BA139="nl"), (AW139/508910)*100, AND(F139="Rat", BA139="nl"), (AW139/1971000)*100, AND(F139="Mouse", BA139="cm3"), (AW139/0.50891)*100, AND(F139="Rat", BA139="cm3"), (AW139/1.971)*100, AND(F139="Mouse", BA139="mL"), (AW139/0.50891)*100, AND(F139="Rat", BA139="mL"), (AW139/1.971)*100, TRUE, "NA")</f>
        <v>10.78</v>
      </c>
      <c r="BD139" t="str" cm="1">
        <f t="array" ref="BD139">_xlfn.IFS(AZ139="NA", "NA",BA139="Direct rLV % whole brain", AY139, BA139="Indirect rLV % whole brain", AY139, BA139="Direct rLV % hemisphere", AY139/2, BA139="Indirect rLV % hemisphere", AY139/2, AND(F139="Mouse", BA139="mm3"), (AY139/508.91)*100, AND(F139="Rat", BA139="mm3"), (AY139/1971)*100, AND(F139="Mouse", BA139="ul"), (AY139/508.91)*100, AND(F139="Rat", BA139="ul"), (AY139/1971)*100,  AND(F139="Mouse", BA139="nl"), (AY139/508910)*100, AND(F139="Rat", BA139="nl"), (AY139/1971000)*100, AND(F139="Mouse", BA139="cm3"), (AY139/0.50891)*100, AND(F139="Rat", BA139="cm3"), (AY139/1.971)*100, AND(F139="Mouse", BA139="mL"), (AY139/0.50891)*100, AND(F139="Rat", BA139="mL"), (AY139/1.971)*100, TRUE, "NA")</f>
        <v>NA</v>
      </c>
      <c r="BE139" cm="1">
        <f t="array" ref="BE139">_xlfn.IFS(AX139="NA", "NA", BB139="NR", "NA", BB139="SD", AX139, BB139="SE", AX139*(SQRT(R139)), BB139="SEM", AX139*(SQRT(R139)), TRUE, "NA")</f>
        <v>10.940836348287091</v>
      </c>
      <c r="BF139" cm="1">
        <f t="array" ref="BF139">_xlfn.IFS(BE139="NA", "NA",BA139="Direct rLV % whole brain", BE139, BA139="Indirect rLV % whole brain", BE139, BA139="Direct rLV % hemisphere", BE139/2, BA139="Indirect rLV % hemisphere", BE139/2, AND(F139="Mouse", BA139="mm3"), (BE139/508.91)*100, AND(F139="Rat", BA139="mm3"), (BE139/1971)*100, AND(F139="Mouse", BA139="ul"), (BE139/508.91)*100, AND(F139="Rat", BA139="ul"), (BE139/1971)*100,  AND(F139="Mouse", BA139="nl"), (BE139/508910)*100, AND(F139="Rat", BA139="nl"), (BE139/1971000)*100, AND(F139="Mouse", BA139="cm3"), (BE139/0.50891)*100, AND(F139="Rat", BA139="cm3"), (BE139/1.971)*100, AND(F139="Mouse", BA139="mL"), (BE139/0.50891)*100, AND(F139="Rat", BA139="mL"), (BE139/1.971)*100, TRUE, "NA")</f>
        <v>5.4704181741435454</v>
      </c>
      <c r="BG139" t="str" cm="1">
        <f t="array" ref="BG139">_xlfn.IFS(AZ139="NA", "NA", BB139="NR", "NA", BB139="SD", AZ139, BB139="SE", AZ139*(SQRT(R139)), BB139="SEM", AZ139*(SQRT(R139)), TRUE, "NA")</f>
        <v>NA</v>
      </c>
      <c r="BH139" s="18" t="s">
        <v>154</v>
      </c>
      <c r="BI139" t="s">
        <v>154</v>
      </c>
      <c r="BJ139" t="s">
        <v>154</v>
      </c>
    </row>
    <row r="140" spans="1:63" x14ac:dyDescent="0.3">
      <c r="A140" t="s">
        <v>1046</v>
      </c>
      <c r="B140" t="s">
        <v>1045</v>
      </c>
      <c r="C140">
        <v>2005</v>
      </c>
      <c r="D140" t="s">
        <v>1047</v>
      </c>
      <c r="E140" t="s">
        <v>699</v>
      </c>
      <c r="F140" t="s">
        <v>23</v>
      </c>
      <c r="G140" t="s">
        <v>11</v>
      </c>
      <c r="H140" t="s">
        <v>34</v>
      </c>
      <c r="I140" t="s">
        <v>12</v>
      </c>
      <c r="J140" t="s">
        <v>8</v>
      </c>
      <c r="K140" t="s">
        <v>8</v>
      </c>
      <c r="L140">
        <v>9</v>
      </c>
      <c r="M140" t="s">
        <v>8</v>
      </c>
      <c r="N140" t="s">
        <v>9</v>
      </c>
      <c r="O140" t="s">
        <v>9</v>
      </c>
      <c r="P140" t="s">
        <v>9</v>
      </c>
      <c r="Q140">
        <v>6</v>
      </c>
      <c r="R140">
        <v>16</v>
      </c>
      <c r="S140" t="s">
        <v>8</v>
      </c>
      <c r="T140" t="s">
        <v>8</v>
      </c>
      <c r="U140" s="18" t="s">
        <v>66</v>
      </c>
      <c r="V140" t="s">
        <v>8</v>
      </c>
      <c r="W140" t="s">
        <v>8</v>
      </c>
      <c r="X140" t="s">
        <v>66</v>
      </c>
      <c r="Y140" t="s">
        <v>8</v>
      </c>
      <c r="Z140" t="s">
        <v>8</v>
      </c>
      <c r="AA140" t="s">
        <v>640</v>
      </c>
      <c r="AB140" t="s">
        <v>636</v>
      </c>
      <c r="AC140" t="s">
        <v>153</v>
      </c>
      <c r="AD140" t="s">
        <v>634</v>
      </c>
      <c r="AE140">
        <v>0</v>
      </c>
      <c r="AF140">
        <v>120</v>
      </c>
      <c r="AG140" t="s">
        <v>650</v>
      </c>
      <c r="AH140">
        <v>3</v>
      </c>
      <c r="AI140" cm="1">
        <f t="array" ref="AI140">_xlfn.IFS(AF140="NR", "NA", AG140="NR", "NA", AG140="NA","NA", AND(AG140="mg/ml", AH140&lt;&gt;"NR"), ((AF140/2492)*AH140*1000000), AND(AG140="mol/L", AH140&lt;&gt;"NR"), AF140*AH140*1000000, AG140="nmol", AF140*1000, AND(AG140="nmol/uL", AH140&lt;&gt;"NR"), AF140*AH140*1000, AG140="pg", AF140/2492, AG140="pmol", AF140, AND(AG140="pmol/uL", AH140&lt;&gt;"NR"), AF140*AH140, AG140="ug", AF140/2492*1000000, AND(AG140="ug/mL", AH140&lt;&gt;"NR"), (AF140/1000*AH140)/2492*1000000, AND(AG140="ug/uL", AH140&lt;&gt;"NR"), (AF140*AH140)/2492*1000000, AND(AG140="umol/L", AH140&lt;&gt;"NR"), AH140*AF140, TRUE, "NA")</f>
        <v>120</v>
      </c>
      <c r="AJ140">
        <v>0.75</v>
      </c>
      <c r="AK140">
        <v>1</v>
      </c>
      <c r="AL140" t="s">
        <v>9</v>
      </c>
      <c r="AM140" t="s">
        <v>8</v>
      </c>
      <c r="AN140" t="s">
        <v>9</v>
      </c>
      <c r="AO140" s="18" t="s">
        <v>12</v>
      </c>
      <c r="AP140" t="s">
        <v>8</v>
      </c>
      <c r="AQ140" t="s">
        <v>8</v>
      </c>
      <c r="AR140" t="s">
        <v>8</v>
      </c>
      <c r="AS140" s="18">
        <v>1440</v>
      </c>
      <c r="AT140" t="s">
        <v>271</v>
      </c>
      <c r="AU140" t="s">
        <v>653</v>
      </c>
      <c r="AV140" t="s">
        <v>8</v>
      </c>
      <c r="AW140">
        <v>24.19</v>
      </c>
      <c r="AX140">
        <v>3.16</v>
      </c>
      <c r="AY140" t="s">
        <v>8</v>
      </c>
      <c r="AZ140" t="s">
        <v>8</v>
      </c>
      <c r="BA140" t="s">
        <v>203</v>
      </c>
      <c r="BB140" t="s">
        <v>123</v>
      </c>
      <c r="BC140" cm="1">
        <f t="array" ref="BC140">_xlfn.IFS(BA140="Direct rLV % whole brain", AW140, BA140="Indirect rLV % whole brain", AW140, BA140="Direct rLV % hemisphere", AW140/2, BA140="Indirect rLV % hemisphere", AW140/2, AND(F140="Mouse", BA140="mm3"), (AW140/508.91)*100, AND(F140="Rat", BA140="mm3"), (AW140/1971)*100, AND(F140="Mouse", BA140="ul"), (AW140/508.91)*100, AND(F140="Rat", BA140="ul"), (AW140/1971)*100,  AND(F140="Mouse", BA140="nl"), (AW140/508910)*100, AND(F140="Rat", BA140="nl"), (AW140/1971000)*100, AND(F140="Mouse", BA140="cm3"), (AW140/0.50891)*100, AND(F140="Rat", BA140="cm3"), (AW140/1.971)*100, AND(F140="Mouse", BA140="mL"), (AW140/0.50891)*100, AND(F140="Rat", BA140="mL"), (AW140/1.971)*100, TRUE, "NA")</f>
        <v>12.095000000000001</v>
      </c>
      <c r="BD140" t="str" cm="1">
        <f t="array" ref="BD140">_xlfn.IFS(AZ140="NA", "NA",BA140="Direct rLV % whole brain", AY140, BA140="Indirect rLV % whole brain", AY140, BA140="Direct rLV % hemisphere", AY140/2, BA140="Indirect rLV % hemisphere", AY140/2, AND(F140="Mouse", BA140="mm3"), (AY140/508.91)*100, AND(F140="Rat", BA140="mm3"), (AY140/1971)*100, AND(F140="Mouse", BA140="ul"), (AY140/508.91)*100, AND(F140="Rat", BA140="ul"), (AY140/1971)*100,  AND(F140="Mouse", BA140="nl"), (AY140/508910)*100, AND(F140="Rat", BA140="nl"), (AY140/1971000)*100, AND(F140="Mouse", BA140="cm3"), (AY140/0.50891)*100, AND(F140="Rat", BA140="cm3"), (AY140/1.971)*100, AND(F140="Mouse", BA140="mL"), (AY140/0.50891)*100, AND(F140="Rat", BA140="mL"), (AY140/1.971)*100, TRUE, "NA")</f>
        <v>NA</v>
      </c>
      <c r="BE140" cm="1">
        <f t="array" ref="BE140">_xlfn.IFS(AX140="NA", "NA", BB140="NR", "NA", BB140="SD", AX140, BB140="SE", AX140*(SQRT(R140)), BB140="SEM", AX140*(SQRT(R140)), TRUE, "NA")</f>
        <v>12.64</v>
      </c>
      <c r="BF140" cm="1">
        <f t="array" ref="BF140">_xlfn.IFS(BE140="NA", "NA",BA140="Direct rLV % whole brain", BE140, BA140="Indirect rLV % whole brain", BE140, BA140="Direct rLV % hemisphere", BE140/2, BA140="Indirect rLV % hemisphere", BE140/2, AND(F140="Mouse", BA140="mm3"), (BE140/508.91)*100, AND(F140="Rat", BA140="mm3"), (BE140/1971)*100, AND(F140="Mouse", BA140="ul"), (BE140/508.91)*100, AND(F140="Rat", BA140="ul"), (BE140/1971)*100,  AND(F140="Mouse", BA140="nl"), (BE140/508910)*100, AND(F140="Rat", BA140="nl"), (BE140/1971000)*100, AND(F140="Mouse", BA140="cm3"), (BE140/0.50891)*100, AND(F140="Rat", BA140="cm3"), (BE140/1.971)*100, AND(F140="Mouse", BA140="mL"), (BE140/0.50891)*100, AND(F140="Rat", BA140="mL"), (BE140/1.971)*100, TRUE, "NA")</f>
        <v>6.32</v>
      </c>
      <c r="BG140" t="str" cm="1">
        <f t="array" ref="BG140">_xlfn.IFS(AZ140="NA", "NA", BB140="NR", "NA", BB140="SD", AZ140, BB140="SE", AZ140*(SQRT(R140)), BB140="SEM", AZ140*(SQRT(R140)), TRUE, "NA")</f>
        <v>NA</v>
      </c>
      <c r="BH140" s="18" t="s">
        <v>154</v>
      </c>
      <c r="BI140" t="s">
        <v>154</v>
      </c>
      <c r="BJ140" t="s">
        <v>154</v>
      </c>
    </row>
    <row r="141" spans="1:63" x14ac:dyDescent="0.3">
      <c r="A141" t="s">
        <v>1046</v>
      </c>
      <c r="B141" t="s">
        <v>1045</v>
      </c>
      <c r="C141">
        <v>2005</v>
      </c>
      <c r="D141" t="s">
        <v>1047</v>
      </c>
      <c r="E141" t="s">
        <v>760</v>
      </c>
      <c r="F141" t="s">
        <v>23</v>
      </c>
      <c r="G141" t="s">
        <v>11</v>
      </c>
      <c r="H141" t="s">
        <v>33</v>
      </c>
      <c r="I141" t="s">
        <v>12</v>
      </c>
      <c r="J141" t="s">
        <v>8</v>
      </c>
      <c r="K141" t="s">
        <v>8</v>
      </c>
      <c r="L141">
        <v>9</v>
      </c>
      <c r="M141" t="s">
        <v>8</v>
      </c>
      <c r="N141" t="s">
        <v>9</v>
      </c>
      <c r="O141" t="s">
        <v>9</v>
      </c>
      <c r="P141" t="s">
        <v>9</v>
      </c>
      <c r="Q141">
        <v>6</v>
      </c>
      <c r="R141">
        <v>15</v>
      </c>
      <c r="S141" t="s">
        <v>8</v>
      </c>
      <c r="T141" t="s">
        <v>8</v>
      </c>
      <c r="U141" s="18" t="s">
        <v>66</v>
      </c>
      <c r="V141" t="s">
        <v>8</v>
      </c>
      <c r="W141" t="s">
        <v>8</v>
      </c>
      <c r="X141" t="s">
        <v>66</v>
      </c>
      <c r="Y141" t="s">
        <v>8</v>
      </c>
      <c r="Z141" t="s">
        <v>8</v>
      </c>
      <c r="AA141" t="s">
        <v>640</v>
      </c>
      <c r="AB141" t="s">
        <v>636</v>
      </c>
      <c r="AC141" t="s">
        <v>153</v>
      </c>
      <c r="AD141" t="s">
        <v>634</v>
      </c>
      <c r="AE141">
        <v>0</v>
      </c>
      <c r="AF141">
        <v>120</v>
      </c>
      <c r="AG141" t="s">
        <v>650</v>
      </c>
      <c r="AH141">
        <v>3</v>
      </c>
      <c r="AI141" cm="1">
        <f t="array" ref="AI141">_xlfn.IFS(AF141="NR", "NA", AG141="NR", "NA", AG141="NA","NA", AND(AG141="mg/ml", AH141&lt;&gt;"NR"), ((AF141/2492)*AH141*1000000), AND(AG141="mol/L", AH141&lt;&gt;"NR"), AF141*AH141*1000000, AG141="nmol", AF141*1000, AND(AG141="nmol/uL", AH141&lt;&gt;"NR"), AF141*AH141*1000, AG141="pg", AF141/2492, AG141="pmol", AF141, AND(AG141="pmol/uL", AH141&lt;&gt;"NR"), AF141*AH141, AG141="ug", AF141/2492*1000000, AND(AG141="ug/mL", AH141&lt;&gt;"NR"), (AF141/1000*AH141)/2492*1000000, AND(AG141="ug/uL", AH141&lt;&gt;"NR"), (AF141*AH141)/2492*1000000, AND(AG141="umol/L", AH141&lt;&gt;"NR"), AH141*AF141, TRUE, "NA")</f>
        <v>120</v>
      </c>
      <c r="AJ141">
        <v>0.75</v>
      </c>
      <c r="AK141">
        <v>1</v>
      </c>
      <c r="AL141" t="s">
        <v>9</v>
      </c>
      <c r="AM141" t="s">
        <v>8</v>
      </c>
      <c r="AN141" t="s">
        <v>9</v>
      </c>
      <c r="AO141" s="18" t="s">
        <v>12</v>
      </c>
      <c r="AP141" t="s">
        <v>8</v>
      </c>
      <c r="AQ141" t="s">
        <v>8</v>
      </c>
      <c r="AR141" t="s">
        <v>8</v>
      </c>
      <c r="AS141" s="18">
        <v>1440</v>
      </c>
      <c r="AT141" t="s">
        <v>271</v>
      </c>
      <c r="AU141" t="s">
        <v>653</v>
      </c>
      <c r="AV141" t="s">
        <v>8</v>
      </c>
      <c r="AW141">
        <v>16.48</v>
      </c>
      <c r="AX141">
        <v>3.77</v>
      </c>
      <c r="AY141" t="s">
        <v>8</v>
      </c>
      <c r="AZ141" t="s">
        <v>8</v>
      </c>
      <c r="BA141" t="s">
        <v>203</v>
      </c>
      <c r="BB141" t="s">
        <v>123</v>
      </c>
      <c r="BC141" cm="1">
        <f t="array" ref="BC141">_xlfn.IFS(BA141="Direct rLV % whole brain", AW141, BA141="Indirect rLV % whole brain", AW141, BA141="Direct rLV % hemisphere", AW141/2, BA141="Indirect rLV % hemisphere", AW141/2, AND(F141="Mouse", BA141="mm3"), (AW141/508.91)*100, AND(F141="Rat", BA141="mm3"), (AW141/1971)*100, AND(F141="Mouse", BA141="ul"), (AW141/508.91)*100, AND(F141="Rat", BA141="ul"), (AW141/1971)*100,  AND(F141="Mouse", BA141="nl"), (AW141/508910)*100, AND(F141="Rat", BA141="nl"), (AW141/1971000)*100, AND(F141="Mouse", BA141="cm3"), (AW141/0.50891)*100, AND(F141="Rat", BA141="cm3"), (AW141/1.971)*100, AND(F141="Mouse", BA141="mL"), (AW141/0.50891)*100, AND(F141="Rat", BA141="mL"), (AW141/1.971)*100, TRUE, "NA")</f>
        <v>8.24</v>
      </c>
      <c r="BD141" t="str" cm="1">
        <f t="array" ref="BD141">_xlfn.IFS(AZ141="NA", "NA",BA141="Direct rLV % whole brain", AY141, BA141="Indirect rLV % whole brain", AY141, BA141="Direct rLV % hemisphere", AY141/2, BA141="Indirect rLV % hemisphere", AY141/2, AND(F141="Mouse", BA141="mm3"), (AY141/508.91)*100, AND(F141="Rat", BA141="mm3"), (AY141/1971)*100, AND(F141="Mouse", BA141="ul"), (AY141/508.91)*100, AND(F141="Rat", BA141="ul"), (AY141/1971)*100,  AND(F141="Mouse", BA141="nl"), (AY141/508910)*100, AND(F141="Rat", BA141="nl"), (AY141/1971000)*100, AND(F141="Mouse", BA141="cm3"), (AY141/0.50891)*100, AND(F141="Rat", BA141="cm3"), (AY141/1.971)*100, AND(F141="Mouse", BA141="mL"), (AY141/0.50891)*100, AND(F141="Rat", BA141="mL"), (AY141/1.971)*100, TRUE, "NA")</f>
        <v>NA</v>
      </c>
      <c r="BE141" cm="1">
        <f t="array" ref="BE141">_xlfn.IFS(AX141="NA", "NA", BB141="NR", "NA", BB141="SD", AX141, BB141="SE", AX141*(SQRT(R141)), BB141="SEM", AX141*(SQRT(R141)), TRUE, "NA")</f>
        <v>14.601147215201962</v>
      </c>
      <c r="BF141" cm="1">
        <f t="array" ref="BF141">_xlfn.IFS(BE141="NA", "NA",BA141="Direct rLV % whole brain", BE141, BA141="Indirect rLV % whole brain", BE141, BA141="Direct rLV % hemisphere", BE141/2, BA141="Indirect rLV % hemisphere", BE141/2, AND(F141="Mouse", BA141="mm3"), (BE141/508.91)*100, AND(F141="Rat", BA141="mm3"), (BE141/1971)*100, AND(F141="Mouse", BA141="ul"), (BE141/508.91)*100, AND(F141="Rat", BA141="ul"), (BE141/1971)*100,  AND(F141="Mouse", BA141="nl"), (BE141/508910)*100, AND(F141="Rat", BA141="nl"), (BE141/1971000)*100, AND(F141="Mouse", BA141="cm3"), (BE141/0.50891)*100, AND(F141="Rat", BA141="cm3"), (BE141/1.971)*100, AND(F141="Mouse", BA141="mL"), (BE141/0.50891)*100, AND(F141="Rat", BA141="mL"), (BE141/1.971)*100, TRUE, "NA")</f>
        <v>7.3005736076009811</v>
      </c>
      <c r="BG141" t="str" cm="1">
        <f t="array" ref="BG141">_xlfn.IFS(AZ141="NA", "NA", BB141="NR", "NA", BB141="SD", AZ141, BB141="SE", AZ141*(SQRT(R141)), BB141="SEM", AZ141*(SQRT(R141)), TRUE, "NA")</f>
        <v>NA</v>
      </c>
      <c r="BH141" s="18" t="s">
        <v>154</v>
      </c>
      <c r="BI141" t="s">
        <v>154</v>
      </c>
      <c r="BJ141" t="s">
        <v>154</v>
      </c>
    </row>
    <row r="142" spans="1:63" x14ac:dyDescent="0.3">
      <c r="A142" t="s">
        <v>1046</v>
      </c>
      <c r="B142" t="s">
        <v>1045</v>
      </c>
      <c r="C142">
        <v>2005</v>
      </c>
      <c r="D142" t="s">
        <v>1047</v>
      </c>
      <c r="E142" t="s">
        <v>1048</v>
      </c>
      <c r="F142" t="s">
        <v>23</v>
      </c>
      <c r="G142" t="s">
        <v>11</v>
      </c>
      <c r="H142" t="s">
        <v>34</v>
      </c>
      <c r="I142" t="s">
        <v>12</v>
      </c>
      <c r="J142" t="s">
        <v>8</v>
      </c>
      <c r="K142" t="s">
        <v>8</v>
      </c>
      <c r="L142">
        <v>26</v>
      </c>
      <c r="M142" t="s">
        <v>8</v>
      </c>
      <c r="N142" t="s">
        <v>9</v>
      </c>
      <c r="O142" t="s">
        <v>9</v>
      </c>
      <c r="P142" t="s">
        <v>9</v>
      </c>
      <c r="Q142">
        <v>6</v>
      </c>
      <c r="R142">
        <v>11</v>
      </c>
      <c r="S142" t="s">
        <v>8</v>
      </c>
      <c r="T142" t="s">
        <v>8</v>
      </c>
      <c r="U142" s="18" t="s">
        <v>66</v>
      </c>
      <c r="V142" t="s">
        <v>8</v>
      </c>
      <c r="W142" t="s">
        <v>8</v>
      </c>
      <c r="X142" t="s">
        <v>66</v>
      </c>
      <c r="Y142" t="s">
        <v>8</v>
      </c>
      <c r="Z142" t="s">
        <v>8</v>
      </c>
      <c r="AA142" t="s">
        <v>640</v>
      </c>
      <c r="AB142" t="s">
        <v>636</v>
      </c>
      <c r="AC142" t="s">
        <v>153</v>
      </c>
      <c r="AD142" t="s">
        <v>634</v>
      </c>
      <c r="AE142">
        <v>0</v>
      </c>
      <c r="AF142">
        <v>120</v>
      </c>
      <c r="AG142" t="s">
        <v>650</v>
      </c>
      <c r="AH142">
        <v>3</v>
      </c>
      <c r="AI142" cm="1">
        <f t="array" ref="AI142">_xlfn.IFS(AF142="NR", "NA", AG142="NR", "NA", AG142="NA","NA", AND(AG142="mg/ml", AH142&lt;&gt;"NR"), ((AF142/2492)*AH142*1000000), AND(AG142="mol/L", AH142&lt;&gt;"NR"), AF142*AH142*1000000, AG142="nmol", AF142*1000, AND(AG142="nmol/uL", AH142&lt;&gt;"NR"), AF142*AH142*1000, AG142="pg", AF142/2492, AG142="pmol", AF142, AND(AG142="pmol/uL", AH142&lt;&gt;"NR"), AF142*AH142, AG142="ug", AF142/2492*1000000, AND(AG142="ug/mL", AH142&lt;&gt;"NR"), (AF142/1000*AH142)/2492*1000000, AND(AG142="ug/uL", AH142&lt;&gt;"NR"), (AF142*AH142)/2492*1000000, AND(AG142="umol/L", AH142&lt;&gt;"NR"), AH142*AF142, TRUE, "NA")</f>
        <v>120</v>
      </c>
      <c r="AJ142">
        <v>0.75</v>
      </c>
      <c r="AK142">
        <v>1</v>
      </c>
      <c r="AL142" t="s">
        <v>9</v>
      </c>
      <c r="AM142" t="s">
        <v>8</v>
      </c>
      <c r="AN142" t="s">
        <v>9</v>
      </c>
      <c r="AO142" s="18" t="s">
        <v>12</v>
      </c>
      <c r="AP142" t="s">
        <v>8</v>
      </c>
      <c r="AQ142" t="s">
        <v>8</v>
      </c>
      <c r="AR142" t="s">
        <v>8</v>
      </c>
      <c r="AS142" s="18">
        <v>1440</v>
      </c>
      <c r="AT142" t="s">
        <v>271</v>
      </c>
      <c r="AU142" t="s">
        <v>653</v>
      </c>
      <c r="AV142" t="s">
        <v>8</v>
      </c>
      <c r="AW142">
        <v>22.76</v>
      </c>
      <c r="AX142">
        <v>4.4800000000000004</v>
      </c>
      <c r="AY142" t="s">
        <v>8</v>
      </c>
      <c r="AZ142" t="s">
        <v>8</v>
      </c>
      <c r="BA142" t="s">
        <v>203</v>
      </c>
      <c r="BB142" t="s">
        <v>123</v>
      </c>
      <c r="BC142" cm="1">
        <f t="array" ref="BC142">_xlfn.IFS(BA142="Direct rLV % whole brain", AW142, BA142="Indirect rLV % whole brain", AW142, BA142="Direct rLV % hemisphere", AW142/2, BA142="Indirect rLV % hemisphere", AW142/2, AND(F142="Mouse", BA142="mm3"), (AW142/508.91)*100, AND(F142="Rat", BA142="mm3"), (AW142/1971)*100, AND(F142="Mouse", BA142="ul"), (AW142/508.91)*100, AND(F142="Rat", BA142="ul"), (AW142/1971)*100,  AND(F142="Mouse", BA142="nl"), (AW142/508910)*100, AND(F142="Rat", BA142="nl"), (AW142/1971000)*100, AND(F142="Mouse", BA142="cm3"), (AW142/0.50891)*100, AND(F142="Rat", BA142="cm3"), (AW142/1.971)*100, AND(F142="Mouse", BA142="mL"), (AW142/0.50891)*100, AND(F142="Rat", BA142="mL"), (AW142/1.971)*100, TRUE, "NA")</f>
        <v>11.38</v>
      </c>
      <c r="BD142" t="str" cm="1">
        <f t="array" ref="BD142">_xlfn.IFS(AZ142="NA", "NA",BA142="Direct rLV % whole brain", AY142, BA142="Indirect rLV % whole brain", AY142, BA142="Direct rLV % hemisphere", AY142/2, BA142="Indirect rLV % hemisphere", AY142/2, AND(F142="Mouse", BA142="mm3"), (AY142/508.91)*100, AND(F142="Rat", BA142="mm3"), (AY142/1971)*100, AND(F142="Mouse", BA142="ul"), (AY142/508.91)*100, AND(F142="Rat", BA142="ul"), (AY142/1971)*100,  AND(F142="Mouse", BA142="nl"), (AY142/508910)*100, AND(F142="Rat", BA142="nl"), (AY142/1971000)*100, AND(F142="Mouse", BA142="cm3"), (AY142/0.50891)*100, AND(F142="Rat", BA142="cm3"), (AY142/1.971)*100, AND(F142="Mouse", BA142="mL"), (AY142/0.50891)*100, AND(F142="Rat", BA142="mL"), (AY142/1.971)*100, TRUE, "NA")</f>
        <v>NA</v>
      </c>
      <c r="BE142" cm="1">
        <f t="array" ref="BE142">_xlfn.IFS(AX142="NA", "NA", BB142="NR", "NA", BB142="SD", AX142, BB142="SE", AX142*(SQRT(R142)), BB142="SEM", AX142*(SQRT(R142)), TRUE, "NA")</f>
        <v>14.858479060792192</v>
      </c>
      <c r="BF142" cm="1">
        <f t="array" ref="BF142">_xlfn.IFS(BE142="NA", "NA",BA142="Direct rLV % whole brain", BE142, BA142="Indirect rLV % whole brain", BE142, BA142="Direct rLV % hemisphere", BE142/2, BA142="Indirect rLV % hemisphere", BE142/2, AND(F142="Mouse", BA142="mm3"), (BE142/508.91)*100, AND(F142="Rat", BA142="mm3"), (BE142/1971)*100, AND(F142="Mouse", BA142="ul"), (BE142/508.91)*100, AND(F142="Rat", BA142="ul"), (BE142/1971)*100,  AND(F142="Mouse", BA142="nl"), (BE142/508910)*100, AND(F142="Rat", BA142="nl"), (BE142/1971000)*100, AND(F142="Mouse", BA142="cm3"), (BE142/0.50891)*100, AND(F142="Rat", BA142="cm3"), (BE142/1.971)*100, AND(F142="Mouse", BA142="mL"), (BE142/0.50891)*100, AND(F142="Rat", BA142="mL"), (BE142/1.971)*100, TRUE, "NA")</f>
        <v>7.4292395303960959</v>
      </c>
      <c r="BG142" t="str" cm="1">
        <f t="array" ref="BG142">_xlfn.IFS(AZ142="NA", "NA", BB142="NR", "NA", BB142="SD", AZ142, BB142="SE", AZ142*(SQRT(R142)), BB142="SEM", AZ142*(SQRT(R142)), TRUE, "NA")</f>
        <v>NA</v>
      </c>
      <c r="BH142" s="18" t="s">
        <v>154</v>
      </c>
      <c r="BI142" t="s">
        <v>154</v>
      </c>
      <c r="BJ142" t="s">
        <v>154</v>
      </c>
    </row>
    <row r="143" spans="1:63" x14ac:dyDescent="0.3">
      <c r="A143" t="s">
        <v>1046</v>
      </c>
      <c r="B143" t="s">
        <v>1045</v>
      </c>
      <c r="C143">
        <v>2005</v>
      </c>
      <c r="D143" t="s">
        <v>1047</v>
      </c>
      <c r="E143" t="s">
        <v>1049</v>
      </c>
      <c r="F143" t="s">
        <v>23</v>
      </c>
      <c r="G143" t="s">
        <v>11</v>
      </c>
      <c r="H143" t="s">
        <v>33</v>
      </c>
      <c r="I143" t="s">
        <v>12</v>
      </c>
      <c r="J143" t="s">
        <v>8</v>
      </c>
      <c r="K143" t="s">
        <v>8</v>
      </c>
      <c r="L143">
        <v>26</v>
      </c>
      <c r="M143" t="s">
        <v>8</v>
      </c>
      <c r="N143" t="s">
        <v>9</v>
      </c>
      <c r="O143" t="s">
        <v>9</v>
      </c>
      <c r="P143" t="s">
        <v>9</v>
      </c>
      <c r="Q143">
        <v>6</v>
      </c>
      <c r="R143">
        <v>8</v>
      </c>
      <c r="S143" t="s">
        <v>8</v>
      </c>
      <c r="T143" t="s">
        <v>8</v>
      </c>
      <c r="U143" s="18" t="s">
        <v>66</v>
      </c>
      <c r="V143" t="s">
        <v>8</v>
      </c>
      <c r="W143" t="s">
        <v>8</v>
      </c>
      <c r="X143" t="s">
        <v>66</v>
      </c>
      <c r="Y143" t="s">
        <v>8</v>
      </c>
      <c r="Z143" t="s">
        <v>8</v>
      </c>
      <c r="AA143" t="s">
        <v>640</v>
      </c>
      <c r="AB143" t="s">
        <v>636</v>
      </c>
      <c r="AC143" t="s">
        <v>153</v>
      </c>
      <c r="AD143" t="s">
        <v>634</v>
      </c>
      <c r="AE143">
        <v>0</v>
      </c>
      <c r="AF143">
        <v>120</v>
      </c>
      <c r="AG143" t="s">
        <v>650</v>
      </c>
      <c r="AH143">
        <v>3</v>
      </c>
      <c r="AI143" cm="1">
        <f t="array" ref="AI143">_xlfn.IFS(AF143="NR", "NA", AG143="NR", "NA", AG143="NA","NA", AND(AG143="mg/ml", AH143&lt;&gt;"NR"), ((AF143/2492)*AH143*1000000), AND(AG143="mol/L", AH143&lt;&gt;"NR"), AF143*AH143*1000000, AG143="nmol", AF143*1000, AND(AG143="nmol/uL", AH143&lt;&gt;"NR"), AF143*AH143*1000, AG143="pg", AF143/2492, AG143="pmol", AF143, AND(AG143="pmol/uL", AH143&lt;&gt;"NR"), AF143*AH143, AG143="ug", AF143/2492*1000000, AND(AG143="ug/mL", AH143&lt;&gt;"NR"), (AF143/1000*AH143)/2492*1000000, AND(AG143="ug/uL", AH143&lt;&gt;"NR"), (AF143*AH143)/2492*1000000, AND(AG143="umol/L", AH143&lt;&gt;"NR"), AH143*AF143, TRUE, "NA")</f>
        <v>120</v>
      </c>
      <c r="AJ143">
        <v>0.75</v>
      </c>
      <c r="AK143">
        <v>1</v>
      </c>
      <c r="AL143" t="s">
        <v>9</v>
      </c>
      <c r="AM143" t="s">
        <v>8</v>
      </c>
      <c r="AN143" t="s">
        <v>9</v>
      </c>
      <c r="AO143" s="18" t="s">
        <v>12</v>
      </c>
      <c r="AP143" t="s">
        <v>8</v>
      </c>
      <c r="AQ143" t="s">
        <v>8</v>
      </c>
      <c r="AR143" t="s">
        <v>8</v>
      </c>
      <c r="AS143" s="18">
        <v>1440</v>
      </c>
      <c r="AT143" t="s">
        <v>271</v>
      </c>
      <c r="AU143" t="s">
        <v>653</v>
      </c>
      <c r="AV143" t="s">
        <v>8</v>
      </c>
      <c r="AW143">
        <v>14.45</v>
      </c>
      <c r="AX143">
        <v>3.11</v>
      </c>
      <c r="AY143" t="s">
        <v>8</v>
      </c>
      <c r="AZ143" t="s">
        <v>8</v>
      </c>
      <c r="BA143" t="s">
        <v>203</v>
      </c>
      <c r="BB143" t="s">
        <v>123</v>
      </c>
      <c r="BC143" cm="1">
        <f t="array" ref="BC143">_xlfn.IFS(BA143="Direct rLV % whole brain", AW143, BA143="Indirect rLV % whole brain", AW143, BA143="Direct rLV % hemisphere", AW143/2, BA143="Indirect rLV % hemisphere", AW143/2, AND(F143="Mouse", BA143="mm3"), (AW143/508.91)*100, AND(F143="Rat", BA143="mm3"), (AW143/1971)*100, AND(F143="Mouse", BA143="ul"), (AW143/508.91)*100, AND(F143="Rat", BA143="ul"), (AW143/1971)*100,  AND(F143="Mouse", BA143="nl"), (AW143/508910)*100, AND(F143="Rat", BA143="nl"), (AW143/1971000)*100, AND(F143="Mouse", BA143="cm3"), (AW143/0.50891)*100, AND(F143="Rat", BA143="cm3"), (AW143/1.971)*100, AND(F143="Mouse", BA143="mL"), (AW143/0.50891)*100, AND(F143="Rat", BA143="mL"), (AW143/1.971)*100, TRUE, "NA")</f>
        <v>7.2249999999999996</v>
      </c>
      <c r="BD143" t="str" cm="1">
        <f t="array" ref="BD143">_xlfn.IFS(AZ143="NA", "NA",BA143="Direct rLV % whole brain", AY143, BA143="Indirect rLV % whole brain", AY143, BA143="Direct rLV % hemisphere", AY143/2, BA143="Indirect rLV % hemisphere", AY143/2, AND(F143="Mouse", BA143="mm3"), (AY143/508.91)*100, AND(F143="Rat", BA143="mm3"), (AY143/1971)*100, AND(F143="Mouse", BA143="ul"), (AY143/508.91)*100, AND(F143="Rat", BA143="ul"), (AY143/1971)*100,  AND(F143="Mouse", BA143="nl"), (AY143/508910)*100, AND(F143="Rat", BA143="nl"), (AY143/1971000)*100, AND(F143="Mouse", BA143="cm3"), (AY143/0.50891)*100, AND(F143="Rat", BA143="cm3"), (AY143/1.971)*100, AND(F143="Mouse", BA143="mL"), (AY143/0.50891)*100, AND(F143="Rat", BA143="mL"), (AY143/1.971)*100, TRUE, "NA")</f>
        <v>NA</v>
      </c>
      <c r="BE143" cm="1">
        <f t="array" ref="BE143">_xlfn.IFS(AX143="NA", "NA", BB143="NR", "NA", BB143="SD", AX143, BB143="SE", AX143*(SQRT(R143)), BB143="SEM", AX143*(SQRT(R143)), TRUE, "NA")</f>
        <v>8.7964083579606509</v>
      </c>
      <c r="BF143" cm="1">
        <f t="array" ref="BF143">_xlfn.IFS(BE143="NA", "NA",BA143="Direct rLV % whole brain", BE143, BA143="Indirect rLV % whole brain", BE143, BA143="Direct rLV % hemisphere", BE143/2, BA143="Indirect rLV % hemisphere", BE143/2, AND(F143="Mouse", BA143="mm3"), (BE143/508.91)*100, AND(F143="Rat", BA143="mm3"), (BE143/1971)*100, AND(F143="Mouse", BA143="ul"), (BE143/508.91)*100, AND(F143="Rat", BA143="ul"), (BE143/1971)*100,  AND(F143="Mouse", BA143="nl"), (BE143/508910)*100, AND(F143="Rat", BA143="nl"), (BE143/1971000)*100, AND(F143="Mouse", BA143="cm3"), (BE143/0.50891)*100, AND(F143="Rat", BA143="cm3"), (BE143/1.971)*100, AND(F143="Mouse", BA143="mL"), (BE143/0.50891)*100, AND(F143="Rat", BA143="mL"), (BE143/1.971)*100, TRUE, "NA")</f>
        <v>4.3982041789803255</v>
      </c>
      <c r="BG143" t="str" cm="1">
        <f t="array" ref="BG143">_xlfn.IFS(AZ143="NA", "NA", BB143="NR", "NA", BB143="SD", AZ143, BB143="SE", AZ143*(SQRT(R143)), BB143="SEM", AZ143*(SQRT(R143)), TRUE, "NA")</f>
        <v>NA</v>
      </c>
      <c r="BH143" s="18" t="s">
        <v>154</v>
      </c>
      <c r="BI143" t="s">
        <v>154</v>
      </c>
      <c r="BJ143" t="s">
        <v>154</v>
      </c>
    </row>
    <row r="144" spans="1:63" s="31" customFormat="1" x14ac:dyDescent="0.3">
      <c r="A144" s="31" t="s">
        <v>1050</v>
      </c>
      <c r="B144" s="31" t="s">
        <v>1045</v>
      </c>
      <c r="C144" s="31">
        <v>2006</v>
      </c>
      <c r="D144" s="31" t="s">
        <v>1051</v>
      </c>
      <c r="E144" s="31" t="s">
        <v>647</v>
      </c>
      <c r="F144" s="31" t="s">
        <v>23</v>
      </c>
      <c r="G144" s="31" t="s">
        <v>11</v>
      </c>
      <c r="H144" s="31" t="s">
        <v>35</v>
      </c>
      <c r="I144" s="31" t="s">
        <v>12</v>
      </c>
      <c r="J144" s="31" t="s">
        <v>8</v>
      </c>
      <c r="K144" s="31" t="s">
        <v>8</v>
      </c>
      <c r="L144" s="31">
        <v>1.4</v>
      </c>
      <c r="M144" s="31" t="s">
        <v>8</v>
      </c>
      <c r="N144" s="31" t="s">
        <v>9</v>
      </c>
      <c r="O144" s="31" t="s">
        <v>9</v>
      </c>
      <c r="P144" s="31" t="s">
        <v>9</v>
      </c>
      <c r="Q144" s="31">
        <v>3</v>
      </c>
      <c r="R144" s="31">
        <v>30</v>
      </c>
      <c r="S144" s="31" t="s">
        <v>8</v>
      </c>
      <c r="T144" s="31" t="s">
        <v>8</v>
      </c>
      <c r="U144" s="32" t="s">
        <v>66</v>
      </c>
      <c r="V144" s="31" t="s">
        <v>8</v>
      </c>
      <c r="W144" s="31" t="s">
        <v>8</v>
      </c>
      <c r="X144" s="31" t="s">
        <v>66</v>
      </c>
      <c r="Y144" s="31" t="s">
        <v>8</v>
      </c>
      <c r="Z144" s="31" t="s">
        <v>8</v>
      </c>
      <c r="AA144" s="31" t="s">
        <v>648</v>
      </c>
      <c r="AB144" s="31" t="s">
        <v>636</v>
      </c>
      <c r="AC144" s="31" t="s">
        <v>153</v>
      </c>
      <c r="AD144" s="31" t="s">
        <v>634</v>
      </c>
      <c r="AE144" s="31">
        <v>0</v>
      </c>
      <c r="AF144" s="31">
        <v>120</v>
      </c>
      <c r="AG144" s="31" t="s">
        <v>650</v>
      </c>
      <c r="AH144" s="31">
        <v>1</v>
      </c>
      <c r="AI144" cm="1">
        <f t="array" ref="AI144">_xlfn.IFS(AF144="NR", "NA", AG144="NR", "NA", AG144="NA","NA", AND(AG144="mg/ml", AH144&lt;&gt;"NR"), ((AF144/2492)*AH144*1000000), AND(AG144="mol/L", AH144&lt;&gt;"NR"), AF144*AH144*1000000, AG144="nmol", AF144*1000, AND(AG144="nmol/uL", AH144&lt;&gt;"NR"), AF144*AH144*1000, AG144="pg", AF144/2492, AG144="pmol", AF144, AND(AG144="pmol/uL", AH144&lt;&gt;"NR"), AF144*AH144, AG144="ug", AF144/2492*1000000, AND(AG144="ug/mL", AH144&lt;&gt;"NR"), (AF144/1000*AH144)/2492*1000000, AND(AG144="ug/uL", AH144&lt;&gt;"NR"), (AF144*AH144)/2492*1000000, AND(AG144="umol/L", AH144&lt;&gt;"NR"), AH144*AF144, TRUE, "NA")</f>
        <v>120</v>
      </c>
      <c r="AJ144" s="31">
        <v>0.25</v>
      </c>
      <c r="AK144" s="31">
        <v>1</v>
      </c>
      <c r="AL144" s="31" t="s">
        <v>9</v>
      </c>
      <c r="AM144" s="31" t="s">
        <v>8</v>
      </c>
      <c r="AN144" s="31" t="s">
        <v>9</v>
      </c>
      <c r="AO144" s="32" t="s">
        <v>12</v>
      </c>
      <c r="AP144" s="31" t="s">
        <v>8</v>
      </c>
      <c r="AQ144" s="31" t="s">
        <v>8</v>
      </c>
      <c r="AR144" s="31" t="s">
        <v>8</v>
      </c>
      <c r="AS144" s="32">
        <v>1344</v>
      </c>
      <c r="AT144" s="31" t="s">
        <v>271</v>
      </c>
      <c r="AU144" s="31" t="s">
        <v>653</v>
      </c>
      <c r="AV144" s="31" t="s">
        <v>8</v>
      </c>
      <c r="AW144" s="31">
        <v>22.97</v>
      </c>
      <c r="AX144" s="31">
        <v>4.2000000000000003E-2</v>
      </c>
      <c r="AY144" s="31" t="s">
        <v>8</v>
      </c>
      <c r="AZ144" s="31" t="s">
        <v>8</v>
      </c>
      <c r="BA144" s="31" t="s">
        <v>203</v>
      </c>
      <c r="BB144" s="31" t="s">
        <v>123</v>
      </c>
      <c r="BC144" cm="1">
        <f t="array" ref="BC144">_xlfn.IFS(BA144="Direct rLV % whole brain", AW144, BA144="Indirect rLV % whole brain", AW144, BA144="Direct rLV % hemisphere", AW144/2, BA144="Indirect rLV % hemisphere", AW144/2, AND(F144="Mouse", BA144="mm3"), (AW144/508.91)*100, AND(F144="Rat", BA144="mm3"), (AW144/1971)*100, AND(F144="Mouse", BA144="ul"), (AW144/508.91)*100, AND(F144="Rat", BA144="ul"), (AW144/1971)*100,  AND(F144="Mouse", BA144="nl"), (AW144/508910)*100, AND(F144="Rat", BA144="nl"), (AW144/1971000)*100, AND(F144="Mouse", BA144="cm3"), (AW144/0.50891)*100, AND(F144="Rat", BA144="cm3"), (AW144/1.971)*100, AND(F144="Mouse", BA144="mL"), (AW144/0.50891)*100, AND(F144="Rat", BA144="mL"), (AW144/1.971)*100, TRUE, "NA")</f>
        <v>11.484999999999999</v>
      </c>
      <c r="BD144" t="str" cm="1">
        <f t="array" ref="BD144">_xlfn.IFS(AZ144="NA", "NA",BA144="Direct rLV % whole brain", AY144, BA144="Indirect rLV % whole brain", AY144, BA144="Direct rLV % hemisphere", AY144/2, BA144="Indirect rLV % hemisphere", AY144/2, AND(F144="Mouse", BA144="mm3"), (AY144/508.91)*100, AND(F144="Rat", BA144="mm3"), (AY144/1971)*100, AND(F144="Mouse", BA144="ul"), (AY144/508.91)*100, AND(F144="Rat", BA144="ul"), (AY144/1971)*100,  AND(F144="Mouse", BA144="nl"), (AY144/508910)*100, AND(F144="Rat", BA144="nl"), (AY144/1971000)*100, AND(F144="Mouse", BA144="cm3"), (AY144/0.50891)*100, AND(F144="Rat", BA144="cm3"), (AY144/1.971)*100, AND(F144="Mouse", BA144="mL"), (AY144/0.50891)*100, AND(F144="Rat", BA144="mL"), (AY144/1.971)*100, TRUE, "NA")</f>
        <v>NA</v>
      </c>
      <c r="BE144" cm="1">
        <f t="array" ref="BE144">_xlfn.IFS(AX144="NA", "NA", BB144="NR", "NA", BB144="SD", AX144, BB144="SE", AX144*(SQRT(R144)), BB144="SEM", AX144*(SQRT(R144)), TRUE, "NA")</f>
        <v>0.23004347415216977</v>
      </c>
      <c r="BF144" cm="1">
        <f t="array" ref="BF144">_xlfn.IFS(BE144="NA", "NA",BA144="Direct rLV % whole brain", BE144, BA144="Indirect rLV % whole brain", BE144, BA144="Direct rLV % hemisphere", BE144/2, BA144="Indirect rLV % hemisphere", BE144/2, AND(F144="Mouse", BA144="mm3"), (BE144/508.91)*100, AND(F144="Rat", BA144="mm3"), (BE144/1971)*100, AND(F144="Mouse", BA144="ul"), (BE144/508.91)*100, AND(F144="Rat", BA144="ul"), (BE144/1971)*100,  AND(F144="Mouse", BA144="nl"), (BE144/508910)*100, AND(F144="Rat", BA144="nl"), (BE144/1971000)*100, AND(F144="Mouse", BA144="cm3"), (BE144/0.50891)*100, AND(F144="Rat", BA144="cm3"), (BE144/1.971)*100, AND(F144="Mouse", BA144="mL"), (BE144/0.50891)*100, AND(F144="Rat", BA144="mL"), (BE144/1.971)*100, TRUE, "NA")</f>
        <v>0.11502173707608489</v>
      </c>
      <c r="BG144" t="str" cm="1">
        <f t="array" ref="BG144">_xlfn.IFS(AZ144="NA", "NA", BB144="NR", "NA", BB144="SD", AZ144, BB144="SE", AZ144*(SQRT(R144)), BB144="SEM", AZ144*(SQRT(R144)), TRUE, "NA")</f>
        <v>NA</v>
      </c>
      <c r="BH144" s="32" t="s">
        <v>154</v>
      </c>
      <c r="BI144" s="31" t="s">
        <v>154</v>
      </c>
      <c r="BJ144" s="31" t="s">
        <v>154</v>
      </c>
    </row>
    <row r="145" spans="1:63" s="31" customFormat="1" x14ac:dyDescent="0.3">
      <c r="A145" s="31" t="s">
        <v>1050</v>
      </c>
      <c r="B145" s="31" t="s">
        <v>1045</v>
      </c>
      <c r="C145" s="31">
        <v>2006</v>
      </c>
      <c r="D145" s="31" t="s">
        <v>1051</v>
      </c>
      <c r="E145" s="31" t="s">
        <v>678</v>
      </c>
      <c r="F145" s="31" t="s">
        <v>23</v>
      </c>
      <c r="G145" s="31" t="s">
        <v>11</v>
      </c>
      <c r="H145" s="31" t="s">
        <v>35</v>
      </c>
      <c r="I145" s="31" t="s">
        <v>12</v>
      </c>
      <c r="J145" s="31" t="s">
        <v>8</v>
      </c>
      <c r="K145" s="31" t="s">
        <v>8</v>
      </c>
      <c r="L145" s="31">
        <v>6</v>
      </c>
      <c r="M145" s="31" t="s">
        <v>8</v>
      </c>
      <c r="N145" s="31" t="s">
        <v>9</v>
      </c>
      <c r="O145" s="31" t="s">
        <v>9</v>
      </c>
      <c r="P145" s="31" t="s">
        <v>9</v>
      </c>
      <c r="Q145" s="31">
        <v>3</v>
      </c>
      <c r="R145" s="31">
        <v>32</v>
      </c>
      <c r="S145" s="31" t="s">
        <v>8</v>
      </c>
      <c r="T145" s="31" t="s">
        <v>8</v>
      </c>
      <c r="U145" s="32" t="s">
        <v>66</v>
      </c>
      <c r="V145" s="31" t="s">
        <v>8</v>
      </c>
      <c r="W145" s="31" t="s">
        <v>8</v>
      </c>
      <c r="X145" s="31" t="s">
        <v>66</v>
      </c>
      <c r="Y145" s="31" t="s">
        <v>8</v>
      </c>
      <c r="Z145" s="31" t="s">
        <v>8</v>
      </c>
      <c r="AA145" s="31" t="s">
        <v>648</v>
      </c>
      <c r="AB145" s="31" t="s">
        <v>636</v>
      </c>
      <c r="AC145" s="31" t="s">
        <v>153</v>
      </c>
      <c r="AD145" s="31" t="s">
        <v>634</v>
      </c>
      <c r="AE145" s="31">
        <v>0</v>
      </c>
      <c r="AF145" s="31">
        <v>120</v>
      </c>
      <c r="AG145" s="31" t="s">
        <v>650</v>
      </c>
      <c r="AH145" s="31">
        <v>3</v>
      </c>
      <c r="AI145" cm="1">
        <f t="array" ref="AI145">_xlfn.IFS(AF145="NR", "NA", AG145="NR", "NA", AG145="NA","NA", AND(AG145="mg/ml", AH145&lt;&gt;"NR"), ((AF145/2492)*AH145*1000000), AND(AG145="mol/L", AH145&lt;&gt;"NR"), AF145*AH145*1000000, AG145="nmol", AF145*1000, AND(AG145="nmol/uL", AH145&lt;&gt;"NR"), AF145*AH145*1000, AG145="pg", AF145/2492, AG145="pmol", AF145, AND(AG145="pmol/uL", AH145&lt;&gt;"NR"), AF145*AH145, AG145="ug", AF145/2492*1000000, AND(AG145="ug/mL", AH145&lt;&gt;"NR"), (AF145/1000*AH145)/2492*1000000, AND(AG145="ug/uL", AH145&lt;&gt;"NR"), (AF145*AH145)/2492*1000000, AND(AG145="umol/L", AH145&lt;&gt;"NR"), AH145*AF145, TRUE, "NA")</f>
        <v>120</v>
      </c>
      <c r="AJ145" s="31">
        <v>0.75</v>
      </c>
      <c r="AK145" s="31">
        <v>1</v>
      </c>
      <c r="AL145" s="31" t="s">
        <v>9</v>
      </c>
      <c r="AM145" s="31" t="s">
        <v>8</v>
      </c>
      <c r="AN145" s="31" t="s">
        <v>9</v>
      </c>
      <c r="AO145" s="32" t="s">
        <v>12</v>
      </c>
      <c r="AP145" s="31" t="s">
        <v>8</v>
      </c>
      <c r="AQ145" s="31" t="s">
        <v>8</v>
      </c>
      <c r="AR145" s="31" t="s">
        <v>8</v>
      </c>
      <c r="AS145" s="32">
        <v>1344</v>
      </c>
      <c r="AT145" s="31" t="s">
        <v>271</v>
      </c>
      <c r="AU145" s="31" t="s">
        <v>653</v>
      </c>
      <c r="AV145" s="31" t="s">
        <v>8</v>
      </c>
      <c r="AW145" s="31">
        <v>19.97</v>
      </c>
      <c r="AX145" s="31">
        <v>0.38</v>
      </c>
      <c r="AY145" s="31" t="s">
        <v>8</v>
      </c>
      <c r="AZ145" s="31" t="s">
        <v>8</v>
      </c>
      <c r="BA145" s="31" t="s">
        <v>203</v>
      </c>
      <c r="BB145" s="31" t="s">
        <v>123</v>
      </c>
      <c r="BC145" cm="1">
        <f t="array" ref="BC145">_xlfn.IFS(BA145="Direct rLV % whole brain", AW145, BA145="Indirect rLV % whole brain", AW145, BA145="Direct rLV % hemisphere", AW145/2, BA145="Indirect rLV % hemisphere", AW145/2, AND(F145="Mouse", BA145="mm3"), (AW145/508.91)*100, AND(F145="Rat", BA145="mm3"), (AW145/1971)*100, AND(F145="Mouse", BA145="ul"), (AW145/508.91)*100, AND(F145="Rat", BA145="ul"), (AW145/1971)*100,  AND(F145="Mouse", BA145="nl"), (AW145/508910)*100, AND(F145="Rat", BA145="nl"), (AW145/1971000)*100, AND(F145="Mouse", BA145="cm3"), (AW145/0.50891)*100, AND(F145="Rat", BA145="cm3"), (AW145/1.971)*100, AND(F145="Mouse", BA145="mL"), (AW145/0.50891)*100, AND(F145="Rat", BA145="mL"), (AW145/1.971)*100, TRUE, "NA")</f>
        <v>9.9849999999999994</v>
      </c>
      <c r="BD145" t="str" cm="1">
        <f t="array" ref="BD145">_xlfn.IFS(AZ145="NA", "NA",BA145="Direct rLV % whole brain", AY145, BA145="Indirect rLV % whole brain", AY145, BA145="Direct rLV % hemisphere", AY145/2, BA145="Indirect rLV % hemisphere", AY145/2, AND(F145="Mouse", BA145="mm3"), (AY145/508.91)*100, AND(F145="Rat", BA145="mm3"), (AY145/1971)*100, AND(F145="Mouse", BA145="ul"), (AY145/508.91)*100, AND(F145="Rat", BA145="ul"), (AY145/1971)*100,  AND(F145="Mouse", BA145="nl"), (AY145/508910)*100, AND(F145="Rat", BA145="nl"), (AY145/1971000)*100, AND(F145="Mouse", BA145="cm3"), (AY145/0.50891)*100, AND(F145="Rat", BA145="cm3"), (AY145/1.971)*100, AND(F145="Mouse", BA145="mL"), (AY145/0.50891)*100, AND(F145="Rat", BA145="mL"), (AY145/1.971)*100, TRUE, "NA")</f>
        <v>NA</v>
      </c>
      <c r="BE145" cm="1">
        <f t="array" ref="BE145">_xlfn.IFS(AX145="NA", "NA", BB145="NR", "NA", BB145="SD", AX145, BB145="SE", AX145*(SQRT(R145)), BB145="SEM", AX145*(SQRT(R145)), TRUE, "NA")</f>
        <v>2.1496046148071049</v>
      </c>
      <c r="BF145" cm="1">
        <f t="array" ref="BF145">_xlfn.IFS(BE145="NA", "NA",BA145="Direct rLV % whole brain", BE145, BA145="Indirect rLV % whole brain", BE145, BA145="Direct rLV % hemisphere", BE145/2, BA145="Indirect rLV % hemisphere", BE145/2, AND(F145="Mouse", BA145="mm3"), (BE145/508.91)*100, AND(F145="Rat", BA145="mm3"), (BE145/1971)*100, AND(F145="Mouse", BA145="ul"), (BE145/508.91)*100, AND(F145="Rat", BA145="ul"), (BE145/1971)*100,  AND(F145="Mouse", BA145="nl"), (BE145/508910)*100, AND(F145="Rat", BA145="nl"), (BE145/1971000)*100, AND(F145="Mouse", BA145="cm3"), (BE145/0.50891)*100, AND(F145="Rat", BA145="cm3"), (BE145/1.971)*100, AND(F145="Mouse", BA145="mL"), (BE145/0.50891)*100, AND(F145="Rat", BA145="mL"), (BE145/1.971)*100, TRUE, "NA")</f>
        <v>1.0748023074035524</v>
      </c>
      <c r="BG145" t="str" cm="1">
        <f t="array" ref="BG145">_xlfn.IFS(AZ145="NA", "NA", BB145="NR", "NA", BB145="SD", AZ145, BB145="SE", AZ145*(SQRT(R145)), BB145="SEM", AZ145*(SQRT(R145)), TRUE, "NA")</f>
        <v>NA</v>
      </c>
      <c r="BH145" s="32" t="s">
        <v>154</v>
      </c>
      <c r="BI145" s="31" t="s">
        <v>154</v>
      </c>
      <c r="BJ145" s="31" t="s">
        <v>154</v>
      </c>
    </row>
    <row r="146" spans="1:63" s="31" customFormat="1" x14ac:dyDescent="0.3">
      <c r="A146" s="31" t="s">
        <v>1050</v>
      </c>
      <c r="B146" s="31" t="s">
        <v>1045</v>
      </c>
      <c r="C146" s="31">
        <v>2006</v>
      </c>
      <c r="D146" s="31" t="s">
        <v>1051</v>
      </c>
      <c r="E146" s="31" t="s">
        <v>699</v>
      </c>
      <c r="F146" s="31" t="s">
        <v>23</v>
      </c>
      <c r="G146" s="31" t="s">
        <v>11</v>
      </c>
      <c r="H146" s="31" t="s">
        <v>35</v>
      </c>
      <c r="I146" s="31" t="s">
        <v>12</v>
      </c>
      <c r="J146" s="31" t="s">
        <v>8</v>
      </c>
      <c r="K146" s="31" t="s">
        <v>8</v>
      </c>
      <c r="L146" s="31">
        <v>26</v>
      </c>
      <c r="M146" s="31" t="s">
        <v>8</v>
      </c>
      <c r="N146" s="31" t="s">
        <v>9</v>
      </c>
      <c r="O146" s="31" t="s">
        <v>9</v>
      </c>
      <c r="P146" s="31" t="s">
        <v>9</v>
      </c>
      <c r="Q146" s="31">
        <v>3</v>
      </c>
      <c r="R146" s="31">
        <v>17</v>
      </c>
      <c r="S146" s="31" t="s">
        <v>8</v>
      </c>
      <c r="T146" s="31" t="s">
        <v>8</v>
      </c>
      <c r="U146" s="32" t="s">
        <v>66</v>
      </c>
      <c r="V146" s="31" t="s">
        <v>8</v>
      </c>
      <c r="W146" s="31" t="s">
        <v>8</v>
      </c>
      <c r="X146" s="31" t="s">
        <v>66</v>
      </c>
      <c r="Y146" s="31" t="s">
        <v>8</v>
      </c>
      <c r="Z146" s="31" t="s">
        <v>8</v>
      </c>
      <c r="AA146" s="31" t="s">
        <v>648</v>
      </c>
      <c r="AB146" s="31" t="s">
        <v>636</v>
      </c>
      <c r="AC146" s="31" t="s">
        <v>153</v>
      </c>
      <c r="AD146" s="31" t="s">
        <v>634</v>
      </c>
      <c r="AE146" s="31">
        <v>0</v>
      </c>
      <c r="AF146" s="31">
        <v>120</v>
      </c>
      <c r="AG146" s="31" t="s">
        <v>650</v>
      </c>
      <c r="AH146" s="31">
        <v>3</v>
      </c>
      <c r="AI146" cm="1">
        <f t="array" ref="AI146">_xlfn.IFS(AF146="NR", "NA", AG146="NR", "NA", AG146="NA","NA", AND(AG146="mg/ml", AH146&lt;&gt;"NR"), ((AF146/2492)*AH146*1000000), AND(AG146="mol/L", AH146&lt;&gt;"NR"), AF146*AH146*1000000, AG146="nmol", AF146*1000, AND(AG146="nmol/uL", AH146&lt;&gt;"NR"), AF146*AH146*1000, AG146="pg", AF146/2492, AG146="pmol", AF146, AND(AG146="pmol/uL", AH146&lt;&gt;"NR"), AF146*AH146, AG146="ug", AF146/2492*1000000, AND(AG146="ug/mL", AH146&lt;&gt;"NR"), (AF146/1000*AH146)/2492*1000000, AND(AG146="ug/uL", AH146&lt;&gt;"NR"), (AF146*AH146)/2492*1000000, AND(AG146="umol/L", AH146&lt;&gt;"NR"), AH146*AF146, TRUE, "NA")</f>
        <v>120</v>
      </c>
      <c r="AJ146" s="31">
        <v>0.75</v>
      </c>
      <c r="AK146" s="31">
        <v>1</v>
      </c>
      <c r="AL146" s="31" t="s">
        <v>9</v>
      </c>
      <c r="AM146" s="31" t="s">
        <v>8</v>
      </c>
      <c r="AN146" s="31" t="s">
        <v>9</v>
      </c>
      <c r="AO146" s="32" t="s">
        <v>12</v>
      </c>
      <c r="AP146" s="31" t="s">
        <v>8</v>
      </c>
      <c r="AQ146" s="31" t="s">
        <v>8</v>
      </c>
      <c r="AR146" s="31" t="s">
        <v>8</v>
      </c>
      <c r="AS146" s="32">
        <v>1344</v>
      </c>
      <c r="AT146" s="31" t="s">
        <v>271</v>
      </c>
      <c r="AU146" s="31" t="s">
        <v>653</v>
      </c>
      <c r="AV146" s="31" t="s">
        <v>8</v>
      </c>
      <c r="AW146" s="31">
        <v>18.850000000000001</v>
      </c>
      <c r="AX146" s="31">
        <v>0.30499999999999999</v>
      </c>
      <c r="AY146" s="31" t="s">
        <v>8</v>
      </c>
      <c r="AZ146" s="31" t="s">
        <v>8</v>
      </c>
      <c r="BA146" s="31" t="s">
        <v>203</v>
      </c>
      <c r="BB146" s="31" t="s">
        <v>123</v>
      </c>
      <c r="BC146" cm="1">
        <f t="array" ref="BC146">_xlfn.IFS(BA146="Direct rLV % whole brain", AW146, BA146="Indirect rLV % whole brain", AW146, BA146="Direct rLV % hemisphere", AW146/2, BA146="Indirect rLV % hemisphere", AW146/2, AND(F146="Mouse", BA146="mm3"), (AW146/508.91)*100, AND(F146="Rat", BA146="mm3"), (AW146/1971)*100, AND(F146="Mouse", BA146="ul"), (AW146/508.91)*100, AND(F146="Rat", BA146="ul"), (AW146/1971)*100,  AND(F146="Mouse", BA146="nl"), (AW146/508910)*100, AND(F146="Rat", BA146="nl"), (AW146/1971000)*100, AND(F146="Mouse", BA146="cm3"), (AW146/0.50891)*100, AND(F146="Rat", BA146="cm3"), (AW146/1.971)*100, AND(F146="Mouse", BA146="mL"), (AW146/0.50891)*100, AND(F146="Rat", BA146="mL"), (AW146/1.971)*100, TRUE, "NA")</f>
        <v>9.4250000000000007</v>
      </c>
      <c r="BD146" t="str" cm="1">
        <f t="array" ref="BD146">_xlfn.IFS(AZ146="NA", "NA",BA146="Direct rLV % whole brain", AY146, BA146="Indirect rLV % whole brain", AY146, BA146="Direct rLV % hemisphere", AY146/2, BA146="Indirect rLV % hemisphere", AY146/2, AND(F146="Mouse", BA146="mm3"), (AY146/508.91)*100, AND(F146="Rat", BA146="mm3"), (AY146/1971)*100, AND(F146="Mouse", BA146="ul"), (AY146/508.91)*100, AND(F146="Rat", BA146="ul"), (AY146/1971)*100,  AND(F146="Mouse", BA146="nl"), (AY146/508910)*100, AND(F146="Rat", BA146="nl"), (AY146/1971000)*100, AND(F146="Mouse", BA146="cm3"), (AY146/0.50891)*100, AND(F146="Rat", BA146="cm3"), (AY146/1.971)*100, AND(F146="Mouse", BA146="mL"), (AY146/0.50891)*100, AND(F146="Rat", BA146="mL"), (AY146/1.971)*100, TRUE, "NA")</f>
        <v>NA</v>
      </c>
      <c r="BE146" cm="1">
        <f t="array" ref="BE146">_xlfn.IFS(AX146="NA", "NA", BB146="NR", "NA", BB146="SD", AX146, BB146="SE", AX146*(SQRT(R146)), BB146="SEM", AX146*(SQRT(R146)), TRUE, "NA")</f>
        <v>1.2575472158133865</v>
      </c>
      <c r="BF146" cm="1">
        <f t="array" ref="BF146">_xlfn.IFS(BE146="NA", "NA",BA146="Direct rLV % whole brain", BE146, BA146="Indirect rLV % whole brain", BE146, BA146="Direct rLV % hemisphere", BE146/2, BA146="Indirect rLV % hemisphere", BE146/2, AND(F146="Mouse", BA146="mm3"), (BE146/508.91)*100, AND(F146="Rat", BA146="mm3"), (BE146/1971)*100, AND(F146="Mouse", BA146="ul"), (BE146/508.91)*100, AND(F146="Rat", BA146="ul"), (BE146/1971)*100,  AND(F146="Mouse", BA146="nl"), (BE146/508910)*100, AND(F146="Rat", BA146="nl"), (BE146/1971000)*100, AND(F146="Mouse", BA146="cm3"), (BE146/0.50891)*100, AND(F146="Rat", BA146="cm3"), (BE146/1.971)*100, AND(F146="Mouse", BA146="mL"), (BE146/0.50891)*100, AND(F146="Rat", BA146="mL"), (BE146/1.971)*100, TRUE, "NA")</f>
        <v>0.62877360790669323</v>
      </c>
      <c r="BG146" t="str" cm="1">
        <f t="array" ref="BG146">_xlfn.IFS(AZ146="NA", "NA", BB146="NR", "NA", BB146="SD", AZ146, BB146="SE", AZ146*(SQRT(R146)), BB146="SEM", AZ146*(SQRT(R146)), TRUE, "NA")</f>
        <v>NA</v>
      </c>
      <c r="BH146" s="32" t="s">
        <v>154</v>
      </c>
      <c r="BI146" s="31" t="s">
        <v>154</v>
      </c>
      <c r="BJ146" s="31" t="s">
        <v>154</v>
      </c>
    </row>
    <row r="147" spans="1:63" x14ac:dyDescent="0.3">
      <c r="A147" t="s">
        <v>1053</v>
      </c>
      <c r="B147" t="s">
        <v>1052</v>
      </c>
      <c r="C147">
        <v>2014</v>
      </c>
      <c r="D147" t="s">
        <v>1054</v>
      </c>
      <c r="E147" t="s">
        <v>647</v>
      </c>
      <c r="F147" t="s">
        <v>23</v>
      </c>
      <c r="G147" t="s">
        <v>95</v>
      </c>
      <c r="H147" t="s">
        <v>34</v>
      </c>
      <c r="I147" t="s">
        <v>12</v>
      </c>
      <c r="J147" t="s">
        <v>8</v>
      </c>
      <c r="K147" t="s">
        <v>8</v>
      </c>
      <c r="L147">
        <v>14</v>
      </c>
      <c r="M147" t="s">
        <v>8</v>
      </c>
      <c r="N147" t="s">
        <v>9</v>
      </c>
      <c r="O147" t="s">
        <v>9</v>
      </c>
      <c r="P147" t="s">
        <v>9</v>
      </c>
      <c r="Q147">
        <v>2</v>
      </c>
      <c r="R147">
        <v>12</v>
      </c>
      <c r="S147" t="s">
        <v>8</v>
      </c>
      <c r="T147" t="s">
        <v>8</v>
      </c>
      <c r="U147" s="18" t="s">
        <v>68</v>
      </c>
      <c r="V147" t="s">
        <v>8</v>
      </c>
      <c r="W147" t="s">
        <v>8</v>
      </c>
      <c r="X147" t="s">
        <v>68</v>
      </c>
      <c r="Y147" t="s">
        <v>8</v>
      </c>
      <c r="Z147" t="s">
        <v>8</v>
      </c>
      <c r="AA147" t="s">
        <v>640</v>
      </c>
      <c r="AB147" t="s">
        <v>636</v>
      </c>
      <c r="AC147" t="s">
        <v>9</v>
      </c>
      <c r="AD147" t="s">
        <v>634</v>
      </c>
      <c r="AE147">
        <v>0</v>
      </c>
      <c r="AF147">
        <v>120</v>
      </c>
      <c r="AG147" t="s">
        <v>650</v>
      </c>
      <c r="AH147">
        <v>3</v>
      </c>
      <c r="AI147" cm="1">
        <f t="array" ref="AI147">_xlfn.IFS(AF147="NR", "NA", AG147="NR", "NA", AG147="NA","NA", AND(AG147="mg/ml", AH147&lt;&gt;"NR"), ((AF147/2492)*AH147*1000000), AND(AG147="mol/L", AH147&lt;&gt;"NR"), AF147*AH147*1000000, AG147="nmol", AF147*1000, AND(AG147="nmol/uL", AH147&lt;&gt;"NR"), AF147*AH147*1000, AG147="pg", AF147/2492, AG147="pmol", AF147, AND(AG147="pmol/uL", AH147&lt;&gt;"NR"), AF147*AH147, AG147="ug", AF147/2492*1000000, AND(AG147="ug/mL", AH147&lt;&gt;"NR"), (AF147/1000*AH147)/2492*1000000, AND(AG147="ug/uL", AH147&lt;&gt;"NR"), (AF147*AH147)/2492*1000000, AND(AG147="umol/L", AH147&lt;&gt;"NR"), AH147*AF147, TRUE, "NA")</f>
        <v>120</v>
      </c>
      <c r="AJ147">
        <v>7.5</v>
      </c>
      <c r="AK147">
        <v>1</v>
      </c>
      <c r="AL147" t="s">
        <v>859</v>
      </c>
      <c r="AM147" t="s">
        <v>8</v>
      </c>
      <c r="AN147" t="s">
        <v>852</v>
      </c>
      <c r="AO147" s="18" t="s">
        <v>12</v>
      </c>
      <c r="AP147" t="s">
        <v>8</v>
      </c>
      <c r="AQ147" t="s">
        <v>8</v>
      </c>
      <c r="AR147" t="s">
        <v>8</v>
      </c>
      <c r="AS147" s="18">
        <v>72</v>
      </c>
      <c r="AT147" t="s">
        <v>271</v>
      </c>
      <c r="AU147" t="s">
        <v>652</v>
      </c>
      <c r="AV147" t="s">
        <v>8</v>
      </c>
      <c r="AW147">
        <v>46.95</v>
      </c>
      <c r="AX147">
        <v>12.93</v>
      </c>
      <c r="AY147" t="s">
        <v>8</v>
      </c>
      <c r="AZ147" t="s">
        <v>8</v>
      </c>
      <c r="BA147" t="s">
        <v>656</v>
      </c>
      <c r="BB147" t="s">
        <v>123</v>
      </c>
      <c r="BC147" cm="1">
        <f t="array" ref="BC147">_xlfn.IFS(BA147="Direct rLV % whole brain", AW147, BA147="Indirect rLV % whole brain", AW147, BA147="Direct rLV % hemisphere", AW147/2, BA147="Indirect rLV % hemisphere", AW147/2, AND(F147="Mouse", BA147="mm3"), (AW147/508.91)*100, AND(F147="Rat", BA147="mm3"), (AW147/1971)*100, AND(F147="Mouse", BA147="ul"), (AW147/508.91)*100, AND(F147="Rat", BA147="ul"), (AW147/1971)*100,  AND(F147="Mouse", BA147="nl"), (AW147/508910)*100, AND(F147="Rat", BA147="nl"), (AW147/1971000)*100, AND(F147="Mouse", BA147="cm3"), (AW147/0.50891)*100, AND(F147="Rat", BA147="cm3"), (AW147/1.971)*100, AND(F147="Mouse", BA147="mL"), (AW147/0.50891)*100, AND(F147="Rat", BA147="mL"), (AW147/1.971)*100, TRUE, "NA")</f>
        <v>2.3820395738203959</v>
      </c>
      <c r="BD147" t="str" cm="1">
        <f t="array" ref="BD147">_xlfn.IFS(AZ147="NA", "NA",BA147="Direct rLV % whole brain", AY147, BA147="Indirect rLV % whole brain", AY147, BA147="Direct rLV % hemisphere", AY147/2, BA147="Indirect rLV % hemisphere", AY147/2, AND(F147="Mouse", BA147="mm3"), (AY147/508.91)*100, AND(F147="Rat", BA147="mm3"), (AY147/1971)*100, AND(F147="Mouse", BA147="ul"), (AY147/508.91)*100, AND(F147="Rat", BA147="ul"), (AY147/1971)*100,  AND(F147="Mouse", BA147="nl"), (AY147/508910)*100, AND(F147="Rat", BA147="nl"), (AY147/1971000)*100, AND(F147="Mouse", BA147="cm3"), (AY147/0.50891)*100, AND(F147="Rat", BA147="cm3"), (AY147/1.971)*100, AND(F147="Mouse", BA147="mL"), (AY147/0.50891)*100, AND(F147="Rat", BA147="mL"), (AY147/1.971)*100, TRUE, "NA")</f>
        <v>NA</v>
      </c>
      <c r="BE147" cm="1">
        <f t="array" ref="BE147">_xlfn.IFS(AX147="NA", "NA", BB147="NR", "NA", BB147="SD", AX147, BB147="SE", AX147*(SQRT(R147)), BB147="SEM", AX147*(SQRT(R147)), TRUE, "NA")</f>
        <v>44.79083388373116</v>
      </c>
      <c r="BF147" cm="1">
        <f t="array" ref="BF147">_xlfn.IFS(BE147="NA", "NA",BA147="Direct rLV % whole brain", BE147, BA147="Indirect rLV % whole brain", BE147, BA147="Direct rLV % hemisphere", BE147/2, BA147="Indirect rLV % hemisphere", BE147/2, AND(F147="Mouse", BA147="mm3"), (BE147/508.91)*100, AND(F147="Rat", BA147="mm3"), (BE147/1971)*100, AND(F147="Mouse", BA147="ul"), (BE147/508.91)*100, AND(F147="Rat", BA147="ul"), (BE147/1971)*100,  AND(F147="Mouse", BA147="nl"), (BE147/508910)*100, AND(F147="Rat", BA147="nl"), (BE147/1971000)*100, AND(F147="Mouse", BA147="cm3"), (BE147/0.50891)*100, AND(F147="Rat", BA147="cm3"), (BE147/1.971)*100, AND(F147="Mouse", BA147="mL"), (BE147/0.50891)*100, AND(F147="Rat", BA147="mL"), (BE147/1.971)*100, TRUE, "NA")</f>
        <v>2.2724928403719513</v>
      </c>
      <c r="BG147" t="str" cm="1">
        <f t="array" ref="BG147">_xlfn.IFS(AZ147="NA", "NA", BB147="NR", "NA", BB147="SD", AZ147, BB147="SE", AZ147*(SQRT(R147)), BB147="SEM", AZ147*(SQRT(R147)), TRUE, "NA")</f>
        <v>NA</v>
      </c>
      <c r="BH147" s="18" t="s">
        <v>154</v>
      </c>
      <c r="BI147" t="s">
        <v>154</v>
      </c>
      <c r="BJ147" t="s">
        <v>154</v>
      </c>
    </row>
    <row r="148" spans="1:63" x14ac:dyDescent="0.3">
      <c r="A148" t="s">
        <v>1053</v>
      </c>
      <c r="B148" t="s">
        <v>1052</v>
      </c>
      <c r="C148">
        <v>2014</v>
      </c>
      <c r="D148" t="s">
        <v>1054</v>
      </c>
      <c r="E148" t="s">
        <v>678</v>
      </c>
      <c r="F148" t="s">
        <v>23</v>
      </c>
      <c r="G148" t="s">
        <v>1055</v>
      </c>
      <c r="H148" t="s">
        <v>34</v>
      </c>
      <c r="I148" t="s">
        <v>1060</v>
      </c>
      <c r="J148" t="s">
        <v>156</v>
      </c>
      <c r="K148" t="s">
        <v>8</v>
      </c>
      <c r="L148">
        <v>14</v>
      </c>
      <c r="M148" t="s">
        <v>8</v>
      </c>
      <c r="N148" t="s">
        <v>9</v>
      </c>
      <c r="O148" t="s">
        <v>9</v>
      </c>
      <c r="P148" t="s">
        <v>9</v>
      </c>
      <c r="Q148">
        <v>2</v>
      </c>
      <c r="R148">
        <v>6</v>
      </c>
      <c r="S148">
        <v>1</v>
      </c>
      <c r="T148">
        <v>5</v>
      </c>
      <c r="U148" s="18" t="s">
        <v>68</v>
      </c>
      <c r="V148" t="s">
        <v>8</v>
      </c>
      <c r="W148" t="s">
        <v>8</v>
      </c>
      <c r="X148" t="s">
        <v>68</v>
      </c>
      <c r="Y148" t="s">
        <v>8</v>
      </c>
      <c r="Z148" t="s">
        <v>8</v>
      </c>
      <c r="AA148" t="s">
        <v>640</v>
      </c>
      <c r="AB148" t="s">
        <v>636</v>
      </c>
      <c r="AC148" t="s">
        <v>9</v>
      </c>
      <c r="AD148" t="s">
        <v>634</v>
      </c>
      <c r="AE148">
        <v>0</v>
      </c>
      <c r="AF148">
        <v>120</v>
      </c>
      <c r="AG148" t="s">
        <v>650</v>
      </c>
      <c r="AH148">
        <v>3</v>
      </c>
      <c r="AI148" cm="1">
        <f t="array" ref="AI148">_xlfn.IFS(AF148="NR", "NA", AG148="NR", "NA", AG148="NA","NA", AND(AG148="mg/ml", AH148&lt;&gt;"NR"), ((AF148/2492)*AH148*1000000), AND(AG148="mol/L", AH148&lt;&gt;"NR"), AF148*AH148*1000000, AG148="nmol", AF148*1000, AND(AG148="nmol/uL", AH148&lt;&gt;"NR"), AF148*AH148*1000, AG148="pg", AF148/2492, AG148="pmol", AF148, AND(AG148="pmol/uL", AH148&lt;&gt;"NR"), AF148*AH148, AG148="ug", AF148/2492*1000000, AND(AG148="ug/mL", AH148&lt;&gt;"NR"), (AF148/1000*AH148)/2492*1000000, AND(AG148="ug/uL", AH148&lt;&gt;"NR"), (AF148*AH148)/2492*1000000, AND(AG148="umol/L", AH148&lt;&gt;"NR"), AH148*AF148, TRUE, "NA")</f>
        <v>120</v>
      </c>
      <c r="AJ148">
        <v>7.5</v>
      </c>
      <c r="AK148">
        <v>1</v>
      </c>
      <c r="AL148" t="s">
        <v>859</v>
      </c>
      <c r="AM148" t="s">
        <v>8</v>
      </c>
      <c r="AN148" t="s">
        <v>852</v>
      </c>
      <c r="AO148" s="18" t="s">
        <v>1056</v>
      </c>
      <c r="AP148" t="s">
        <v>1228</v>
      </c>
      <c r="AQ148" t="s">
        <v>9</v>
      </c>
      <c r="AR148" t="s">
        <v>101</v>
      </c>
      <c r="AS148" s="18">
        <v>72</v>
      </c>
      <c r="AT148" t="s">
        <v>271</v>
      </c>
      <c r="AU148" t="s">
        <v>652</v>
      </c>
      <c r="AV148">
        <v>0.57099999999999995</v>
      </c>
      <c r="AW148">
        <v>25.15</v>
      </c>
      <c r="AX148">
        <v>3.59</v>
      </c>
      <c r="AY148">
        <v>32.57</v>
      </c>
      <c r="AZ148">
        <v>7.43</v>
      </c>
      <c r="BA148" t="s">
        <v>656</v>
      </c>
      <c r="BB148" t="s">
        <v>123</v>
      </c>
      <c r="BC148" cm="1">
        <f t="array" ref="BC148">_xlfn.IFS(BA148="Direct rLV % whole brain", AW148, BA148="Indirect rLV % whole brain", AW148, BA148="Direct rLV % hemisphere", AW148/2, BA148="Indirect rLV % hemisphere", AW148/2, AND(F148="Mouse", BA148="mm3"), (AW148/508.91)*100, AND(F148="Rat", BA148="mm3"), (AW148/1971)*100, AND(F148="Mouse", BA148="ul"), (AW148/508.91)*100, AND(F148="Rat", BA148="ul"), (AW148/1971)*100,  AND(F148="Mouse", BA148="nl"), (AW148/508910)*100, AND(F148="Rat", BA148="nl"), (AW148/1971000)*100, AND(F148="Mouse", BA148="cm3"), (AW148/0.50891)*100, AND(F148="Rat", BA148="cm3"), (AW148/1.971)*100, AND(F148="Mouse", BA148="mL"), (AW148/0.50891)*100, AND(F148="Rat", BA148="mL"), (AW148/1.971)*100, TRUE, "NA")</f>
        <v>1.2760020294266867</v>
      </c>
      <c r="BD148" cm="1">
        <f t="array" ref="BD148">_xlfn.IFS(AZ148="NA", "NA",BA148="Direct rLV % whole brain", AY148, BA148="Indirect rLV % whole brain", AY148, BA148="Direct rLV % hemisphere", AY148/2, BA148="Indirect rLV % hemisphere", AY148/2, AND(F148="Mouse", BA148="mm3"), (AY148/508.91)*100, AND(F148="Rat", BA148="mm3"), (AY148/1971)*100, AND(F148="Mouse", BA148="ul"), (AY148/508.91)*100, AND(F148="Rat", BA148="ul"), (AY148/1971)*100,  AND(F148="Mouse", BA148="nl"), (AY148/508910)*100, AND(F148="Rat", BA148="nl"), (AY148/1971000)*100, AND(F148="Mouse", BA148="cm3"), (AY148/0.50891)*100, AND(F148="Rat", BA148="cm3"), (AY148/1.971)*100, AND(F148="Mouse", BA148="mL"), (AY148/0.50891)*100, AND(F148="Rat", BA148="mL"), (AY148/1.971)*100, TRUE, "NA")</f>
        <v>1.6524606798579402</v>
      </c>
      <c r="BE148" cm="1">
        <f t="array" ref="BE148">_xlfn.IFS(AX148="NA", "NA", BB148="NR", "NA", BB148="SD", AX148, BB148="SE", AX148*(SQRT(R148)), BB148="SEM", AX148*(SQRT(R148)), TRUE, "NA")</f>
        <v>8.7936681765916074</v>
      </c>
      <c r="BF148" cm="1">
        <f t="array" ref="BF148">_xlfn.IFS(BE148="NA", "NA",BA148="Direct rLV % whole brain", BE148, BA148="Indirect rLV % whole brain", BE148, BA148="Direct rLV % hemisphere", BE148/2, BA148="Indirect rLV % hemisphere", BE148/2, AND(F148="Mouse", BA148="mm3"), (BE148/508.91)*100, AND(F148="Rat", BA148="mm3"), (BE148/1971)*100, AND(F148="Mouse", BA148="ul"), (BE148/508.91)*100, AND(F148="Rat", BA148="ul"), (BE148/1971)*100,  AND(F148="Mouse", BA148="nl"), (BE148/508910)*100, AND(F148="Rat", BA148="nl"), (BE148/1971000)*100, AND(F148="Mouse", BA148="cm3"), (BE148/0.50891)*100, AND(F148="Rat", BA148="cm3"), (BE148/1.971)*100, AND(F148="Mouse", BA148="mL"), (BE148/0.50891)*100, AND(F148="Rat", BA148="mL"), (BE148/1.971)*100, TRUE, "NA")</f>
        <v>0.44615262184635246</v>
      </c>
      <c r="BG148" cm="1">
        <f t="array" ref="BG148">_xlfn.IFS(AZ148="NA", "NA", BB148="NR", "NA", BB148="SD", AZ148, BB148="SE", AZ148*(SQRT(R148)), BB148="SEM", AZ148*(SQRT(R148)), TRUE, "NA")</f>
        <v>18.199708788879011</v>
      </c>
      <c r="BH148" s="18" t="s">
        <v>154</v>
      </c>
      <c r="BI148" t="s">
        <v>154</v>
      </c>
      <c r="BJ148" t="s">
        <v>154</v>
      </c>
    </row>
    <row r="149" spans="1:63" s="31" customFormat="1" x14ac:dyDescent="0.3">
      <c r="A149" s="31" t="s">
        <v>1058</v>
      </c>
      <c r="B149" s="31" t="s">
        <v>1057</v>
      </c>
      <c r="C149" s="31">
        <v>2016</v>
      </c>
      <c r="D149" s="31" t="s">
        <v>1059</v>
      </c>
      <c r="E149" s="31" t="s">
        <v>647</v>
      </c>
      <c r="F149" s="31" t="s">
        <v>23</v>
      </c>
      <c r="G149" s="31" t="s">
        <v>10</v>
      </c>
      <c r="H149" s="31" t="s">
        <v>34</v>
      </c>
      <c r="I149" s="31" t="s">
        <v>12</v>
      </c>
      <c r="J149" s="31" t="s">
        <v>8</v>
      </c>
      <c r="K149" s="31" t="s">
        <v>9</v>
      </c>
      <c r="L149" s="31" t="s">
        <v>9</v>
      </c>
      <c r="M149" s="31" t="s">
        <v>9</v>
      </c>
      <c r="N149" s="31">
        <v>250</v>
      </c>
      <c r="O149" s="31">
        <f t="shared" ref="O149:O156" si="23">AVERAGE(N149,P149)</f>
        <v>275</v>
      </c>
      <c r="P149" s="31">
        <v>300</v>
      </c>
      <c r="Q149" s="31">
        <v>1</v>
      </c>
      <c r="R149" s="31">
        <v>12</v>
      </c>
      <c r="S149" s="31">
        <v>1</v>
      </c>
      <c r="T149" s="31">
        <v>13</v>
      </c>
      <c r="U149" s="32" t="s">
        <v>68</v>
      </c>
      <c r="V149" s="31" t="s">
        <v>294</v>
      </c>
      <c r="W149" s="31" t="s">
        <v>8</v>
      </c>
      <c r="X149" s="31" t="s">
        <v>68</v>
      </c>
      <c r="Y149" s="31" t="s">
        <v>294</v>
      </c>
      <c r="Z149" s="31" t="s">
        <v>8</v>
      </c>
      <c r="AA149" s="31" t="s">
        <v>640</v>
      </c>
      <c r="AB149" s="31" t="s">
        <v>636</v>
      </c>
      <c r="AC149" s="31" t="s">
        <v>154</v>
      </c>
      <c r="AD149" s="31" t="s">
        <v>634</v>
      </c>
      <c r="AE149" s="31">
        <v>0</v>
      </c>
      <c r="AF149" s="31">
        <v>800</v>
      </c>
      <c r="AG149" s="31" t="s">
        <v>650</v>
      </c>
      <c r="AH149" s="31">
        <v>1</v>
      </c>
      <c r="AI149" cm="1">
        <f t="array" ref="AI149">_xlfn.IFS(AF149="NR", "NA", AG149="NR", "NA", AG149="NA","NA", AND(AG149="mg/ml", AH149&lt;&gt;"NR"), ((AF149/2492)*AH149*1000000), AND(AG149="mol/L", AH149&lt;&gt;"NR"), AF149*AH149*1000000, AG149="nmol", AF149*1000, AND(AG149="nmol/uL", AH149&lt;&gt;"NR"), AF149*AH149*1000, AG149="pg", AF149/2492, AG149="pmol", AF149, AND(AG149="pmol/uL", AH149&lt;&gt;"NR"), AF149*AH149, AG149="ug", AF149/2492*1000000, AND(AG149="ug/mL", AH149&lt;&gt;"NR"), (AF149/1000*AH149)/2492*1000000, AND(AG149="ug/uL", AH149&lt;&gt;"NR"), (AF149*AH149)/2492*1000000, AND(AG149="umol/L", AH149&lt;&gt;"NR"), AH149*AF149, TRUE, "NA")</f>
        <v>800</v>
      </c>
      <c r="AJ149" s="31">
        <v>4</v>
      </c>
      <c r="AK149" s="31">
        <v>2</v>
      </c>
      <c r="AL149" s="31" t="s">
        <v>731</v>
      </c>
      <c r="AM149" s="31" t="s">
        <v>8</v>
      </c>
      <c r="AN149" s="31" t="s">
        <v>9</v>
      </c>
      <c r="AO149" s="32" t="s">
        <v>1061</v>
      </c>
      <c r="AP149" t="s">
        <v>1228</v>
      </c>
      <c r="AQ149" s="31">
        <v>3</v>
      </c>
      <c r="AR149" s="31" t="s">
        <v>103</v>
      </c>
      <c r="AS149" s="32">
        <v>504</v>
      </c>
      <c r="AT149" s="31" t="s">
        <v>270</v>
      </c>
      <c r="AU149" s="31" t="s">
        <v>8</v>
      </c>
      <c r="AV149" s="31" t="s">
        <v>679</v>
      </c>
      <c r="AW149" s="31">
        <v>11.9</v>
      </c>
      <c r="AX149" s="31">
        <v>2</v>
      </c>
      <c r="AY149" s="31">
        <v>7.2</v>
      </c>
      <c r="AZ149" s="31">
        <v>25</v>
      </c>
      <c r="BA149" s="31" t="s">
        <v>203</v>
      </c>
      <c r="BB149" s="31" t="s">
        <v>123</v>
      </c>
      <c r="BC149" cm="1">
        <f t="array" ref="BC149">_xlfn.IFS(BA149="Direct rLV % whole brain", AW149, BA149="Indirect rLV % whole brain", AW149, BA149="Direct rLV % hemisphere", AW149/2, BA149="Indirect rLV % hemisphere", AW149/2, AND(F149="Mouse", BA149="mm3"), (AW149/508.91)*100, AND(F149="Rat", BA149="mm3"), (AW149/1971)*100, AND(F149="Mouse", BA149="ul"), (AW149/508.91)*100, AND(F149="Rat", BA149="ul"), (AW149/1971)*100,  AND(F149="Mouse", BA149="nl"), (AW149/508910)*100, AND(F149="Rat", BA149="nl"), (AW149/1971000)*100, AND(F149="Mouse", BA149="cm3"), (AW149/0.50891)*100, AND(F149="Rat", BA149="cm3"), (AW149/1.971)*100, AND(F149="Mouse", BA149="mL"), (AW149/0.50891)*100, AND(F149="Rat", BA149="mL"), (AW149/1.971)*100, TRUE, "NA")</f>
        <v>5.95</v>
      </c>
      <c r="BD149" cm="1">
        <f t="array" ref="BD149">_xlfn.IFS(AZ149="NA", "NA",BA149="Direct rLV % whole brain", AY149, BA149="Indirect rLV % whole brain", AY149, BA149="Direct rLV % hemisphere", AY149/2, BA149="Indirect rLV % hemisphere", AY149/2, AND(F149="Mouse", BA149="mm3"), (AY149/508.91)*100, AND(F149="Rat", BA149="mm3"), (AY149/1971)*100, AND(F149="Mouse", BA149="ul"), (AY149/508.91)*100, AND(F149="Rat", BA149="ul"), (AY149/1971)*100,  AND(F149="Mouse", BA149="nl"), (AY149/508910)*100, AND(F149="Rat", BA149="nl"), (AY149/1971000)*100, AND(F149="Mouse", BA149="cm3"), (AY149/0.50891)*100, AND(F149="Rat", BA149="cm3"), (AY149/1.971)*100, AND(F149="Mouse", BA149="mL"), (AY149/0.50891)*100, AND(F149="Rat", BA149="mL"), (AY149/1.971)*100, TRUE, "NA")</f>
        <v>3.6</v>
      </c>
      <c r="BE149" cm="1">
        <f t="array" ref="BE149">_xlfn.IFS(AX149="NA", "NA", BB149="NR", "NA", BB149="SD", AX149, BB149="SE", AX149*(SQRT(R149)), BB149="SEM", AX149*(SQRT(R149)), TRUE, "NA")</f>
        <v>6.9282032302755088</v>
      </c>
      <c r="BF149" cm="1">
        <f t="array" ref="BF149">_xlfn.IFS(BE149="NA", "NA",BA149="Direct rLV % whole brain", BE149, BA149="Indirect rLV % whole brain", BE149, BA149="Direct rLV % hemisphere", BE149/2, BA149="Indirect rLV % hemisphere", BE149/2, AND(F149="Mouse", BA149="mm3"), (BE149/508.91)*100, AND(F149="Rat", BA149="mm3"), (BE149/1971)*100, AND(F149="Mouse", BA149="ul"), (BE149/508.91)*100, AND(F149="Rat", BA149="ul"), (BE149/1971)*100,  AND(F149="Mouse", BA149="nl"), (BE149/508910)*100, AND(F149="Rat", BA149="nl"), (BE149/1971000)*100, AND(F149="Mouse", BA149="cm3"), (BE149/0.50891)*100, AND(F149="Rat", BA149="cm3"), (BE149/1.971)*100, AND(F149="Mouse", BA149="mL"), (BE149/0.50891)*100, AND(F149="Rat", BA149="mL"), (BE149/1.971)*100, TRUE, "NA")</f>
        <v>3.4641016151377544</v>
      </c>
      <c r="BG149" cm="1">
        <f t="array" ref="BG149">_xlfn.IFS(AZ149="NA", "NA", BB149="NR", "NA", BB149="SD", AZ149, BB149="SE", AZ149*(SQRT(R149)), BB149="SEM", AZ149*(SQRT(R149)), TRUE, "NA")</f>
        <v>86.602540378443862</v>
      </c>
      <c r="BH149" s="32" t="s">
        <v>154</v>
      </c>
      <c r="BI149" s="31" t="s">
        <v>154</v>
      </c>
      <c r="BJ149" s="31" t="s">
        <v>154</v>
      </c>
    </row>
    <row r="150" spans="1:63" x14ac:dyDescent="0.3">
      <c r="A150" t="s">
        <v>1063</v>
      </c>
      <c r="B150" t="s">
        <v>1062</v>
      </c>
      <c r="C150">
        <v>2012</v>
      </c>
      <c r="D150" t="s">
        <v>1064</v>
      </c>
      <c r="E150" t="s">
        <v>647</v>
      </c>
      <c r="F150" t="s">
        <v>23</v>
      </c>
      <c r="G150" t="s">
        <v>11</v>
      </c>
      <c r="H150" t="s">
        <v>34</v>
      </c>
      <c r="I150" t="s">
        <v>12</v>
      </c>
      <c r="J150" t="s">
        <v>8</v>
      </c>
      <c r="K150" t="s">
        <v>9</v>
      </c>
      <c r="L150" t="s">
        <v>9</v>
      </c>
      <c r="M150" t="s">
        <v>9</v>
      </c>
      <c r="N150">
        <v>270</v>
      </c>
      <c r="O150">
        <f t="shared" si="23"/>
        <v>285</v>
      </c>
      <c r="P150">
        <v>300</v>
      </c>
      <c r="Q150">
        <v>1</v>
      </c>
      <c r="R150">
        <v>12</v>
      </c>
      <c r="S150">
        <v>3</v>
      </c>
      <c r="T150">
        <v>7</v>
      </c>
      <c r="U150" s="18" t="s">
        <v>71</v>
      </c>
      <c r="V150" t="s">
        <v>98</v>
      </c>
      <c r="W150" t="s">
        <v>8</v>
      </c>
      <c r="X150" t="s">
        <v>69</v>
      </c>
      <c r="Y150" t="s">
        <v>8</v>
      </c>
      <c r="Z150" t="s">
        <v>8</v>
      </c>
      <c r="AA150" t="s">
        <v>648</v>
      </c>
      <c r="AB150" t="s">
        <v>636</v>
      </c>
      <c r="AC150" t="s">
        <v>153</v>
      </c>
      <c r="AD150" t="s">
        <v>634</v>
      </c>
      <c r="AE150">
        <v>24</v>
      </c>
      <c r="AF150">
        <v>500</v>
      </c>
      <c r="AG150" t="s">
        <v>650</v>
      </c>
      <c r="AH150">
        <v>6</v>
      </c>
      <c r="AI150" cm="1">
        <f t="array" ref="AI150">_xlfn.IFS(AF150="NR", "NA", AG150="NR", "NA", AG150="NA","NA", AND(AG150="mg/ml", AH150&lt;&gt;"NR"), ((AF150/2492)*AH150*1000000), AND(AG150="mol/L", AH150&lt;&gt;"NR"), AF150*AH150*1000000, AG150="nmol", AF150*1000, AND(AG150="nmol/uL", AH150&lt;&gt;"NR"), AF150*AH150*1000, AG150="pg", AF150/2492, AG150="pmol", AF150, AND(AG150="pmol/uL", AH150&lt;&gt;"NR"), AF150*AH150, AG150="ug", AF150/2492*1000000, AND(AG150="ug/mL", AH150&lt;&gt;"NR"), (AF150/1000*AH150)/2492*1000000, AND(AG150="ug/uL", AH150&lt;&gt;"NR"), (AF150*AH150)/2492*1000000, AND(AG150="umol/L", AH150&lt;&gt;"NR"), AH150*AF150, TRUE, "NA")</f>
        <v>500</v>
      </c>
      <c r="AJ150">
        <v>6</v>
      </c>
      <c r="AK150">
        <v>1</v>
      </c>
      <c r="AL150" t="s">
        <v>731</v>
      </c>
      <c r="AM150" t="s">
        <v>8</v>
      </c>
      <c r="AN150" t="s">
        <v>9</v>
      </c>
      <c r="AO150" s="18" t="s">
        <v>93</v>
      </c>
      <c r="AP150" t="s">
        <v>1228</v>
      </c>
      <c r="AQ150">
        <v>0.66</v>
      </c>
      <c r="AR150" t="s">
        <v>103</v>
      </c>
      <c r="AS150" s="18">
        <v>24</v>
      </c>
      <c r="AT150" t="s">
        <v>271</v>
      </c>
      <c r="AU150" t="s">
        <v>732</v>
      </c>
      <c r="AV150" t="s">
        <v>679</v>
      </c>
      <c r="AW150">
        <v>46.31</v>
      </c>
      <c r="AX150">
        <v>1.27</v>
      </c>
      <c r="AY150">
        <v>25.7</v>
      </c>
      <c r="AZ150">
        <v>1.91</v>
      </c>
      <c r="BA150" t="s">
        <v>656</v>
      </c>
      <c r="BB150" t="s">
        <v>123</v>
      </c>
      <c r="BC150" cm="1">
        <f t="array" ref="BC150">_xlfn.IFS(BA150="Direct rLV % whole brain", AW150, BA150="Indirect rLV % whole brain", AW150, BA150="Direct rLV % hemisphere", AW150/2, BA150="Indirect rLV % hemisphere", AW150/2, AND(F150="Mouse", BA150="mm3"), (AW150/508.91)*100, AND(F150="Rat", BA150="mm3"), (AW150/1971)*100, AND(F150="Mouse", BA150="ul"), (AW150/508.91)*100, AND(F150="Rat", BA150="ul"), (AW150/1971)*100,  AND(F150="Mouse", BA150="nl"), (AW150/508910)*100, AND(F150="Rat", BA150="nl"), (AW150/1971000)*100, AND(F150="Mouse", BA150="cm3"), (AW150/0.50891)*100, AND(F150="Rat", BA150="cm3"), (AW150/1.971)*100, AND(F150="Mouse", BA150="mL"), (AW150/0.50891)*100, AND(F150="Rat", BA150="mL"), (AW150/1.971)*100, TRUE, "NA")</f>
        <v>2.3495687468290209</v>
      </c>
      <c r="BD150" cm="1">
        <f t="array" ref="BD150">_xlfn.IFS(AZ150="NA", "NA",BA150="Direct rLV % whole brain", AY150, BA150="Indirect rLV % whole brain", AY150, BA150="Direct rLV % hemisphere", AY150/2, BA150="Indirect rLV % hemisphere", AY150/2, AND(F150="Mouse", BA150="mm3"), (AY150/508.91)*100, AND(F150="Rat", BA150="mm3"), (AY150/1971)*100, AND(F150="Mouse", BA150="ul"), (AY150/508.91)*100, AND(F150="Rat", BA150="ul"), (AY150/1971)*100,  AND(F150="Mouse", BA150="nl"), (AY150/508910)*100, AND(F150="Rat", BA150="nl"), (AY150/1971000)*100, AND(F150="Mouse", BA150="cm3"), (AY150/0.50891)*100, AND(F150="Rat", BA150="cm3"), (AY150/1.971)*100, AND(F150="Mouse", BA150="mL"), (AY150/0.50891)*100, AND(F150="Rat", BA150="mL"), (AY150/1.971)*100, TRUE, "NA")</f>
        <v>1.3039066463723996</v>
      </c>
      <c r="BE150" cm="1">
        <f t="array" ref="BE150">_xlfn.IFS(AX150="NA", "NA", BB150="NR", "NA", BB150="SD", AX150, BB150="SE", AX150*(SQRT(R150)), BB150="SEM", AX150*(SQRT(R150)), TRUE, "NA")</f>
        <v>4.3994090512249482</v>
      </c>
      <c r="BF150" cm="1">
        <f t="array" ref="BF150">_xlfn.IFS(BE150="NA", "NA",BA150="Direct rLV % whole brain", BE150, BA150="Indirect rLV % whole brain", BE150, BA150="Direct rLV % hemisphere", BE150/2, BA150="Indirect rLV % hemisphere", BE150/2, AND(F150="Mouse", BA150="mm3"), (BE150/508.91)*100, AND(F150="Rat", BA150="mm3"), (BE150/1971)*100, AND(F150="Mouse", BA150="ul"), (BE150/508.91)*100, AND(F150="Rat", BA150="ul"), (BE150/1971)*100,  AND(F150="Mouse", BA150="nl"), (BE150/508910)*100, AND(F150="Rat", BA150="nl"), (BE150/1971000)*100, AND(F150="Mouse", BA150="cm3"), (BE150/0.50891)*100, AND(F150="Rat", BA150="cm3"), (BE150/1.971)*100, AND(F150="Mouse", BA150="mL"), (BE150/0.50891)*100, AND(F150="Rat", BA150="mL"), (BE150/1.971)*100, TRUE, "NA")</f>
        <v>0.22320695338533475</v>
      </c>
      <c r="BG150" cm="1">
        <f t="array" ref="BG150">_xlfn.IFS(AZ150="NA", "NA", BB150="NR", "NA", BB150="SD", AZ150, BB150="SE", AZ150*(SQRT(R150)), BB150="SEM", AZ150*(SQRT(R150)), TRUE, "NA")</f>
        <v>6.6164340849131102</v>
      </c>
      <c r="BH150" s="18" t="s">
        <v>154</v>
      </c>
      <c r="BI150" t="s">
        <v>153</v>
      </c>
      <c r="BJ150" t="s">
        <v>153</v>
      </c>
    </row>
    <row r="151" spans="1:63" s="31" customFormat="1" x14ac:dyDescent="0.3">
      <c r="A151" s="31" t="s">
        <v>1066</v>
      </c>
      <c r="B151" s="31" t="s">
        <v>1062</v>
      </c>
      <c r="C151" s="31">
        <v>2013</v>
      </c>
      <c r="D151" s="31" t="s">
        <v>1065</v>
      </c>
      <c r="E151" s="31" t="s">
        <v>647</v>
      </c>
      <c r="F151" s="31" t="s">
        <v>23</v>
      </c>
      <c r="G151" s="31" t="s">
        <v>11</v>
      </c>
      <c r="H151" s="31" t="s">
        <v>34</v>
      </c>
      <c r="I151" s="31" t="s">
        <v>12</v>
      </c>
      <c r="J151" s="31" t="s">
        <v>8</v>
      </c>
      <c r="K151" s="31" t="s">
        <v>9</v>
      </c>
      <c r="L151" s="31" t="s">
        <v>9</v>
      </c>
      <c r="M151" s="31" t="s">
        <v>9</v>
      </c>
      <c r="N151" s="31">
        <v>270</v>
      </c>
      <c r="O151" s="31">
        <f t="shared" si="23"/>
        <v>285</v>
      </c>
      <c r="P151" s="31">
        <v>300</v>
      </c>
      <c r="Q151" s="31">
        <v>4</v>
      </c>
      <c r="R151" s="31">
        <v>6</v>
      </c>
      <c r="S151" s="31">
        <v>4</v>
      </c>
      <c r="T151" s="31">
        <v>7</v>
      </c>
      <c r="U151" s="32" t="s">
        <v>71</v>
      </c>
      <c r="V151" s="31" t="s">
        <v>98</v>
      </c>
      <c r="W151" s="31" t="s">
        <v>8</v>
      </c>
      <c r="X151" s="31" t="s">
        <v>69</v>
      </c>
      <c r="Y151" s="31" t="s">
        <v>8</v>
      </c>
      <c r="Z151" s="31" t="s">
        <v>8</v>
      </c>
      <c r="AA151" s="31" t="s">
        <v>648</v>
      </c>
      <c r="AB151" s="31" t="s">
        <v>636</v>
      </c>
      <c r="AC151" s="31" t="s">
        <v>153</v>
      </c>
      <c r="AD151" s="31" t="s">
        <v>634</v>
      </c>
      <c r="AE151" s="31">
        <v>24</v>
      </c>
      <c r="AF151" s="31">
        <v>500</v>
      </c>
      <c r="AG151" s="31" t="s">
        <v>650</v>
      </c>
      <c r="AH151" s="31">
        <v>6</v>
      </c>
      <c r="AI151" cm="1">
        <f t="array" ref="AI151">_xlfn.IFS(AF151="NR", "NA", AG151="NR", "NA", AG151="NA","NA", AND(AG151="mg/ml", AH151&lt;&gt;"NR"), ((AF151/2492)*AH151*1000000), AND(AG151="mol/L", AH151&lt;&gt;"NR"), AF151*AH151*1000000, AG151="nmol", AF151*1000, AND(AG151="nmol/uL", AH151&lt;&gt;"NR"), AF151*AH151*1000, AG151="pg", AF151/2492, AG151="pmol", AF151, AND(AG151="pmol/uL", AH151&lt;&gt;"NR"), AF151*AH151, AG151="ug", AF151/2492*1000000, AND(AG151="ug/mL", AH151&lt;&gt;"NR"), (AF151/1000*AH151)/2492*1000000, AND(AG151="ug/uL", AH151&lt;&gt;"NR"), (AF151*AH151)/2492*1000000, AND(AG151="umol/L", AH151&lt;&gt;"NR"), AH151*AF151, TRUE, "NA")</f>
        <v>500</v>
      </c>
      <c r="AJ151" s="31">
        <v>6</v>
      </c>
      <c r="AK151" s="31">
        <v>1</v>
      </c>
      <c r="AL151" s="31" t="s">
        <v>731</v>
      </c>
      <c r="AM151" s="31" t="s">
        <v>8</v>
      </c>
      <c r="AN151" s="31" t="s">
        <v>9</v>
      </c>
      <c r="AO151" s="32" t="s">
        <v>93</v>
      </c>
      <c r="AP151" t="s">
        <v>1228</v>
      </c>
      <c r="AQ151" s="31">
        <v>0.66</v>
      </c>
      <c r="AR151" s="31" t="s">
        <v>103</v>
      </c>
      <c r="AS151" s="32">
        <v>72</v>
      </c>
      <c r="AT151" s="31" t="s">
        <v>271</v>
      </c>
      <c r="AU151" s="31" t="s">
        <v>652</v>
      </c>
      <c r="AV151" s="31" t="s">
        <v>679</v>
      </c>
      <c r="AW151" s="31">
        <v>55.31</v>
      </c>
      <c r="AX151" s="31">
        <v>1.17</v>
      </c>
      <c r="AY151" s="31">
        <v>29.63</v>
      </c>
      <c r="AZ151" s="31">
        <v>2.4500000000000002</v>
      </c>
      <c r="BA151" s="31" t="s">
        <v>656</v>
      </c>
      <c r="BB151" s="31" t="s">
        <v>123</v>
      </c>
      <c r="BC151" cm="1">
        <f t="array" ref="BC151">_xlfn.IFS(BA151="Direct rLV % whole brain", AW151, BA151="Indirect rLV % whole brain", AW151, BA151="Direct rLV % hemisphere", AW151/2, BA151="Indirect rLV % hemisphere", AW151/2, AND(F151="Mouse", BA151="mm3"), (AW151/508.91)*100, AND(F151="Rat", BA151="mm3"), (AW151/1971)*100, AND(F151="Mouse", BA151="ul"), (AW151/508.91)*100, AND(F151="Rat", BA151="ul"), (AW151/1971)*100,  AND(F151="Mouse", BA151="nl"), (AW151/508910)*100, AND(F151="Rat", BA151="nl"), (AW151/1971000)*100, AND(F151="Mouse", BA151="cm3"), (AW151/0.50891)*100, AND(F151="Rat", BA151="cm3"), (AW151/1.971)*100, AND(F151="Mouse", BA151="mL"), (AW151/0.50891)*100, AND(F151="Rat", BA151="mL"), (AW151/1.971)*100, TRUE, "NA")</f>
        <v>2.8061897513952312</v>
      </c>
      <c r="BD151" cm="1">
        <f t="array" ref="BD151">_xlfn.IFS(AZ151="NA", "NA",BA151="Direct rLV % whole brain", AY151, BA151="Indirect rLV % whole brain", AY151, BA151="Direct rLV % hemisphere", AY151/2, BA151="Indirect rLV % hemisphere", AY151/2, AND(F151="Mouse", BA151="mm3"), (AY151/508.91)*100, AND(F151="Rat", BA151="mm3"), (AY151/1971)*100, AND(F151="Mouse", BA151="ul"), (AY151/508.91)*100, AND(F151="Rat", BA151="ul"), (AY151/1971)*100,  AND(F151="Mouse", BA151="nl"), (AY151/508910)*100, AND(F151="Rat", BA151="nl"), (AY151/1971000)*100, AND(F151="Mouse", BA151="cm3"), (AY151/0.50891)*100, AND(F151="Rat", BA151="cm3"), (AY151/1.971)*100, AND(F151="Mouse", BA151="mL"), (AY151/0.50891)*100, AND(F151="Rat", BA151="mL"), (AY151/1.971)*100, TRUE, "NA")</f>
        <v>1.5032978183663115</v>
      </c>
      <c r="BE151" cm="1">
        <f t="array" ref="BE151">_xlfn.IFS(AX151="NA", "NA", BB151="NR", "NA", BB151="SD", AX151, BB151="SE", AX151*(SQRT(R151)), BB151="SEM", AX151*(SQRT(R151)), TRUE, "NA")</f>
        <v>2.8659029990563178</v>
      </c>
      <c r="BF151" cm="1">
        <f t="array" ref="BF151">_xlfn.IFS(BE151="NA", "NA",BA151="Direct rLV % whole brain", BE151, BA151="Indirect rLV % whole brain", BE151, BA151="Direct rLV % hemisphere", BE151/2, BA151="Indirect rLV % hemisphere", BE151/2, AND(F151="Mouse", BA151="mm3"), (BE151/508.91)*100, AND(F151="Rat", BA151="mm3"), (BE151/1971)*100, AND(F151="Mouse", BA151="ul"), (BE151/508.91)*100, AND(F151="Rat", BA151="ul"), (BE151/1971)*100,  AND(F151="Mouse", BA151="nl"), (BE151/508910)*100, AND(F151="Rat", BA151="nl"), (BE151/1971000)*100, AND(F151="Mouse", BA151="cm3"), (BE151/0.50891)*100, AND(F151="Rat", BA151="cm3"), (BE151/1.971)*100, AND(F151="Mouse", BA151="mL"), (BE151/0.50891)*100, AND(F151="Rat", BA151="mL"), (BE151/1.971)*100, TRUE, "NA")</f>
        <v>0.14540350071315666</v>
      </c>
      <c r="BG151" cm="1">
        <f t="array" ref="BG151">_xlfn.IFS(AZ151="NA", "NA", BB151="NR", "NA", BB151="SD", AZ151, BB151="SE", AZ151*(SQRT(R151)), BB151="SEM", AZ151*(SQRT(R151)), TRUE, "NA")</f>
        <v>6.0012498698187864</v>
      </c>
      <c r="BH151" s="32" t="s">
        <v>153</v>
      </c>
      <c r="BI151" s="31" t="s">
        <v>154</v>
      </c>
      <c r="BJ151" s="31" t="s">
        <v>153</v>
      </c>
    </row>
    <row r="152" spans="1:63" x14ac:dyDescent="0.3">
      <c r="A152" t="s">
        <v>1067</v>
      </c>
      <c r="B152" t="s">
        <v>1062</v>
      </c>
      <c r="C152">
        <v>2013</v>
      </c>
      <c r="D152" t="s">
        <v>1068</v>
      </c>
      <c r="E152" t="s">
        <v>647</v>
      </c>
      <c r="F152" t="s">
        <v>23</v>
      </c>
      <c r="G152" t="s">
        <v>11</v>
      </c>
      <c r="H152" t="s">
        <v>34</v>
      </c>
      <c r="I152" t="s">
        <v>12</v>
      </c>
      <c r="J152" t="s">
        <v>8</v>
      </c>
      <c r="K152" t="s">
        <v>9</v>
      </c>
      <c r="L152" t="s">
        <v>9</v>
      </c>
      <c r="M152" t="s">
        <v>9</v>
      </c>
      <c r="N152">
        <v>270</v>
      </c>
      <c r="O152">
        <f t="shared" si="23"/>
        <v>285</v>
      </c>
      <c r="P152">
        <v>300</v>
      </c>
      <c r="Q152">
        <v>1</v>
      </c>
      <c r="R152">
        <v>6</v>
      </c>
      <c r="S152">
        <v>1</v>
      </c>
      <c r="T152">
        <v>6</v>
      </c>
      <c r="U152" s="18" t="s">
        <v>71</v>
      </c>
      <c r="V152" t="s">
        <v>98</v>
      </c>
      <c r="W152" t="s">
        <v>8</v>
      </c>
      <c r="X152" t="s">
        <v>69</v>
      </c>
      <c r="Y152" t="s">
        <v>8</v>
      </c>
      <c r="Z152" t="s">
        <v>8</v>
      </c>
      <c r="AA152" t="s">
        <v>648</v>
      </c>
      <c r="AB152" t="s">
        <v>636</v>
      </c>
      <c r="AC152" t="s">
        <v>153</v>
      </c>
      <c r="AD152" t="s">
        <v>634</v>
      </c>
      <c r="AE152">
        <v>24</v>
      </c>
      <c r="AF152">
        <v>500</v>
      </c>
      <c r="AG152" t="s">
        <v>650</v>
      </c>
      <c r="AH152">
        <v>6</v>
      </c>
      <c r="AI152" cm="1">
        <f t="array" ref="AI152">_xlfn.IFS(AF152="NR", "NA", AG152="NR", "NA", AG152="NA","NA", AND(AG152="mg/ml", AH152&lt;&gt;"NR"), ((AF152/2492)*AH152*1000000), AND(AG152="mol/L", AH152&lt;&gt;"NR"), AF152*AH152*1000000, AG152="nmol", AF152*1000, AND(AG152="nmol/uL", AH152&lt;&gt;"NR"), AF152*AH152*1000, AG152="pg", AF152/2492, AG152="pmol", AF152, AND(AG152="pmol/uL", AH152&lt;&gt;"NR"), AF152*AH152, AG152="ug", AF152/2492*1000000, AND(AG152="ug/mL", AH152&lt;&gt;"NR"), (AF152/1000*AH152)/2492*1000000, AND(AG152="ug/uL", AH152&lt;&gt;"NR"), (AF152*AH152)/2492*1000000, AND(AG152="umol/L", AH152&lt;&gt;"NR"), AH152*AF152, TRUE, "NA")</f>
        <v>500</v>
      </c>
      <c r="AJ152">
        <v>6</v>
      </c>
      <c r="AK152">
        <v>1</v>
      </c>
      <c r="AL152" t="s">
        <v>731</v>
      </c>
      <c r="AM152" t="s">
        <v>8</v>
      </c>
      <c r="AN152" t="s">
        <v>9</v>
      </c>
      <c r="AO152" s="18" t="s">
        <v>93</v>
      </c>
      <c r="AP152" t="s">
        <v>1228</v>
      </c>
      <c r="AQ152">
        <v>0.66</v>
      </c>
      <c r="AR152" t="s">
        <v>103</v>
      </c>
      <c r="AS152" s="18">
        <v>24</v>
      </c>
      <c r="AT152" t="s">
        <v>271</v>
      </c>
      <c r="AU152" t="s">
        <v>652</v>
      </c>
      <c r="AV152" t="s">
        <v>679</v>
      </c>
      <c r="AW152">
        <v>93.36</v>
      </c>
      <c r="AX152">
        <v>6.51</v>
      </c>
      <c r="AY152">
        <v>60.03</v>
      </c>
      <c r="AZ152">
        <v>1.72</v>
      </c>
      <c r="BA152" t="s">
        <v>656</v>
      </c>
      <c r="BB152" t="s">
        <v>122</v>
      </c>
      <c r="BC152" cm="1">
        <f t="array" ref="BC152">_xlfn.IFS(BA152="Direct rLV % whole brain", AW152, BA152="Indirect rLV % whole brain", AW152, BA152="Direct rLV % hemisphere", AW152/2, BA152="Indirect rLV % hemisphere", AW152/2, AND(F152="Mouse", BA152="mm3"), (AW152/508.91)*100, AND(F152="Rat", BA152="mm3"), (AW152/1971)*100, AND(F152="Mouse", BA152="ul"), (AW152/508.91)*100, AND(F152="Rat", BA152="ul"), (AW152/1971)*100,  AND(F152="Mouse", BA152="nl"), (AW152/508910)*100, AND(F152="Rat", BA152="nl"), (AW152/1971000)*100, AND(F152="Mouse", BA152="cm3"), (AW152/0.50891)*100, AND(F152="Rat", BA152="cm3"), (AW152/1.971)*100, AND(F152="Mouse", BA152="mL"), (AW152/0.50891)*100, AND(F152="Rat", BA152="mL"), (AW152/1.971)*100, TRUE, "NA")</f>
        <v>4.7366818873668191</v>
      </c>
      <c r="BD152" cm="1">
        <f t="array" ref="BD152">_xlfn.IFS(AZ152="NA", "NA",BA152="Direct rLV % whole brain", AY152, BA152="Indirect rLV % whole brain", AY152, BA152="Direct rLV % hemisphere", AY152/2, BA152="Indirect rLV % hemisphere", AY152/2, AND(F152="Mouse", BA152="mm3"), (AY152/508.91)*100, AND(F152="Rat", BA152="mm3"), (AY152/1971)*100, AND(F152="Mouse", BA152="ul"), (AY152/508.91)*100, AND(F152="Rat", BA152="ul"), (AY152/1971)*100,  AND(F152="Mouse", BA152="nl"), (AY152/508910)*100, AND(F152="Rat", BA152="nl"), (AY152/1971000)*100, AND(F152="Mouse", BA152="cm3"), (AY152/0.50891)*100, AND(F152="Rat", BA152="cm3"), (AY152/1.971)*100, AND(F152="Mouse", BA152="mL"), (AY152/0.50891)*100, AND(F152="Rat", BA152="mL"), (AY152/1.971)*100, TRUE, "NA")</f>
        <v>3.0456621004566213</v>
      </c>
      <c r="BE152" cm="1">
        <f t="array" ref="BE152">_xlfn.IFS(AX152="NA", "NA", BB152="NR", "NA", BB152="SD", AX152, BB152="SE", AX152*(SQRT(R152)), BB152="SEM", AX152*(SQRT(R152)), TRUE, "NA")</f>
        <v>6.51</v>
      </c>
      <c r="BF152" cm="1">
        <f t="array" ref="BF152">_xlfn.IFS(BE152="NA", "NA",BA152="Direct rLV % whole brain", BE152, BA152="Indirect rLV % whole brain", BE152, BA152="Direct rLV % hemisphere", BE152/2, BA152="Indirect rLV % hemisphere", BE152/2, AND(F152="Mouse", BA152="mm3"), (BE152/508.91)*100, AND(F152="Rat", BA152="mm3"), (BE152/1971)*100, AND(F152="Mouse", BA152="ul"), (BE152/508.91)*100, AND(F152="Rat", BA152="ul"), (BE152/1971)*100,  AND(F152="Mouse", BA152="nl"), (BE152/508910)*100, AND(F152="Rat", BA152="nl"), (BE152/1971000)*100, AND(F152="Mouse", BA152="cm3"), (BE152/0.50891)*100, AND(F152="Rat", BA152="cm3"), (BE152/1.971)*100, AND(F152="Mouse", BA152="mL"), (BE152/0.50891)*100, AND(F152="Rat", BA152="mL"), (BE152/1.971)*100, TRUE, "NA")</f>
        <v>0.33028919330289191</v>
      </c>
      <c r="BG152" cm="1">
        <f t="array" ref="BG152">_xlfn.IFS(AZ152="NA", "NA", BB152="NR", "NA", BB152="SD", AZ152, BB152="SE", AZ152*(SQRT(R152)), BB152="SEM", AZ152*(SQRT(R152)), TRUE, "NA")</f>
        <v>1.72</v>
      </c>
      <c r="BH152" s="18" t="s">
        <v>154</v>
      </c>
      <c r="BI152" t="s">
        <v>154</v>
      </c>
      <c r="BJ152" t="s">
        <v>153</v>
      </c>
    </row>
    <row r="153" spans="1:63" s="31" customFormat="1" x14ac:dyDescent="0.3">
      <c r="A153" s="31" t="s">
        <v>1070</v>
      </c>
      <c r="B153" s="31" t="s">
        <v>1069</v>
      </c>
      <c r="C153" s="31">
        <v>2015</v>
      </c>
      <c r="D153" s="31" t="s">
        <v>1071</v>
      </c>
      <c r="E153" s="31" t="s">
        <v>647</v>
      </c>
      <c r="F153" s="31" t="s">
        <v>23</v>
      </c>
      <c r="G153" s="31" t="s">
        <v>11</v>
      </c>
      <c r="H153" s="31" t="s">
        <v>34</v>
      </c>
      <c r="I153" s="31" t="s">
        <v>12</v>
      </c>
      <c r="J153" s="31" t="s">
        <v>8</v>
      </c>
      <c r="K153" s="31" t="s">
        <v>9</v>
      </c>
      <c r="L153" s="31" t="s">
        <v>9</v>
      </c>
      <c r="M153" s="31" t="s">
        <v>9</v>
      </c>
      <c r="N153" s="31">
        <v>200</v>
      </c>
      <c r="O153" s="31">
        <f t="shared" si="23"/>
        <v>225</v>
      </c>
      <c r="P153" s="31">
        <v>250</v>
      </c>
      <c r="Q153" s="31">
        <v>1</v>
      </c>
      <c r="R153" s="31">
        <v>6</v>
      </c>
      <c r="S153" s="31">
        <v>2</v>
      </c>
      <c r="T153" s="31">
        <v>6</v>
      </c>
      <c r="U153" s="32" t="s">
        <v>9</v>
      </c>
      <c r="V153" s="31" t="s">
        <v>8</v>
      </c>
      <c r="W153" s="31" t="s">
        <v>8</v>
      </c>
      <c r="X153" s="31" t="s">
        <v>9</v>
      </c>
      <c r="Y153" s="31" t="s">
        <v>8</v>
      </c>
      <c r="Z153" s="31" t="s">
        <v>8</v>
      </c>
      <c r="AA153" s="31" t="s">
        <v>640</v>
      </c>
      <c r="AB153" s="31" t="s">
        <v>636</v>
      </c>
      <c r="AC153" s="31" t="s">
        <v>9</v>
      </c>
      <c r="AD153" s="31" t="s">
        <v>9</v>
      </c>
      <c r="AE153" s="31">
        <v>0</v>
      </c>
      <c r="AF153" s="31">
        <v>0.5</v>
      </c>
      <c r="AG153" s="31" t="s">
        <v>580</v>
      </c>
      <c r="AH153" s="31">
        <v>6</v>
      </c>
      <c r="AI153" cm="1">
        <f t="array" ref="AI153">_xlfn.IFS(AF153="NR", "NA", AG153="NR", "NA", AG153="NA","NA", AND(AG153="mg/ml", AH153&lt;&gt;"NR"), ((AF153/2492)*AH153*1000000), AND(AG153="mol/L", AH153&lt;&gt;"NR"), AF153*AH153*1000000, AG153="nmol", AF153*1000, AND(AG153="nmol/uL", AH153&lt;&gt;"NR"), AF153*AH153*1000, AG153="pg", AF153/2492, AG153="pmol", AF153, AND(AG153="pmol/uL", AH153&lt;&gt;"NR"), AF153*AH153, AG153="ug", AF153/2492*1000000, AND(AG153="ug/mL", AH153&lt;&gt;"NR"), (AF153/1000*AH153)/2492*1000000, AND(AG153="ug/uL", AH153&lt;&gt;"NR"), (AF153*AH153)/2492*1000000, AND(AG153="umol/L", AH153&lt;&gt;"NR"), AH153*AF153, TRUE, "NA")</f>
        <v>1203.852327447833</v>
      </c>
      <c r="AJ153" s="31">
        <v>12</v>
      </c>
      <c r="AK153" s="31">
        <v>3</v>
      </c>
      <c r="AL153" s="31" t="s">
        <v>9</v>
      </c>
      <c r="AM153" s="31" t="s">
        <v>8</v>
      </c>
      <c r="AN153" s="31" t="s">
        <v>9</v>
      </c>
      <c r="AO153" s="32" t="s">
        <v>972</v>
      </c>
      <c r="AP153" t="s">
        <v>1228</v>
      </c>
      <c r="AQ153" s="31">
        <v>168</v>
      </c>
      <c r="AR153" s="31" t="s">
        <v>103</v>
      </c>
      <c r="AS153" s="32">
        <v>792</v>
      </c>
      <c r="AT153" s="31" t="s">
        <v>271</v>
      </c>
      <c r="AU153" s="31" t="s">
        <v>652</v>
      </c>
      <c r="AV153" s="31" t="s">
        <v>674</v>
      </c>
      <c r="AW153" s="31">
        <v>132.69999999999999</v>
      </c>
      <c r="AX153" s="31">
        <v>10.210000000000001</v>
      </c>
      <c r="AY153" s="31">
        <v>136.69999999999999</v>
      </c>
      <c r="AZ153" s="31">
        <v>17.239999999999998</v>
      </c>
      <c r="BA153" s="31" t="s">
        <v>656</v>
      </c>
      <c r="BB153" s="31" t="s">
        <v>123</v>
      </c>
      <c r="BC153" cm="1">
        <f t="array" ref="BC153">_xlfn.IFS(BA153="Direct rLV % whole brain", AW153, BA153="Indirect rLV % whole brain", AW153, BA153="Direct rLV % hemisphere", AW153/2, BA153="Indirect rLV % hemisphere", AW153/2, AND(F153="Mouse", BA153="mm3"), (AW153/508.91)*100, AND(F153="Rat", BA153="mm3"), (AW153/1971)*100, AND(F153="Mouse", BA153="ul"), (AW153/508.91)*100, AND(F153="Rat", BA153="ul"), (AW153/1971)*100,  AND(F153="Mouse", BA153="nl"), (AW153/508910)*100, AND(F153="Rat", BA153="nl"), (AW153/1971000)*100, AND(F153="Mouse", BA153="cm3"), (AW153/0.50891)*100, AND(F153="Rat", BA153="cm3"), (AW153/1.971)*100, AND(F153="Mouse", BA153="mL"), (AW153/0.50891)*100, AND(F153="Rat", BA153="mL"), (AW153/1.971)*100, TRUE, "NA")</f>
        <v>6.7326230339928959</v>
      </c>
      <c r="BD153" cm="1">
        <f t="array" ref="BD153">_xlfn.IFS(AZ153="NA", "NA",BA153="Direct rLV % whole brain", AY153, BA153="Indirect rLV % whole brain", AY153, BA153="Direct rLV % hemisphere", AY153/2, BA153="Indirect rLV % hemisphere", AY153/2, AND(F153="Mouse", BA153="mm3"), (AY153/508.91)*100, AND(F153="Rat", BA153="mm3"), (AY153/1971)*100, AND(F153="Mouse", BA153="ul"), (AY153/508.91)*100, AND(F153="Rat", BA153="ul"), (AY153/1971)*100,  AND(F153="Mouse", BA153="nl"), (AY153/508910)*100, AND(F153="Rat", BA153="nl"), (AY153/1971000)*100, AND(F153="Mouse", BA153="cm3"), (AY153/0.50891)*100, AND(F153="Rat", BA153="cm3"), (AY153/1.971)*100, AND(F153="Mouse", BA153="mL"), (AY153/0.50891)*100, AND(F153="Rat", BA153="mL"), (AY153/1.971)*100, TRUE, "NA")</f>
        <v>6.9355657026889892</v>
      </c>
      <c r="BE153" cm="1">
        <f t="array" ref="BE153">_xlfn.IFS(AX153="NA", "NA", BB153="NR", "NA", BB153="SD", AX153, BB153="SE", AX153*(SQRT(R153)), BB153="SEM", AX153*(SQRT(R153)), TRUE, "NA")</f>
        <v>25.009290273816248</v>
      </c>
      <c r="BF153" cm="1">
        <f t="array" ref="BF153">_xlfn.IFS(BE153="NA", "NA",BA153="Direct rLV % whole brain", BE153, BA153="Indirect rLV % whole brain", BE153, BA153="Direct rLV % hemisphere", BE153/2, BA153="Indirect rLV % hemisphere", BE153/2, AND(F153="Mouse", BA153="mm3"), (BE153/508.91)*100, AND(F153="Rat", BA153="mm3"), (BE153/1971)*100, AND(F153="Mouse", BA153="ul"), (BE153/508.91)*100, AND(F153="Rat", BA153="ul"), (BE153/1971)*100,  AND(F153="Mouse", BA153="nl"), (BE153/508910)*100, AND(F153="Rat", BA153="nl"), (BE153/1971000)*100, AND(F153="Mouse", BA153="cm3"), (BE153/0.50891)*100, AND(F153="Rat", BA153="cm3"), (BE153/1.971)*100, AND(F153="Mouse", BA153="mL"), (BE153/0.50891)*100, AND(F153="Rat", BA153="mL"), (BE153/1.971)*100, TRUE, "NA")</f>
        <v>1.2688630275908803</v>
      </c>
      <c r="BG153" cm="1">
        <f t="array" ref="BG153">_xlfn.IFS(AZ153="NA", "NA", BB153="NR", "NA", BB153="SD", AZ153, BB153="SE", AZ153*(SQRT(R153)), BB153="SEM", AZ153*(SQRT(R153)), TRUE, "NA")</f>
        <v>42.229203165581986</v>
      </c>
      <c r="BH153" s="32" t="s">
        <v>154</v>
      </c>
      <c r="BI153" s="31" t="s">
        <v>154</v>
      </c>
      <c r="BJ153" s="31" t="s">
        <v>154</v>
      </c>
    </row>
    <row r="154" spans="1:63" s="31" customFormat="1" x14ac:dyDescent="0.3">
      <c r="A154" s="31" t="s">
        <v>1070</v>
      </c>
      <c r="B154" s="31" t="s">
        <v>1069</v>
      </c>
      <c r="C154" s="31">
        <v>2015</v>
      </c>
      <c r="D154" s="31" t="s">
        <v>1071</v>
      </c>
      <c r="E154" s="31" t="s">
        <v>678</v>
      </c>
      <c r="F154" s="31" t="s">
        <v>23</v>
      </c>
      <c r="G154" s="31" t="s">
        <v>11</v>
      </c>
      <c r="H154" s="31" t="s">
        <v>34</v>
      </c>
      <c r="I154" s="31" t="s">
        <v>12</v>
      </c>
      <c r="J154" s="31" t="s">
        <v>8</v>
      </c>
      <c r="K154" s="31" t="s">
        <v>9</v>
      </c>
      <c r="L154" s="31" t="s">
        <v>9</v>
      </c>
      <c r="M154" s="31" t="s">
        <v>9</v>
      </c>
      <c r="N154" s="31">
        <v>200</v>
      </c>
      <c r="O154" s="31">
        <f t="shared" si="23"/>
        <v>225</v>
      </c>
      <c r="P154" s="31">
        <v>250</v>
      </c>
      <c r="Q154" s="31">
        <v>1</v>
      </c>
      <c r="R154" s="31">
        <v>6</v>
      </c>
      <c r="S154" s="31">
        <v>2</v>
      </c>
      <c r="T154" s="31">
        <v>6</v>
      </c>
      <c r="U154" s="32" t="s">
        <v>9</v>
      </c>
      <c r="V154" s="31" t="s">
        <v>8</v>
      </c>
      <c r="W154" s="31" t="s">
        <v>8</v>
      </c>
      <c r="X154" s="31" t="s">
        <v>9</v>
      </c>
      <c r="Y154" s="31" t="s">
        <v>8</v>
      </c>
      <c r="Z154" s="31" t="s">
        <v>8</v>
      </c>
      <c r="AA154" s="31" t="s">
        <v>640</v>
      </c>
      <c r="AB154" s="31" t="s">
        <v>636</v>
      </c>
      <c r="AC154" s="31" t="s">
        <v>9</v>
      </c>
      <c r="AD154" s="31" t="s">
        <v>9</v>
      </c>
      <c r="AE154" s="31">
        <v>0</v>
      </c>
      <c r="AF154" s="31">
        <v>0.5</v>
      </c>
      <c r="AG154" s="31" t="s">
        <v>580</v>
      </c>
      <c r="AH154" s="31">
        <v>6</v>
      </c>
      <c r="AI154" cm="1">
        <f t="array" ref="AI154">_xlfn.IFS(AF154="NR", "NA", AG154="NR", "NA", AG154="NA","NA", AND(AG154="mg/ml", AH154&lt;&gt;"NR"), ((AF154/2492)*AH154*1000000), AND(AG154="mol/L", AH154&lt;&gt;"NR"), AF154*AH154*1000000, AG154="nmol", AF154*1000, AND(AG154="nmol/uL", AH154&lt;&gt;"NR"), AF154*AH154*1000, AG154="pg", AF154/2492, AG154="pmol", AF154, AND(AG154="pmol/uL", AH154&lt;&gt;"NR"), AF154*AH154, AG154="ug", AF154/2492*1000000, AND(AG154="ug/mL", AH154&lt;&gt;"NR"), (AF154/1000*AH154)/2492*1000000, AND(AG154="ug/uL", AH154&lt;&gt;"NR"), (AF154*AH154)/2492*1000000, AND(AG154="umol/L", AH154&lt;&gt;"NR"), AH154*AF154, TRUE, "NA")</f>
        <v>1203.852327447833</v>
      </c>
      <c r="AJ154" s="31">
        <v>12</v>
      </c>
      <c r="AK154" s="31">
        <v>3</v>
      </c>
      <c r="AL154" s="31" t="s">
        <v>9</v>
      </c>
      <c r="AM154" s="31" t="s">
        <v>8</v>
      </c>
      <c r="AN154" s="31" t="s">
        <v>9</v>
      </c>
      <c r="AO154" s="32" t="s">
        <v>1072</v>
      </c>
      <c r="AP154" t="s">
        <v>1228</v>
      </c>
      <c r="AQ154" s="31">
        <v>168</v>
      </c>
      <c r="AR154" s="31" t="s">
        <v>103</v>
      </c>
      <c r="AS154" s="32">
        <v>792</v>
      </c>
      <c r="AT154" s="31" t="s">
        <v>271</v>
      </c>
      <c r="AU154" s="31" t="s">
        <v>652</v>
      </c>
      <c r="AV154" s="31" t="s">
        <v>674</v>
      </c>
      <c r="AW154" s="31">
        <v>132.69999999999999</v>
      </c>
      <c r="AX154" s="31">
        <v>10.210000000000001</v>
      </c>
      <c r="AY154" s="31">
        <v>142</v>
      </c>
      <c r="AZ154" s="31">
        <v>10.82</v>
      </c>
      <c r="BA154" s="31" t="s">
        <v>656</v>
      </c>
      <c r="BB154" s="31" t="s">
        <v>123</v>
      </c>
      <c r="BC154" cm="1">
        <f t="array" ref="BC154">_xlfn.IFS(BA154="Direct rLV % whole brain", AW154, BA154="Indirect rLV % whole brain", AW154, BA154="Direct rLV % hemisphere", AW154/2, BA154="Indirect rLV % hemisphere", AW154/2, AND(F154="Mouse", BA154="mm3"), (AW154/508.91)*100, AND(F154="Rat", BA154="mm3"), (AW154/1971)*100, AND(F154="Mouse", BA154="ul"), (AW154/508.91)*100, AND(F154="Rat", BA154="ul"), (AW154/1971)*100,  AND(F154="Mouse", BA154="nl"), (AW154/508910)*100, AND(F154="Rat", BA154="nl"), (AW154/1971000)*100, AND(F154="Mouse", BA154="cm3"), (AW154/0.50891)*100, AND(F154="Rat", BA154="cm3"), (AW154/1.971)*100, AND(F154="Mouse", BA154="mL"), (AW154/0.50891)*100, AND(F154="Rat", BA154="mL"), (AW154/1.971)*100, TRUE, "NA")</f>
        <v>6.7326230339928959</v>
      </c>
      <c r="BD154" cm="1">
        <f t="array" ref="BD154">_xlfn.IFS(AZ154="NA", "NA",BA154="Direct rLV % whole brain", AY154, BA154="Indirect rLV % whole brain", AY154, BA154="Direct rLV % hemisphere", AY154/2, BA154="Indirect rLV % hemisphere", AY154/2, AND(F154="Mouse", BA154="mm3"), (AY154/508.91)*100, AND(F154="Rat", BA154="mm3"), (AY154/1971)*100, AND(F154="Mouse", BA154="ul"), (AY154/508.91)*100, AND(F154="Rat", BA154="ul"), (AY154/1971)*100,  AND(F154="Mouse", BA154="nl"), (AY154/508910)*100, AND(F154="Rat", BA154="nl"), (AY154/1971000)*100, AND(F154="Mouse", BA154="cm3"), (AY154/0.50891)*100, AND(F154="Rat", BA154="cm3"), (AY154/1.971)*100, AND(F154="Mouse", BA154="mL"), (AY154/0.50891)*100, AND(F154="Rat", BA154="mL"), (AY154/1.971)*100, TRUE, "NA")</f>
        <v>7.2044647387113141</v>
      </c>
      <c r="BE154" cm="1">
        <f t="array" ref="BE154">_xlfn.IFS(AX154="NA", "NA", BB154="NR", "NA", BB154="SD", AX154, BB154="SE", AX154*(SQRT(R154)), BB154="SEM", AX154*(SQRT(R154)), TRUE, "NA")</f>
        <v>25.009290273816248</v>
      </c>
      <c r="BF154" cm="1">
        <f t="array" ref="BF154">_xlfn.IFS(BE154="NA", "NA",BA154="Direct rLV % whole brain", BE154, BA154="Indirect rLV % whole brain", BE154, BA154="Direct rLV % hemisphere", BE154/2, BA154="Indirect rLV % hemisphere", BE154/2, AND(F154="Mouse", BA154="mm3"), (BE154/508.91)*100, AND(F154="Rat", BA154="mm3"), (BE154/1971)*100, AND(F154="Mouse", BA154="ul"), (BE154/508.91)*100, AND(F154="Rat", BA154="ul"), (BE154/1971)*100,  AND(F154="Mouse", BA154="nl"), (BE154/508910)*100, AND(F154="Rat", BA154="nl"), (BE154/1971000)*100, AND(F154="Mouse", BA154="cm3"), (BE154/0.50891)*100, AND(F154="Rat", BA154="cm3"), (BE154/1.971)*100, AND(F154="Mouse", BA154="mL"), (BE154/0.50891)*100, AND(F154="Rat", BA154="mL"), (BE154/1.971)*100, TRUE, "NA")</f>
        <v>1.2688630275908803</v>
      </c>
      <c r="BG154" cm="1">
        <f t="array" ref="BG154">_xlfn.IFS(AZ154="NA", "NA", BB154="NR", "NA", BB154="SD", AZ154, BB154="SE", AZ154*(SQRT(R154)), BB154="SEM", AZ154*(SQRT(R154)), TRUE, "NA")</f>
        <v>26.503479016913985</v>
      </c>
      <c r="BH154" s="32" t="s">
        <v>154</v>
      </c>
      <c r="BI154" s="31" t="s">
        <v>154</v>
      </c>
      <c r="BJ154" s="31" t="s">
        <v>154</v>
      </c>
    </row>
    <row r="155" spans="1:63" x14ac:dyDescent="0.3">
      <c r="A155" t="s">
        <v>1073</v>
      </c>
      <c r="B155" t="s">
        <v>1069</v>
      </c>
      <c r="C155">
        <v>2013</v>
      </c>
      <c r="D155" t="s">
        <v>1074</v>
      </c>
      <c r="E155" t="s">
        <v>647</v>
      </c>
      <c r="F155" t="s">
        <v>23</v>
      </c>
      <c r="G155" t="s">
        <v>11</v>
      </c>
      <c r="H155" t="s">
        <v>34</v>
      </c>
      <c r="I155" t="s">
        <v>12</v>
      </c>
      <c r="J155" t="s">
        <v>8</v>
      </c>
      <c r="K155" t="s">
        <v>9</v>
      </c>
      <c r="L155" t="s">
        <v>9</v>
      </c>
      <c r="M155" t="s">
        <v>9</v>
      </c>
      <c r="N155">
        <v>200</v>
      </c>
      <c r="O155">
        <f t="shared" si="23"/>
        <v>225</v>
      </c>
      <c r="P155">
        <v>250</v>
      </c>
      <c r="Q155">
        <v>1</v>
      </c>
      <c r="R155">
        <v>15</v>
      </c>
      <c r="S155">
        <v>1</v>
      </c>
      <c r="T155">
        <v>15</v>
      </c>
      <c r="U155" s="18" t="s">
        <v>9</v>
      </c>
      <c r="V155" t="s">
        <v>8</v>
      </c>
      <c r="W155" t="s">
        <v>8</v>
      </c>
      <c r="X155" t="s">
        <v>9</v>
      </c>
      <c r="Y155" t="s">
        <v>8</v>
      </c>
      <c r="Z155" t="s">
        <v>8</v>
      </c>
      <c r="AA155" t="s">
        <v>640</v>
      </c>
      <c r="AB155" t="s">
        <v>636</v>
      </c>
      <c r="AC155" t="s">
        <v>9</v>
      </c>
      <c r="AD155" t="s">
        <v>9</v>
      </c>
      <c r="AE155">
        <v>0</v>
      </c>
      <c r="AF155">
        <v>0.5</v>
      </c>
      <c r="AG155" t="s">
        <v>580</v>
      </c>
      <c r="AH155">
        <v>6</v>
      </c>
      <c r="AI155" cm="1">
        <f t="array" ref="AI155">_xlfn.IFS(AF155="NR", "NA", AG155="NR", "NA", AG155="NA","NA", AND(AG155="mg/ml", AH155&lt;&gt;"NR"), ((AF155/2492)*AH155*1000000), AND(AG155="mol/L", AH155&lt;&gt;"NR"), AF155*AH155*1000000, AG155="nmol", AF155*1000, AND(AG155="nmol/uL", AH155&lt;&gt;"NR"), AF155*AH155*1000, AG155="pg", AF155/2492, AG155="pmol", AF155, AND(AG155="pmol/uL", AH155&lt;&gt;"NR"), AF155*AH155, AG155="ug", AF155/2492*1000000, AND(AG155="ug/mL", AH155&lt;&gt;"NR"), (AF155/1000*AH155)/2492*1000000, AND(AG155="ug/uL", AH155&lt;&gt;"NR"), (AF155*AH155)/2492*1000000, AND(AG155="umol/L", AH155&lt;&gt;"NR"), AH155*AF155, TRUE, "NA")</f>
        <v>1203.852327447833</v>
      </c>
      <c r="AJ155">
        <v>12</v>
      </c>
      <c r="AK155">
        <v>3</v>
      </c>
      <c r="AL155" t="s">
        <v>9</v>
      </c>
      <c r="AM155" t="s">
        <v>8</v>
      </c>
      <c r="AN155" t="s">
        <v>9</v>
      </c>
      <c r="AO155" s="18" t="s">
        <v>237</v>
      </c>
      <c r="AP155" t="s">
        <v>1228</v>
      </c>
      <c r="AQ155">
        <v>168</v>
      </c>
      <c r="AR155" t="s">
        <v>103</v>
      </c>
      <c r="AS155" s="18">
        <v>792</v>
      </c>
      <c r="AT155" t="s">
        <v>271</v>
      </c>
      <c r="AU155" t="s">
        <v>652</v>
      </c>
      <c r="AV155" t="s">
        <v>674</v>
      </c>
      <c r="AW155">
        <v>109.3</v>
      </c>
      <c r="AX155">
        <v>12.6</v>
      </c>
      <c r="AY155">
        <v>120.1</v>
      </c>
      <c r="AZ155">
        <v>13.8</v>
      </c>
      <c r="BA155" t="s">
        <v>656</v>
      </c>
      <c r="BB155" t="s">
        <v>123</v>
      </c>
      <c r="BC155" cm="1">
        <f t="array" ref="BC155">_xlfn.IFS(BA155="Direct rLV % whole brain", AW155, BA155="Indirect rLV % whole brain", AW155, BA155="Direct rLV % hemisphere", AW155/2, BA155="Indirect rLV % hemisphere", AW155/2, AND(F155="Mouse", BA155="mm3"), (AW155/508.91)*100, AND(F155="Rat", BA155="mm3"), (AW155/1971)*100, AND(F155="Mouse", BA155="ul"), (AW155/508.91)*100, AND(F155="Rat", BA155="ul"), (AW155/1971)*100,  AND(F155="Mouse", BA155="nl"), (AW155/508910)*100, AND(F155="Rat", BA155="nl"), (AW155/1971000)*100, AND(F155="Mouse", BA155="cm3"), (AW155/0.50891)*100, AND(F155="Rat", BA155="cm3"), (AW155/1.971)*100, AND(F155="Mouse", BA155="mL"), (AW155/0.50891)*100, AND(F155="Rat", BA155="mL"), (AW155/1.971)*100, TRUE, "NA")</f>
        <v>5.54540842212075</v>
      </c>
      <c r="BD155" cm="1">
        <f t="array" ref="BD155">_xlfn.IFS(AZ155="NA", "NA",BA155="Direct rLV % whole brain", AY155, BA155="Indirect rLV % whole brain", AY155, BA155="Direct rLV % hemisphere", AY155/2, BA155="Indirect rLV % hemisphere", AY155/2, AND(F155="Mouse", BA155="mm3"), (AY155/508.91)*100, AND(F155="Rat", BA155="mm3"), (AY155/1971)*100, AND(F155="Mouse", BA155="ul"), (AY155/508.91)*100, AND(F155="Rat", BA155="ul"), (AY155/1971)*100,  AND(F155="Mouse", BA155="nl"), (AY155/508910)*100, AND(F155="Rat", BA155="nl"), (AY155/1971000)*100, AND(F155="Mouse", BA155="cm3"), (AY155/0.50891)*100, AND(F155="Rat", BA155="cm3"), (AY155/1.971)*100, AND(F155="Mouse", BA155="mL"), (AY155/0.50891)*100, AND(F155="Rat", BA155="mL"), (AY155/1.971)*100, TRUE, "NA")</f>
        <v>6.0933536276002025</v>
      </c>
      <c r="BE155" cm="1">
        <f t="array" ref="BE155">_xlfn.IFS(AX155="NA", "NA", BB155="NR", "NA", BB155="SD", AX155, BB155="SE", AX155*(SQRT(R155)), BB155="SEM", AX155*(SQRT(R155)), TRUE, "NA")</f>
        <v>48.799590162213455</v>
      </c>
      <c r="BF155" cm="1">
        <f t="array" ref="BF155">_xlfn.IFS(BE155="NA", "NA",BA155="Direct rLV % whole brain", BE155, BA155="Indirect rLV % whole brain", BE155, BA155="Direct rLV % hemisphere", BE155/2, BA155="Indirect rLV % hemisphere", BE155/2, AND(F155="Mouse", BA155="mm3"), (BE155/508.91)*100, AND(F155="Rat", BA155="mm3"), (BE155/1971)*100, AND(F155="Mouse", BA155="ul"), (BE155/508.91)*100, AND(F155="Rat", BA155="ul"), (BE155/1971)*100,  AND(F155="Mouse", BA155="nl"), (BE155/508910)*100, AND(F155="Rat", BA155="nl"), (BE155/1971000)*100, AND(F155="Mouse", BA155="cm3"), (BE155/0.50891)*100, AND(F155="Rat", BA155="cm3"), (BE155/1.971)*100, AND(F155="Mouse", BA155="mL"), (BE155/0.50891)*100, AND(F155="Rat", BA155="mL"), (BE155/1.971)*100, TRUE, "NA")</f>
        <v>2.4758797646988056</v>
      </c>
      <c r="BG155" cm="1">
        <f t="array" ref="BG155">_xlfn.IFS(AZ155="NA", "NA", BB155="NR", "NA", BB155="SD", AZ155, BB155="SE", AZ155*(SQRT(R155)), BB155="SEM", AZ155*(SQRT(R155)), TRUE, "NA")</f>
        <v>53.447170177662358</v>
      </c>
      <c r="BH155" s="18" t="s">
        <v>154</v>
      </c>
      <c r="BI155" t="s">
        <v>154</v>
      </c>
      <c r="BJ155" t="s">
        <v>154</v>
      </c>
    </row>
    <row r="156" spans="1:63" s="31" customFormat="1" x14ac:dyDescent="0.3">
      <c r="A156" s="31" t="s">
        <v>1075</v>
      </c>
      <c r="B156" s="31" t="s">
        <v>644</v>
      </c>
      <c r="C156" s="31">
        <v>2014</v>
      </c>
      <c r="D156" s="31" t="s">
        <v>1076</v>
      </c>
      <c r="E156" s="31" t="s">
        <v>647</v>
      </c>
      <c r="F156" s="31" t="s">
        <v>23</v>
      </c>
      <c r="G156" s="31" t="s">
        <v>11</v>
      </c>
      <c r="H156" s="31" t="s">
        <v>34</v>
      </c>
      <c r="I156" s="31" t="s">
        <v>12</v>
      </c>
      <c r="J156" s="31" t="s">
        <v>8</v>
      </c>
      <c r="K156" s="31" t="s">
        <v>9</v>
      </c>
      <c r="L156" s="31" t="s">
        <v>9</v>
      </c>
      <c r="M156" s="31" t="s">
        <v>9</v>
      </c>
      <c r="N156" s="31">
        <v>300</v>
      </c>
      <c r="O156" s="31">
        <f t="shared" si="23"/>
        <v>330</v>
      </c>
      <c r="P156" s="31">
        <v>360</v>
      </c>
      <c r="Q156" s="31">
        <v>2</v>
      </c>
      <c r="R156" s="31">
        <v>14</v>
      </c>
      <c r="S156" s="31" t="s">
        <v>8</v>
      </c>
      <c r="T156" s="31" t="s">
        <v>8</v>
      </c>
      <c r="U156" s="32" t="s">
        <v>71</v>
      </c>
      <c r="V156" s="31" t="s">
        <v>288</v>
      </c>
      <c r="W156" s="31" t="s">
        <v>68</v>
      </c>
      <c r="X156" s="31" t="s">
        <v>12</v>
      </c>
      <c r="Y156" s="31" t="s">
        <v>8</v>
      </c>
      <c r="Z156" s="31" t="s">
        <v>8</v>
      </c>
      <c r="AA156" s="31" t="s">
        <v>648</v>
      </c>
      <c r="AB156" s="31" t="s">
        <v>636</v>
      </c>
      <c r="AC156" s="31" t="s">
        <v>153</v>
      </c>
      <c r="AD156" s="31" t="s">
        <v>610</v>
      </c>
      <c r="AE156" s="31">
        <v>120</v>
      </c>
      <c r="AF156" s="31">
        <v>40</v>
      </c>
      <c r="AG156" s="31" t="s">
        <v>650</v>
      </c>
      <c r="AH156" s="31">
        <v>2</v>
      </c>
      <c r="AI156" cm="1">
        <f t="array" ref="AI156">_xlfn.IFS(AF156="NR", "NA", AG156="NR", "NA", AG156="NA","NA", AND(AG156="mg/ml", AH156&lt;&gt;"NR"), ((AF156/2492)*AH156*1000000), AND(AG156="mol/L", AH156&lt;&gt;"NR"), AF156*AH156*1000000, AG156="nmol", AF156*1000, AND(AG156="nmol/uL", AH156&lt;&gt;"NR"), AF156*AH156*1000, AG156="pg", AF156/2492, AG156="pmol", AF156, AND(AG156="pmol/uL", AH156&lt;&gt;"NR"), AF156*AH156, AG156="ug", AF156/2492*1000000, AND(AG156="ug/mL", AH156&lt;&gt;"NR"), (AF156/1000*AH156)/2492*1000000, AND(AG156="ug/uL", AH156&lt;&gt;"NR"), (AF156*AH156)/2492*1000000, AND(AG156="umol/L", AH156&lt;&gt;"NR"), AH156*AF156, TRUE, "NA")</f>
        <v>40</v>
      </c>
      <c r="AJ156" s="31">
        <v>10</v>
      </c>
      <c r="AK156" s="31">
        <v>1</v>
      </c>
      <c r="AL156" s="31" t="s">
        <v>771</v>
      </c>
      <c r="AM156" s="31" t="s">
        <v>8</v>
      </c>
      <c r="AN156" s="31" t="s">
        <v>9</v>
      </c>
      <c r="AO156" s="32" t="s">
        <v>12</v>
      </c>
      <c r="AP156" s="31" t="s">
        <v>8</v>
      </c>
      <c r="AQ156" s="31" t="s">
        <v>8</v>
      </c>
      <c r="AR156" s="31" t="s">
        <v>8</v>
      </c>
      <c r="AS156" s="32">
        <v>168</v>
      </c>
      <c r="AT156" s="31" t="s">
        <v>271</v>
      </c>
      <c r="AU156" s="31" t="s">
        <v>1243</v>
      </c>
      <c r="AV156" s="31" t="s">
        <v>8</v>
      </c>
      <c r="AW156" s="31">
        <f>AVERAGE(3.38,12.74,33.28,25.74,30.94,27.3,66.05,72.82,73.86,73.34,94.14,93.88,123.01,168.79)</f>
        <v>64.233571428571423</v>
      </c>
      <c r="AX156" s="31">
        <f>_xlfn.STDEV.S(3.38,12.74,33.28,25.74,30.94,27.3,66.05,72.82,73.86,73.34,94.14,93.88,123.01,168.79)</f>
        <v>46.143435337274951</v>
      </c>
      <c r="AY156" s="31" t="s">
        <v>8</v>
      </c>
      <c r="AZ156" s="31" t="s">
        <v>8</v>
      </c>
      <c r="BA156" s="31" t="s">
        <v>656</v>
      </c>
      <c r="BB156" s="31" t="s">
        <v>122</v>
      </c>
      <c r="BC156" cm="1">
        <f t="array" ref="BC156">_xlfn.IFS(BA156="Direct rLV % whole brain", AW156, BA156="Indirect rLV % whole brain", AW156, BA156="Direct rLV % hemisphere", AW156/2, BA156="Indirect rLV % hemisphere", AW156/2, AND(F156="Mouse", BA156="mm3"), (AW156/508.91)*100, AND(F156="Rat", BA156="mm3"), (AW156/1971)*100, AND(F156="Mouse", BA156="ul"), (AW156/508.91)*100, AND(F156="Rat", BA156="ul"), (AW156/1971)*100,  AND(F156="Mouse", BA156="nl"), (AW156/508910)*100, AND(F156="Rat", BA156="nl"), (AW156/1971000)*100, AND(F156="Mouse", BA156="cm3"), (AW156/0.50891)*100, AND(F156="Rat", BA156="cm3"), (AW156/1.971)*100, AND(F156="Mouse", BA156="mL"), (AW156/0.50891)*100, AND(F156="Rat", BA156="mL"), (AW156/1.971)*100, TRUE, "NA")</f>
        <v>3.2589331013988545</v>
      </c>
      <c r="BD156" t="str" cm="1">
        <f t="array" ref="BD156">_xlfn.IFS(AZ156="NA", "NA",BA156="Direct rLV % whole brain", AY156, BA156="Indirect rLV % whole brain", AY156, BA156="Direct rLV % hemisphere", AY156/2, BA156="Indirect rLV % hemisphere", AY156/2, AND(F156="Mouse", BA156="mm3"), (AY156/508.91)*100, AND(F156="Rat", BA156="mm3"), (AY156/1971)*100, AND(F156="Mouse", BA156="ul"), (AY156/508.91)*100, AND(F156="Rat", BA156="ul"), (AY156/1971)*100,  AND(F156="Mouse", BA156="nl"), (AY156/508910)*100, AND(F156="Rat", BA156="nl"), (AY156/1971000)*100, AND(F156="Mouse", BA156="cm3"), (AY156/0.50891)*100, AND(F156="Rat", BA156="cm3"), (AY156/1.971)*100, AND(F156="Mouse", BA156="mL"), (AY156/0.50891)*100, AND(F156="Rat", BA156="mL"), (AY156/1.971)*100, TRUE, "NA")</f>
        <v>NA</v>
      </c>
      <c r="BE156" cm="1">
        <f t="array" ref="BE156">_xlfn.IFS(AX156="NA", "NA", BB156="NR", "NA", BB156="SD", AX156, BB156="SE", AX156*(SQRT(R156)), BB156="SEM", AX156*(SQRT(R156)), TRUE, "NA")</f>
        <v>46.143435337274951</v>
      </c>
      <c r="BF156" cm="1">
        <f t="array" ref="BF156">_xlfn.IFS(BE156="NA", "NA",BA156="Direct rLV % whole brain", BE156, BA156="Indirect rLV % whole brain", BE156, BA156="Direct rLV % hemisphere", BE156/2, BA156="Indirect rLV % hemisphere", BE156/2, AND(F156="Mouse", BA156="mm3"), (BE156/508.91)*100, AND(F156="Rat", BA156="mm3"), (BE156/1971)*100, AND(F156="Mouse", BA156="ul"), (BE156/508.91)*100, AND(F156="Rat", BA156="ul"), (BE156/1971)*100,  AND(F156="Mouse", BA156="nl"), (BE156/508910)*100, AND(F156="Rat", BA156="nl"), (BE156/1971000)*100, AND(F156="Mouse", BA156="cm3"), (BE156/0.50891)*100, AND(F156="Rat", BA156="cm3"), (BE156/1.971)*100, AND(F156="Mouse", BA156="mL"), (BE156/0.50891)*100, AND(F156="Rat", BA156="mL"), (BE156/1.971)*100, TRUE, "NA")</f>
        <v>2.3411179775380493</v>
      </c>
      <c r="BG156" t="str" cm="1">
        <f t="array" ref="BG156">_xlfn.IFS(AZ156="NA", "NA", BB156="NR", "NA", BB156="SD", AZ156, BB156="SE", AZ156*(SQRT(R156)), BB156="SEM", AZ156*(SQRT(R156)), TRUE, "NA")</f>
        <v>NA</v>
      </c>
      <c r="BH156" s="32" t="s">
        <v>153</v>
      </c>
      <c r="BI156" s="31" t="s">
        <v>154</v>
      </c>
      <c r="BJ156" s="31" t="s">
        <v>153</v>
      </c>
      <c r="BK156" s="31" t="s">
        <v>1077</v>
      </c>
    </row>
    <row r="157" spans="1:63" x14ac:dyDescent="0.3">
      <c r="A157" t="s">
        <v>1079</v>
      </c>
      <c r="B157" t="s">
        <v>1078</v>
      </c>
      <c r="C157">
        <v>2001</v>
      </c>
      <c r="D157" t="s">
        <v>1080</v>
      </c>
      <c r="E157" t="s">
        <v>647</v>
      </c>
      <c r="F157" t="s">
        <v>23</v>
      </c>
      <c r="G157" t="s">
        <v>10</v>
      </c>
      <c r="H157" t="s">
        <v>34</v>
      </c>
      <c r="I157" t="s">
        <v>12</v>
      </c>
      <c r="J157" t="s">
        <v>8</v>
      </c>
      <c r="K157" t="s">
        <v>9</v>
      </c>
      <c r="L157" t="s">
        <v>9</v>
      </c>
      <c r="M157" t="s">
        <v>9</v>
      </c>
      <c r="N157">
        <v>290</v>
      </c>
      <c r="O157">
        <f t="shared" ref="O157" si="24">AVERAGE(N157,P157)</f>
        <v>305</v>
      </c>
      <c r="P157">
        <v>320</v>
      </c>
      <c r="Q157">
        <v>1</v>
      </c>
      <c r="R157" t="s">
        <v>9</v>
      </c>
      <c r="S157">
        <v>1</v>
      </c>
      <c r="T157" t="s">
        <v>9</v>
      </c>
      <c r="U157" s="18" t="s">
        <v>66</v>
      </c>
      <c r="V157" t="s">
        <v>96</v>
      </c>
      <c r="W157" t="s">
        <v>8</v>
      </c>
      <c r="X157" t="s">
        <v>66</v>
      </c>
      <c r="Y157" t="s">
        <v>96</v>
      </c>
      <c r="Z157" t="s">
        <v>8</v>
      </c>
      <c r="AA157" t="s">
        <v>640</v>
      </c>
      <c r="AB157" t="s">
        <v>636</v>
      </c>
      <c r="AC157" t="s">
        <v>153</v>
      </c>
      <c r="AD157" t="s">
        <v>634</v>
      </c>
      <c r="AE157">
        <v>0</v>
      </c>
      <c r="AF157">
        <v>60</v>
      </c>
      <c r="AG157" t="s">
        <v>650</v>
      </c>
      <c r="AH157">
        <v>3</v>
      </c>
      <c r="AI157" cm="1">
        <f t="array" ref="AI157">_xlfn.IFS(AF157="NR", "NA", AG157="NR", "NA", AG157="NA","NA", AND(AG157="mg/ml", AH157&lt;&gt;"NR"), ((AF157/2492)*AH157*1000000), AND(AG157="mol/L", AH157&lt;&gt;"NR"), AF157*AH157*1000000, AG157="nmol", AF157*1000, AND(AG157="nmol/uL", AH157&lt;&gt;"NR"), AF157*AH157*1000, AG157="pg", AF157/2492, AG157="pmol", AF157, AND(AG157="pmol/uL", AH157&lt;&gt;"NR"), AF157*AH157, AG157="ug", AF157/2492*1000000, AND(AG157="ug/mL", AH157&lt;&gt;"NR"), (AF157/1000*AH157)/2492*1000000, AND(AG157="ug/uL", AH157&lt;&gt;"NR"), (AF157*AH157)/2492*1000000, AND(AG157="umol/L", AH157&lt;&gt;"NR"), AH157*AF157, TRUE, "NA")</f>
        <v>60</v>
      </c>
      <c r="AJ157">
        <v>1</v>
      </c>
      <c r="AK157">
        <v>1</v>
      </c>
      <c r="AL157" t="s">
        <v>9</v>
      </c>
      <c r="AM157" t="s">
        <v>8</v>
      </c>
      <c r="AN157" t="s">
        <v>9</v>
      </c>
      <c r="AO157" s="18" t="s">
        <v>280</v>
      </c>
      <c r="AP157" t="s">
        <v>1228</v>
      </c>
      <c r="AQ157">
        <v>360</v>
      </c>
      <c r="AR157" t="s">
        <v>103</v>
      </c>
      <c r="AS157" s="18">
        <v>1512</v>
      </c>
      <c r="AT157" t="s">
        <v>271</v>
      </c>
      <c r="AU157" t="s">
        <v>653</v>
      </c>
      <c r="AV157">
        <v>0.94</v>
      </c>
      <c r="AW157">
        <f>100-71.8</f>
        <v>28.200000000000003</v>
      </c>
      <c r="AX157">
        <v>16.3</v>
      </c>
      <c r="AY157">
        <f>100-72.2</f>
        <v>27.799999999999997</v>
      </c>
      <c r="AZ157">
        <v>9.1999999999999993</v>
      </c>
      <c r="BA157" t="s">
        <v>203</v>
      </c>
      <c r="BB157" t="s">
        <v>122</v>
      </c>
      <c r="BC157" cm="1">
        <f t="array" ref="BC157">_xlfn.IFS(BA157="Direct rLV % whole brain", AW157, BA157="Indirect rLV % whole brain", AW157, BA157="Direct rLV % hemisphere", AW157/2, BA157="Indirect rLV % hemisphere", AW157/2, AND(F157="Mouse", BA157="mm3"), (AW157/508.91)*100, AND(F157="Rat", BA157="mm3"), (AW157/1971)*100, AND(F157="Mouse", BA157="ul"), (AW157/508.91)*100, AND(F157="Rat", BA157="ul"), (AW157/1971)*100,  AND(F157="Mouse", BA157="nl"), (AW157/508910)*100, AND(F157="Rat", BA157="nl"), (AW157/1971000)*100, AND(F157="Mouse", BA157="cm3"), (AW157/0.50891)*100, AND(F157="Rat", BA157="cm3"), (AW157/1.971)*100, AND(F157="Mouse", BA157="mL"), (AW157/0.50891)*100, AND(F157="Rat", BA157="mL"), (AW157/1.971)*100, TRUE, "NA")</f>
        <v>14.100000000000001</v>
      </c>
      <c r="BD157" cm="1">
        <f t="array" ref="BD157">_xlfn.IFS(AZ157="NA", "NA",BA157="Direct rLV % whole brain", AY157, BA157="Indirect rLV % whole brain", AY157, BA157="Direct rLV % hemisphere", AY157/2, BA157="Indirect rLV % hemisphere", AY157/2, AND(F157="Mouse", BA157="mm3"), (AY157/508.91)*100, AND(F157="Rat", BA157="mm3"), (AY157/1971)*100, AND(F157="Mouse", BA157="ul"), (AY157/508.91)*100, AND(F157="Rat", BA157="ul"), (AY157/1971)*100,  AND(F157="Mouse", BA157="nl"), (AY157/508910)*100, AND(F157="Rat", BA157="nl"), (AY157/1971000)*100, AND(F157="Mouse", BA157="cm3"), (AY157/0.50891)*100, AND(F157="Rat", BA157="cm3"), (AY157/1.971)*100, AND(F157="Mouse", BA157="mL"), (AY157/0.50891)*100, AND(F157="Rat", BA157="mL"), (AY157/1.971)*100, TRUE, "NA")</f>
        <v>13.899999999999999</v>
      </c>
      <c r="BE157" cm="1">
        <f t="array" ref="BE157">_xlfn.IFS(AX157="NA", "NA", BB157="NR", "NA", BB157="SD", AX157, BB157="SE", AX157*(SQRT(R157)), BB157="SEM", AX157*(SQRT(R157)), TRUE, "NA")</f>
        <v>16.3</v>
      </c>
      <c r="BF157" cm="1">
        <f t="array" ref="BF157">_xlfn.IFS(BE157="NA", "NA",BA157="Direct rLV % whole brain", BE157, BA157="Indirect rLV % whole brain", BE157, BA157="Direct rLV % hemisphere", BE157/2, BA157="Indirect rLV % hemisphere", BE157/2, AND(F157="Mouse", BA157="mm3"), (BE157/508.91)*100, AND(F157="Rat", BA157="mm3"), (BE157/1971)*100, AND(F157="Mouse", BA157="ul"), (BE157/508.91)*100, AND(F157="Rat", BA157="ul"), (BE157/1971)*100,  AND(F157="Mouse", BA157="nl"), (BE157/508910)*100, AND(F157="Rat", BA157="nl"), (BE157/1971000)*100, AND(F157="Mouse", BA157="cm3"), (BE157/0.50891)*100, AND(F157="Rat", BA157="cm3"), (BE157/1.971)*100, AND(F157="Mouse", BA157="mL"), (BE157/0.50891)*100, AND(F157="Rat", BA157="mL"), (BE157/1.971)*100, TRUE, "NA")</f>
        <v>8.15</v>
      </c>
      <c r="BG157" cm="1">
        <f t="array" ref="BG157">_xlfn.IFS(AZ157="NA", "NA", BB157="NR", "NA", BB157="SD", AZ157, BB157="SE", AZ157*(SQRT(R157)), BB157="SEM", AZ157*(SQRT(R157)), TRUE, "NA")</f>
        <v>9.1999999999999993</v>
      </c>
      <c r="BH157" s="18" t="s">
        <v>154</v>
      </c>
      <c r="BI157" t="s">
        <v>154</v>
      </c>
      <c r="BJ157" t="s">
        <v>154</v>
      </c>
      <c r="BK157" s="36" t="s">
        <v>1081</v>
      </c>
    </row>
    <row r="158" spans="1:63" s="31" customFormat="1" x14ac:dyDescent="0.3">
      <c r="A158" s="31" t="s">
        <v>1082</v>
      </c>
      <c r="B158" s="31" t="s">
        <v>696</v>
      </c>
      <c r="C158" s="31">
        <v>2000</v>
      </c>
      <c r="D158" s="31" t="s">
        <v>1083</v>
      </c>
      <c r="E158" s="31" t="s">
        <v>647</v>
      </c>
      <c r="F158" s="31" t="s">
        <v>23</v>
      </c>
      <c r="G158" s="31" t="s">
        <v>11</v>
      </c>
      <c r="H158" s="31" t="s">
        <v>34</v>
      </c>
      <c r="I158" s="31" t="s">
        <v>12</v>
      </c>
      <c r="J158" s="31" t="s">
        <v>8</v>
      </c>
      <c r="K158" s="31" t="s">
        <v>9</v>
      </c>
      <c r="L158" s="31" t="s">
        <v>9</v>
      </c>
      <c r="M158" s="31" t="s">
        <v>9</v>
      </c>
      <c r="N158" s="31">
        <v>250</v>
      </c>
      <c r="O158" s="31">
        <f t="shared" ref="O158:O159" si="25">AVERAGE(N158,P158)</f>
        <v>275</v>
      </c>
      <c r="P158" s="31">
        <v>300</v>
      </c>
      <c r="Q158" s="31">
        <v>3</v>
      </c>
      <c r="R158" s="31">
        <v>11</v>
      </c>
      <c r="S158" s="31" t="s">
        <v>8</v>
      </c>
      <c r="T158" s="31" t="s">
        <v>8</v>
      </c>
      <c r="U158" s="32" t="s">
        <v>71</v>
      </c>
      <c r="V158" s="31" t="s">
        <v>98</v>
      </c>
      <c r="W158" s="31" t="s">
        <v>8</v>
      </c>
      <c r="X158" s="31" t="s">
        <v>12</v>
      </c>
      <c r="Y158" s="31" t="s">
        <v>8</v>
      </c>
      <c r="Z158" s="31" t="s">
        <v>8</v>
      </c>
      <c r="AA158" s="31" t="s">
        <v>648</v>
      </c>
      <c r="AB158" s="31" t="s">
        <v>636</v>
      </c>
      <c r="AC158" s="31" t="s">
        <v>153</v>
      </c>
      <c r="AD158" s="31" t="s">
        <v>610</v>
      </c>
      <c r="AE158" s="31">
        <v>24</v>
      </c>
      <c r="AF158" s="31">
        <v>120</v>
      </c>
      <c r="AG158" s="31" t="s">
        <v>650</v>
      </c>
      <c r="AH158" s="31">
        <v>6</v>
      </c>
      <c r="AI158" cm="1">
        <f t="array" ref="AI158">_xlfn.IFS(AF158="NR", "NA", AG158="NR", "NA", AG158="NA","NA", AND(AG158="mg/ml", AH158&lt;&gt;"NR"), ((AF158/2492)*AH158*1000000), AND(AG158="mol/L", AH158&lt;&gt;"NR"), AF158*AH158*1000000, AG158="nmol", AF158*1000, AND(AG158="nmol/uL", AH158&lt;&gt;"NR"), AF158*AH158*1000, AG158="pg", AF158/2492, AG158="pmol", AF158, AND(AG158="pmol/uL", AH158&lt;&gt;"NR"), AF158*AH158, AG158="ug", AF158/2492*1000000, AND(AG158="ug/mL", AH158&lt;&gt;"NR"), (AF158/1000*AH158)/2492*1000000, AND(AG158="ug/uL", AH158&lt;&gt;"NR"), (AF158*AH158)/2492*1000000, AND(AG158="umol/L", AH158&lt;&gt;"NR"), AH158*AF158, TRUE, "NA")</f>
        <v>120</v>
      </c>
      <c r="AJ158" s="31">
        <v>6</v>
      </c>
      <c r="AK158" s="31">
        <v>1</v>
      </c>
      <c r="AL158" s="31" t="s">
        <v>701</v>
      </c>
      <c r="AM158" s="31" t="s">
        <v>731</v>
      </c>
      <c r="AN158" s="31" t="s">
        <v>9</v>
      </c>
      <c r="AO158" s="32" t="s">
        <v>12</v>
      </c>
      <c r="AP158" s="31" t="s">
        <v>8</v>
      </c>
      <c r="AQ158" s="31" t="s">
        <v>8</v>
      </c>
      <c r="AR158" s="31" t="s">
        <v>8</v>
      </c>
      <c r="AS158" s="32" t="s">
        <v>9</v>
      </c>
      <c r="AT158" s="31" t="s">
        <v>271</v>
      </c>
      <c r="AU158" s="31" t="s">
        <v>652</v>
      </c>
      <c r="AV158" s="31" t="s">
        <v>8</v>
      </c>
      <c r="AW158" s="31">
        <v>65.89</v>
      </c>
      <c r="AX158" s="31">
        <v>14.64</v>
      </c>
      <c r="AY158" s="31" t="s">
        <v>8</v>
      </c>
      <c r="AZ158" s="31" t="s">
        <v>8</v>
      </c>
      <c r="BA158" s="31" t="s">
        <v>656</v>
      </c>
      <c r="BB158" s="31" t="s">
        <v>122</v>
      </c>
      <c r="BC158" cm="1">
        <f t="array" ref="BC158">_xlfn.IFS(BA158="Direct rLV % whole brain", AW158, BA158="Indirect rLV % whole brain", AW158, BA158="Direct rLV % hemisphere", AW158/2, BA158="Indirect rLV % hemisphere", AW158/2, AND(F158="Mouse", BA158="mm3"), (AW158/508.91)*100, AND(F158="Rat", BA158="mm3"), (AW158/1971)*100, AND(F158="Mouse", BA158="ul"), (AW158/508.91)*100, AND(F158="Rat", BA158="ul"), (AW158/1971)*100,  AND(F158="Mouse", BA158="nl"), (AW158/508910)*100, AND(F158="Rat", BA158="nl"), (AW158/1971000)*100, AND(F158="Mouse", BA158="cm3"), (AW158/0.50891)*100, AND(F158="Rat", BA158="cm3"), (AW158/1.971)*100, AND(F158="Mouse", BA158="mL"), (AW158/0.50891)*100, AND(F158="Rat", BA158="mL"), (AW158/1.971)*100, TRUE, "NA")</f>
        <v>3.3429731100963975</v>
      </c>
      <c r="BD158" t="str" cm="1">
        <f t="array" ref="BD158">_xlfn.IFS(AZ158="NA", "NA",BA158="Direct rLV % whole brain", AY158, BA158="Indirect rLV % whole brain", AY158, BA158="Direct rLV % hemisphere", AY158/2, BA158="Indirect rLV % hemisphere", AY158/2, AND(F158="Mouse", BA158="mm3"), (AY158/508.91)*100, AND(F158="Rat", BA158="mm3"), (AY158/1971)*100, AND(F158="Mouse", BA158="ul"), (AY158/508.91)*100, AND(F158="Rat", BA158="ul"), (AY158/1971)*100,  AND(F158="Mouse", BA158="nl"), (AY158/508910)*100, AND(F158="Rat", BA158="nl"), (AY158/1971000)*100, AND(F158="Mouse", BA158="cm3"), (AY158/0.50891)*100, AND(F158="Rat", BA158="cm3"), (AY158/1.971)*100, AND(F158="Mouse", BA158="mL"), (AY158/0.50891)*100, AND(F158="Rat", BA158="mL"), (AY158/1.971)*100, TRUE, "NA")</f>
        <v>NA</v>
      </c>
      <c r="BE158" cm="1">
        <f t="array" ref="BE158">_xlfn.IFS(AX158="NA", "NA", BB158="NR", "NA", BB158="SD", AX158, BB158="SE", AX158*(SQRT(R158)), BB158="SEM", AX158*(SQRT(R158)), TRUE, "NA")</f>
        <v>14.64</v>
      </c>
      <c r="BF158" cm="1">
        <f t="array" ref="BF158">_xlfn.IFS(BE158="NA", "NA",BA158="Direct rLV % whole brain", BE158, BA158="Indirect rLV % whole brain", BE158, BA158="Direct rLV % hemisphere", BE158/2, BA158="Indirect rLV % hemisphere", BE158/2, AND(F158="Mouse", BA158="mm3"), (BE158/508.91)*100, AND(F158="Rat", BA158="mm3"), (BE158/1971)*100, AND(F158="Mouse", BA158="ul"), (BE158/508.91)*100, AND(F158="Rat", BA158="ul"), (BE158/1971)*100,  AND(F158="Mouse", BA158="nl"), (BE158/508910)*100, AND(F158="Rat", BA158="nl"), (BE158/1971000)*100, AND(F158="Mouse", BA158="cm3"), (BE158/0.50891)*100, AND(F158="Rat", BA158="cm3"), (BE158/1.971)*100, AND(F158="Mouse", BA158="mL"), (BE158/0.50891)*100, AND(F158="Rat", BA158="mL"), (BE158/1.971)*100, TRUE, "NA")</f>
        <v>0.74277016742770174</v>
      </c>
      <c r="BG158" t="str" cm="1">
        <f t="array" ref="BG158">_xlfn.IFS(AZ158="NA", "NA", BB158="NR", "NA", BB158="SD", AZ158, BB158="SE", AZ158*(SQRT(R158)), BB158="SEM", AZ158*(SQRT(R158)), TRUE, "NA")</f>
        <v>NA</v>
      </c>
      <c r="BH158" s="32" t="s">
        <v>154</v>
      </c>
      <c r="BI158" s="31" t="s">
        <v>153</v>
      </c>
      <c r="BJ158" s="31" t="s">
        <v>154</v>
      </c>
      <c r="BK158" s="31" t="s">
        <v>1084</v>
      </c>
    </row>
    <row r="159" spans="1:63" s="31" customFormat="1" x14ac:dyDescent="0.3">
      <c r="A159" s="31" t="s">
        <v>1082</v>
      </c>
      <c r="B159" s="31" t="s">
        <v>696</v>
      </c>
      <c r="C159" s="31">
        <v>2000</v>
      </c>
      <c r="D159" s="31" t="s">
        <v>1083</v>
      </c>
      <c r="E159" s="31" t="s">
        <v>678</v>
      </c>
      <c r="F159" s="31" t="s">
        <v>23</v>
      </c>
      <c r="G159" s="31" t="s">
        <v>11</v>
      </c>
      <c r="H159" s="31" t="s">
        <v>34</v>
      </c>
      <c r="I159" s="31" t="s">
        <v>12</v>
      </c>
      <c r="J159" s="31" t="s">
        <v>8</v>
      </c>
      <c r="K159" s="31" t="s">
        <v>9</v>
      </c>
      <c r="L159" s="31" t="s">
        <v>9</v>
      </c>
      <c r="M159" s="31" t="s">
        <v>9</v>
      </c>
      <c r="N159" s="31">
        <v>250</v>
      </c>
      <c r="O159" s="31">
        <f t="shared" si="25"/>
        <v>275</v>
      </c>
      <c r="P159" s="31">
        <v>300</v>
      </c>
      <c r="Q159" s="31">
        <v>3</v>
      </c>
      <c r="R159" s="31">
        <v>4</v>
      </c>
      <c r="S159" s="31" t="s">
        <v>8</v>
      </c>
      <c r="T159" s="31" t="s">
        <v>8</v>
      </c>
      <c r="U159" s="32" t="s">
        <v>71</v>
      </c>
      <c r="V159" s="31" t="s">
        <v>98</v>
      </c>
      <c r="W159" s="31" t="s">
        <v>8</v>
      </c>
      <c r="X159" s="31" t="s">
        <v>71</v>
      </c>
      <c r="Y159" s="31" t="s">
        <v>98</v>
      </c>
      <c r="Z159" s="31" t="s">
        <v>8</v>
      </c>
      <c r="AA159" s="31" t="s">
        <v>648</v>
      </c>
      <c r="AB159" s="31" t="s">
        <v>636</v>
      </c>
      <c r="AC159" s="31" t="s">
        <v>153</v>
      </c>
      <c r="AD159" s="31" t="s">
        <v>634</v>
      </c>
      <c r="AE159" s="31">
        <v>24</v>
      </c>
      <c r="AF159" s="31">
        <v>500</v>
      </c>
      <c r="AG159" s="31" t="s">
        <v>650</v>
      </c>
      <c r="AH159" s="31">
        <v>6</v>
      </c>
      <c r="AI159" cm="1">
        <f t="array" ref="AI159">_xlfn.IFS(AF159="NR", "NA", AG159="NR", "NA", AG159="NA","NA", AND(AG159="mg/ml", AH159&lt;&gt;"NR"), ((AF159/2492)*AH159*1000000), AND(AG159="mol/L", AH159&lt;&gt;"NR"), AF159*AH159*1000000, AG159="nmol", AF159*1000, AND(AG159="nmol/uL", AH159&lt;&gt;"NR"), AF159*AH159*1000, AG159="pg", AF159/2492, AG159="pmol", AF159, AND(AG159="pmol/uL", AH159&lt;&gt;"NR"), AF159*AH159, AG159="ug", AF159/2492*1000000, AND(AG159="ug/mL", AH159&lt;&gt;"NR"), (AF159/1000*AH159)/2492*1000000, AND(AG159="ug/uL", AH159&lt;&gt;"NR"), (AF159*AH159)/2492*1000000, AND(AG159="umol/L", AH159&lt;&gt;"NR"), AH159*AF159, TRUE, "NA")</f>
        <v>500</v>
      </c>
      <c r="AJ159" s="31">
        <v>6</v>
      </c>
      <c r="AK159" s="31">
        <v>1</v>
      </c>
      <c r="AL159" s="31" t="s">
        <v>701</v>
      </c>
      <c r="AM159" s="31" t="s">
        <v>731</v>
      </c>
      <c r="AN159" s="31" t="s">
        <v>9</v>
      </c>
      <c r="AO159" s="32" t="s">
        <v>12</v>
      </c>
      <c r="AP159" s="31" t="s">
        <v>8</v>
      </c>
      <c r="AQ159" s="31" t="s">
        <v>8</v>
      </c>
      <c r="AR159" s="31" t="s">
        <v>8</v>
      </c>
      <c r="AS159" s="32" t="s">
        <v>9</v>
      </c>
      <c r="AT159" s="31" t="s">
        <v>271</v>
      </c>
      <c r="AU159" s="31" t="s">
        <v>652</v>
      </c>
      <c r="AV159" s="31" t="s">
        <v>8</v>
      </c>
      <c r="AW159" s="31">
        <v>75.37</v>
      </c>
      <c r="AX159" s="31">
        <v>10.49</v>
      </c>
      <c r="AY159" s="31" t="s">
        <v>8</v>
      </c>
      <c r="AZ159" s="31" t="s">
        <v>8</v>
      </c>
      <c r="BA159" s="31" t="s">
        <v>656</v>
      </c>
      <c r="BB159" s="31" t="s">
        <v>122</v>
      </c>
      <c r="BC159" cm="1">
        <f t="array" ref="BC159">_xlfn.IFS(BA159="Direct rLV % whole brain", AW159, BA159="Indirect rLV % whole brain", AW159, BA159="Direct rLV % hemisphere", AW159/2, BA159="Indirect rLV % hemisphere", AW159/2, AND(F159="Mouse", BA159="mm3"), (AW159/508.91)*100, AND(F159="Rat", BA159="mm3"), (AW159/1971)*100, AND(F159="Mouse", BA159="ul"), (AW159/508.91)*100, AND(F159="Rat", BA159="ul"), (AW159/1971)*100,  AND(F159="Mouse", BA159="nl"), (AW159/508910)*100, AND(F159="Rat", BA159="nl"), (AW159/1971000)*100, AND(F159="Mouse", BA159="cm3"), (AW159/0.50891)*100, AND(F159="Rat", BA159="cm3"), (AW159/1.971)*100, AND(F159="Mouse", BA159="mL"), (AW159/0.50891)*100, AND(F159="Rat", BA159="mL"), (AW159/1.971)*100, TRUE, "NA")</f>
        <v>3.8239472349061394</v>
      </c>
      <c r="BD159" t="str" cm="1">
        <f t="array" ref="BD159">_xlfn.IFS(AZ159="NA", "NA",BA159="Direct rLV % whole brain", AY159, BA159="Indirect rLV % whole brain", AY159, BA159="Direct rLV % hemisphere", AY159/2, BA159="Indirect rLV % hemisphere", AY159/2, AND(F159="Mouse", BA159="mm3"), (AY159/508.91)*100, AND(F159="Rat", BA159="mm3"), (AY159/1971)*100, AND(F159="Mouse", BA159="ul"), (AY159/508.91)*100, AND(F159="Rat", BA159="ul"), (AY159/1971)*100,  AND(F159="Mouse", BA159="nl"), (AY159/508910)*100, AND(F159="Rat", BA159="nl"), (AY159/1971000)*100, AND(F159="Mouse", BA159="cm3"), (AY159/0.50891)*100, AND(F159="Rat", BA159="cm3"), (AY159/1.971)*100, AND(F159="Mouse", BA159="mL"), (AY159/0.50891)*100, AND(F159="Rat", BA159="mL"), (AY159/1.971)*100, TRUE, "NA")</f>
        <v>NA</v>
      </c>
      <c r="BE159" cm="1">
        <f t="array" ref="BE159">_xlfn.IFS(AX159="NA", "NA", BB159="NR", "NA", BB159="SD", AX159, BB159="SE", AX159*(SQRT(R159)), BB159="SEM", AX159*(SQRT(R159)), TRUE, "NA")</f>
        <v>10.49</v>
      </c>
      <c r="BF159" cm="1">
        <f t="array" ref="BF159">_xlfn.IFS(BE159="NA", "NA",BA159="Direct rLV % whole brain", BE159, BA159="Indirect rLV % whole brain", BE159, BA159="Direct rLV % hemisphere", BE159/2, BA159="Indirect rLV % hemisphere", BE159/2, AND(F159="Mouse", BA159="mm3"), (BE159/508.91)*100, AND(F159="Rat", BA159="mm3"), (BE159/1971)*100, AND(F159="Mouse", BA159="ul"), (BE159/508.91)*100, AND(F159="Rat", BA159="ul"), (BE159/1971)*100,  AND(F159="Mouse", BA159="nl"), (BE159/508910)*100, AND(F159="Rat", BA159="nl"), (BE159/1971000)*100, AND(F159="Mouse", BA159="cm3"), (BE159/0.50891)*100, AND(F159="Rat", BA159="cm3"), (BE159/1.971)*100, AND(F159="Mouse", BA159="mL"), (BE159/0.50891)*100, AND(F159="Rat", BA159="mL"), (BE159/1.971)*100, TRUE, "NA")</f>
        <v>0.53221714865550485</v>
      </c>
      <c r="BG159" t="str" cm="1">
        <f t="array" ref="BG159">_xlfn.IFS(AZ159="NA", "NA", BB159="NR", "NA", BB159="SD", AZ159, BB159="SE", AZ159*(SQRT(R159)), BB159="SEM", AZ159*(SQRT(R159)), TRUE, "NA")</f>
        <v>NA</v>
      </c>
      <c r="BH159" s="32" t="s">
        <v>154</v>
      </c>
      <c r="BI159" s="31" t="s">
        <v>153</v>
      </c>
      <c r="BJ159" s="31" t="s">
        <v>154</v>
      </c>
      <c r="BK159" s="31" t="s">
        <v>1084</v>
      </c>
    </row>
    <row r="160" spans="1:63" x14ac:dyDescent="0.3">
      <c r="A160" t="s">
        <v>1086</v>
      </c>
      <c r="B160" t="s">
        <v>1085</v>
      </c>
      <c r="C160">
        <v>2017</v>
      </c>
      <c r="D160" t="s">
        <v>1087</v>
      </c>
      <c r="E160" t="s">
        <v>647</v>
      </c>
      <c r="F160" t="s">
        <v>23</v>
      </c>
      <c r="G160" t="s">
        <v>47</v>
      </c>
      <c r="H160" t="s">
        <v>34</v>
      </c>
      <c r="I160" t="s">
        <v>12</v>
      </c>
      <c r="J160" t="s">
        <v>8</v>
      </c>
      <c r="K160" t="s">
        <v>9</v>
      </c>
      <c r="L160" t="s">
        <v>9</v>
      </c>
      <c r="M160" t="s">
        <v>9</v>
      </c>
      <c r="N160">
        <v>200</v>
      </c>
      <c r="O160">
        <f t="shared" ref="O160:O161" si="26">AVERAGE(N160,P160)</f>
        <v>212</v>
      </c>
      <c r="P160">
        <v>224</v>
      </c>
      <c r="Q160">
        <v>1</v>
      </c>
      <c r="R160">
        <v>5</v>
      </c>
      <c r="S160" t="s">
        <v>8</v>
      </c>
      <c r="T160" t="s">
        <v>8</v>
      </c>
      <c r="U160" s="18" t="s">
        <v>71</v>
      </c>
      <c r="V160" t="s">
        <v>405</v>
      </c>
      <c r="W160" t="s">
        <v>8</v>
      </c>
      <c r="X160" t="s">
        <v>71</v>
      </c>
      <c r="Y160" t="s">
        <v>405</v>
      </c>
      <c r="Z160" t="s">
        <v>8</v>
      </c>
      <c r="AA160" t="s">
        <v>640</v>
      </c>
      <c r="AB160" t="s">
        <v>636</v>
      </c>
      <c r="AC160" t="s">
        <v>9</v>
      </c>
      <c r="AD160" t="s">
        <v>634</v>
      </c>
      <c r="AE160">
        <v>0</v>
      </c>
      <c r="AF160">
        <v>400</v>
      </c>
      <c r="AG160" t="s">
        <v>745</v>
      </c>
      <c r="AH160">
        <f>2*6</f>
        <v>12</v>
      </c>
      <c r="AI160" cm="1">
        <f t="array" ref="AI160">_xlfn.IFS(AF160="NR", "NA", AG160="NR", "NA", AG160="NA","NA", AND(AG160="mg/ml", AH160&lt;&gt;"NR"), ((AF160/2492)*AH160*1000000), AND(AG160="mol/L", AH160&lt;&gt;"NR"), AF160*AH160*1000000, AG160="nmol", AF160*1000, AND(AG160="nmol/uL", AH160&lt;&gt;"NR"), AF160*AH160*1000, AG160="pg", AF160/2492, AG160="pmol", AF160, AND(AG160="pmol/uL", AH160&lt;&gt;"NR"), AF160*AH160, AG160="ug", AF160/2492*1000000, AND(AG160="ug/mL", AH160&lt;&gt;"NR"), (AF160/1000*AH160)/2492*1000000, AND(AG160="ug/uL", AH160&lt;&gt;"NR"), (AF160*AH160)/2492*1000000, AND(AG160="umol/L", AH160&lt;&gt;"NR"), AH160*AF160, TRUE, "NA")</f>
        <v>4800</v>
      </c>
      <c r="AJ160" t="s">
        <v>9</v>
      </c>
      <c r="AK160">
        <v>6</v>
      </c>
      <c r="AL160" t="s">
        <v>665</v>
      </c>
      <c r="AM160" t="s">
        <v>8</v>
      </c>
      <c r="AN160" t="s">
        <v>9</v>
      </c>
      <c r="AO160" s="18" t="s">
        <v>12</v>
      </c>
      <c r="AP160" t="s">
        <v>8</v>
      </c>
      <c r="AQ160" t="s">
        <v>8</v>
      </c>
      <c r="AR160" t="s">
        <v>8</v>
      </c>
      <c r="AS160" s="18">
        <v>1008</v>
      </c>
      <c r="AT160" t="s">
        <v>271</v>
      </c>
      <c r="AU160" t="s">
        <v>732</v>
      </c>
      <c r="AV160" t="s">
        <v>8</v>
      </c>
      <c r="AW160">
        <v>12.37</v>
      </c>
      <c r="AX160">
        <v>0.35</v>
      </c>
      <c r="AY160" t="s">
        <v>8</v>
      </c>
      <c r="AZ160" t="s">
        <v>8</v>
      </c>
      <c r="BA160" t="s">
        <v>656</v>
      </c>
      <c r="BB160" t="s">
        <v>123</v>
      </c>
      <c r="BC160" cm="1">
        <f t="array" ref="BC160">_xlfn.IFS(BA160="Direct rLV % whole brain", AW160, BA160="Indirect rLV % whole brain", AW160, BA160="Direct rLV % hemisphere", AW160/2, BA160="Indirect rLV % hemisphere", AW160/2, AND(F160="Mouse", BA160="mm3"), (AW160/508.91)*100, AND(F160="Rat", BA160="mm3"), (AW160/1971)*100, AND(F160="Mouse", BA160="ul"), (AW160/508.91)*100, AND(F160="Rat", BA160="ul"), (AW160/1971)*100,  AND(F160="Mouse", BA160="nl"), (AW160/508910)*100, AND(F160="Rat", BA160="nl"), (AW160/1971000)*100, AND(F160="Mouse", BA160="cm3"), (AW160/0.50891)*100, AND(F160="Rat", BA160="cm3"), (AW160/1.971)*100, AND(F160="Mouse", BA160="mL"), (AW160/0.50891)*100, AND(F160="Rat", BA160="mL"), (AW160/1.971)*100, TRUE, "NA")</f>
        <v>0.62760020294266872</v>
      </c>
      <c r="BD160" t="str" cm="1">
        <f t="array" ref="BD160">_xlfn.IFS(AZ160="NA", "NA",BA160="Direct rLV % whole brain", AY160, BA160="Indirect rLV % whole brain", AY160, BA160="Direct rLV % hemisphere", AY160/2, BA160="Indirect rLV % hemisphere", AY160/2, AND(F160="Mouse", BA160="mm3"), (AY160/508.91)*100, AND(F160="Rat", BA160="mm3"), (AY160/1971)*100, AND(F160="Mouse", BA160="ul"), (AY160/508.91)*100, AND(F160="Rat", BA160="ul"), (AY160/1971)*100,  AND(F160="Mouse", BA160="nl"), (AY160/508910)*100, AND(F160="Rat", BA160="nl"), (AY160/1971000)*100, AND(F160="Mouse", BA160="cm3"), (AY160/0.50891)*100, AND(F160="Rat", BA160="cm3"), (AY160/1.971)*100, AND(F160="Mouse", BA160="mL"), (AY160/0.50891)*100, AND(F160="Rat", BA160="mL"), (AY160/1.971)*100, TRUE, "NA")</f>
        <v>NA</v>
      </c>
      <c r="BE160" cm="1">
        <f t="array" ref="BE160">_xlfn.IFS(AX160="NA", "NA", BB160="NR", "NA", BB160="SD", AX160, BB160="SE", AX160*(SQRT(R160)), BB160="SEM", AX160*(SQRT(R160)), TRUE, "NA")</f>
        <v>0.78262379212492639</v>
      </c>
      <c r="BF160" cm="1">
        <f t="array" ref="BF160">_xlfn.IFS(BE160="NA", "NA",BA160="Direct rLV % whole brain", BE160, BA160="Indirect rLV % whole brain", BE160, BA160="Direct rLV % hemisphere", BE160/2, BA160="Indirect rLV % hemisphere", BE160/2, AND(F160="Mouse", BA160="mm3"), (BE160/508.91)*100, AND(F160="Rat", BA160="mm3"), (BE160/1971)*100, AND(F160="Mouse", BA160="ul"), (BE160/508.91)*100, AND(F160="Rat", BA160="ul"), (BE160/1971)*100,  AND(F160="Mouse", BA160="nl"), (BE160/508910)*100, AND(F160="Rat", BA160="nl"), (BE160/1971000)*100, AND(F160="Mouse", BA160="cm3"), (BE160/0.50891)*100, AND(F160="Rat", BA160="cm3"), (BE160/1.971)*100, AND(F160="Mouse", BA160="mL"), (BE160/0.50891)*100, AND(F160="Rat", BA160="mL"), (BE160/1.971)*100, TRUE, "NA")</f>
        <v>3.9706940239722294E-2</v>
      </c>
      <c r="BG160" t="str" cm="1">
        <f t="array" ref="BG160">_xlfn.IFS(AZ160="NA", "NA", BB160="NR", "NA", BB160="SD", AZ160, BB160="SE", AZ160*(SQRT(R160)), BB160="SEM", AZ160*(SQRT(R160)), TRUE, "NA")</f>
        <v>NA</v>
      </c>
      <c r="BH160" s="18" t="s">
        <v>154</v>
      </c>
      <c r="BI160" t="s">
        <v>154</v>
      </c>
      <c r="BJ160" t="s">
        <v>154</v>
      </c>
    </row>
    <row r="161" spans="1:63" s="31" customFormat="1" x14ac:dyDescent="0.3">
      <c r="A161" s="31" t="s">
        <v>1089</v>
      </c>
      <c r="B161" s="31" t="s">
        <v>1088</v>
      </c>
      <c r="C161" s="31">
        <v>2014</v>
      </c>
      <c r="D161" s="31" t="s">
        <v>1090</v>
      </c>
      <c r="E161" s="31" t="s">
        <v>647</v>
      </c>
      <c r="F161" s="31" t="s">
        <v>23</v>
      </c>
      <c r="G161" s="31" t="s">
        <v>10</v>
      </c>
      <c r="H161" s="31" t="s">
        <v>34</v>
      </c>
      <c r="I161" s="31" t="s">
        <v>12</v>
      </c>
      <c r="J161" s="31" t="s">
        <v>8</v>
      </c>
      <c r="K161" s="31">
        <v>13</v>
      </c>
      <c r="L161" s="31">
        <f>AVERAGE(K161,M161)</f>
        <v>17.5</v>
      </c>
      <c r="M161" s="31">
        <v>22</v>
      </c>
      <c r="N161" s="31">
        <v>450</v>
      </c>
      <c r="O161" s="31">
        <f t="shared" si="26"/>
        <v>525</v>
      </c>
      <c r="P161" s="31">
        <v>600</v>
      </c>
      <c r="Q161" s="31">
        <v>1</v>
      </c>
      <c r="R161" s="31">
        <v>12</v>
      </c>
      <c r="S161" s="31" t="s">
        <v>8</v>
      </c>
      <c r="T161" s="31" t="s">
        <v>8</v>
      </c>
      <c r="U161" s="32" t="s">
        <v>68</v>
      </c>
      <c r="V161" s="31" t="s">
        <v>8</v>
      </c>
      <c r="W161" s="31" t="s">
        <v>8</v>
      </c>
      <c r="X161" s="31" t="s">
        <v>68</v>
      </c>
      <c r="Y161" s="31" t="s">
        <v>8</v>
      </c>
      <c r="Z161" s="31" t="s">
        <v>8</v>
      </c>
      <c r="AA161" s="31" t="s">
        <v>640</v>
      </c>
      <c r="AB161" s="31" t="s">
        <v>636</v>
      </c>
      <c r="AC161" s="31" t="s">
        <v>154</v>
      </c>
      <c r="AD161" s="31" t="s">
        <v>634</v>
      </c>
      <c r="AE161" s="31">
        <v>0</v>
      </c>
      <c r="AF161" s="31" t="s">
        <v>9</v>
      </c>
      <c r="AG161" s="31" t="s">
        <v>8</v>
      </c>
      <c r="AH161" s="31">
        <f>0.8*4</f>
        <v>3.2</v>
      </c>
      <c r="AI161" t="str" cm="1">
        <f t="array" ref="AI161">_xlfn.IFS(AF161="NR", "NA", AG161="NR", "NA", AG161="NA","NA", AND(AG161="mg/ml", AH161&lt;&gt;"NR"), ((AF161/2492)*AH161*1000000), AND(AG161="mol/L", AH161&lt;&gt;"NR"), AF161*AH161*1000000, AG161="nmol", AF161*1000, AND(AG161="nmol/uL", AH161&lt;&gt;"NR"), AF161*AH161*1000, AG161="pg", AF161/2492, AG161="pmol", AF161, AND(AG161="pmol/uL", AH161&lt;&gt;"NR"), AF161*AH161, AG161="ug", AF161/2492*1000000, AND(AG161="ug/mL", AH161&lt;&gt;"NR"), (AF161/1000*AH161)/2492*1000000, AND(AG161="ug/uL", AH161&lt;&gt;"NR"), (AF161*AH161)/2492*1000000, AND(AG161="umol/L", AH161&lt;&gt;"NR"), AH161*AF161, TRUE, "NA")</f>
        <v>NA</v>
      </c>
      <c r="AJ161" s="31" t="s">
        <v>9</v>
      </c>
      <c r="AK161" s="31">
        <v>4</v>
      </c>
      <c r="AL161" s="31" t="s">
        <v>9</v>
      </c>
      <c r="AM161" s="31" t="s">
        <v>8</v>
      </c>
      <c r="AN161" s="31" t="s">
        <v>9</v>
      </c>
      <c r="AO161" s="32" t="s">
        <v>12</v>
      </c>
      <c r="AP161" s="31" t="s">
        <v>8</v>
      </c>
      <c r="AQ161" s="31" t="s">
        <v>8</v>
      </c>
      <c r="AR161" s="31" t="s">
        <v>8</v>
      </c>
      <c r="AS161" s="32" t="s">
        <v>9</v>
      </c>
      <c r="AT161" s="31" t="s">
        <v>271</v>
      </c>
      <c r="AU161" s="31" t="s">
        <v>652</v>
      </c>
      <c r="AV161" s="31" t="s">
        <v>8</v>
      </c>
      <c r="AW161" s="31">
        <v>13.7</v>
      </c>
      <c r="AX161" s="31">
        <v>3.7</v>
      </c>
      <c r="AY161" s="31" t="s">
        <v>8</v>
      </c>
      <c r="AZ161" s="31" t="s">
        <v>8</v>
      </c>
      <c r="BA161" s="31" t="s">
        <v>656</v>
      </c>
      <c r="BB161" s="31" t="s">
        <v>123</v>
      </c>
      <c r="BC161" cm="1">
        <f t="array" ref="BC161">_xlfn.IFS(BA161="Direct rLV % whole brain", AW161, BA161="Indirect rLV % whole brain", AW161, BA161="Direct rLV % hemisphere", AW161/2, BA161="Indirect rLV % hemisphere", AW161/2, AND(F161="Mouse", BA161="mm3"), (AW161/508.91)*100, AND(F161="Rat", BA161="mm3"), (AW161/1971)*100, AND(F161="Mouse", BA161="ul"), (AW161/508.91)*100, AND(F161="Rat", BA161="ul"), (AW161/1971)*100,  AND(F161="Mouse", BA161="nl"), (AW161/508910)*100, AND(F161="Rat", BA161="nl"), (AW161/1971000)*100, AND(F161="Mouse", BA161="cm3"), (AW161/0.50891)*100, AND(F161="Rat", BA161="cm3"), (AW161/1.971)*100, AND(F161="Mouse", BA161="mL"), (AW161/0.50891)*100, AND(F161="Rat", BA161="mL"), (AW161/1.971)*100, TRUE, "NA")</f>
        <v>0.6950786402841197</v>
      </c>
      <c r="BD161" t="str" cm="1">
        <f t="array" ref="BD161">_xlfn.IFS(AZ161="NA", "NA",BA161="Direct rLV % whole brain", AY161, BA161="Indirect rLV % whole brain", AY161, BA161="Direct rLV % hemisphere", AY161/2, BA161="Indirect rLV % hemisphere", AY161/2, AND(F161="Mouse", BA161="mm3"), (AY161/508.91)*100, AND(F161="Rat", BA161="mm3"), (AY161/1971)*100, AND(F161="Mouse", BA161="ul"), (AY161/508.91)*100, AND(F161="Rat", BA161="ul"), (AY161/1971)*100,  AND(F161="Mouse", BA161="nl"), (AY161/508910)*100, AND(F161="Rat", BA161="nl"), (AY161/1971000)*100, AND(F161="Mouse", BA161="cm3"), (AY161/0.50891)*100, AND(F161="Rat", BA161="cm3"), (AY161/1.971)*100, AND(F161="Mouse", BA161="mL"), (AY161/0.50891)*100, AND(F161="Rat", BA161="mL"), (AY161/1.971)*100, TRUE, "NA")</f>
        <v>NA</v>
      </c>
      <c r="BE161" cm="1">
        <f t="array" ref="BE161">_xlfn.IFS(AX161="NA", "NA", BB161="NR", "NA", BB161="SD", AX161, BB161="SE", AX161*(SQRT(R161)), BB161="SEM", AX161*(SQRT(R161)), TRUE, "NA")</f>
        <v>12.817175976009691</v>
      </c>
      <c r="BF161" cm="1">
        <f t="array" ref="BF161">_xlfn.IFS(BE161="NA", "NA",BA161="Direct rLV % whole brain", BE161, BA161="Indirect rLV % whole brain", BE161, BA161="Direct rLV % hemisphere", BE161/2, BA161="Indirect rLV % hemisphere", BE161/2, AND(F161="Mouse", BA161="mm3"), (BE161/508.91)*100, AND(F161="Rat", BA161="mm3"), (BE161/1971)*100, AND(F161="Mouse", BA161="ul"), (BE161/508.91)*100, AND(F161="Rat", BA161="ul"), (BE161/1971)*100,  AND(F161="Mouse", BA161="nl"), (BE161/508910)*100, AND(F161="Rat", BA161="nl"), (BE161/1971000)*100, AND(F161="Mouse", BA161="cm3"), (BE161/0.50891)*100, AND(F161="Rat", BA161="cm3"), (BE161/1.971)*100, AND(F161="Mouse", BA161="mL"), (BE161/0.50891)*100, AND(F161="Rat", BA161="mL"), (BE161/1.971)*100, TRUE, "NA")</f>
        <v>0.65028797442971542</v>
      </c>
      <c r="BG161" t="str" cm="1">
        <f t="array" ref="BG161">_xlfn.IFS(AZ161="NA", "NA", BB161="NR", "NA", BB161="SD", AZ161, BB161="SE", AZ161*(SQRT(R161)), BB161="SEM", AZ161*(SQRT(R161)), TRUE, "NA")</f>
        <v>NA</v>
      </c>
      <c r="BH161" s="32" t="s">
        <v>154</v>
      </c>
      <c r="BI161" s="31" t="s">
        <v>154</v>
      </c>
      <c r="BJ161" s="31" t="s">
        <v>154</v>
      </c>
    </row>
    <row r="162" spans="1:63" x14ac:dyDescent="0.3">
      <c r="A162" t="s">
        <v>1092</v>
      </c>
      <c r="B162" t="s">
        <v>1091</v>
      </c>
      <c r="C162">
        <v>2015</v>
      </c>
      <c r="D162" t="s">
        <v>1093</v>
      </c>
      <c r="E162" t="s">
        <v>647</v>
      </c>
      <c r="F162" t="s">
        <v>23</v>
      </c>
      <c r="G162" t="s">
        <v>10</v>
      </c>
      <c r="H162" t="s">
        <v>34</v>
      </c>
      <c r="I162" t="s">
        <v>12</v>
      </c>
      <c r="J162" t="s">
        <v>8</v>
      </c>
      <c r="K162" t="s">
        <v>9</v>
      </c>
      <c r="L162" t="s">
        <v>9</v>
      </c>
      <c r="M162" t="s">
        <v>9</v>
      </c>
      <c r="N162">
        <v>250</v>
      </c>
      <c r="O162">
        <f t="shared" ref="O162:O164" si="27">AVERAGE(N162,P162)</f>
        <v>262.5</v>
      </c>
      <c r="P162">
        <v>275</v>
      </c>
      <c r="Q162">
        <v>1</v>
      </c>
      <c r="R162">
        <v>17</v>
      </c>
      <c r="S162" t="s">
        <v>8</v>
      </c>
      <c r="T162" t="s">
        <v>8</v>
      </c>
      <c r="U162" s="18" t="s">
        <v>68</v>
      </c>
      <c r="V162" t="s">
        <v>8</v>
      </c>
      <c r="W162" t="s">
        <v>8</v>
      </c>
      <c r="X162" t="s">
        <v>68</v>
      </c>
      <c r="Y162" t="s">
        <v>8</v>
      </c>
      <c r="Z162" t="s">
        <v>8</v>
      </c>
      <c r="AA162" t="s">
        <v>640</v>
      </c>
      <c r="AB162" t="s">
        <v>636</v>
      </c>
      <c r="AC162" t="s">
        <v>9</v>
      </c>
      <c r="AD162" t="s">
        <v>634</v>
      </c>
      <c r="AE162">
        <v>0</v>
      </c>
      <c r="AF162">
        <f>400*2</f>
        <v>800</v>
      </c>
      <c r="AG162" t="s">
        <v>650</v>
      </c>
      <c r="AH162">
        <f>1*2</f>
        <v>2</v>
      </c>
      <c r="AI162" cm="1">
        <f t="array" ref="AI162">_xlfn.IFS(AF162="NR", "NA", AG162="NR", "NA", AG162="NA","NA", AND(AG162="mg/ml", AH162&lt;&gt;"NR"), ((AF162/2492)*AH162*1000000), AND(AG162="mol/L", AH162&lt;&gt;"NR"), AF162*AH162*1000000, AG162="nmol", AF162*1000, AND(AG162="nmol/uL", AH162&lt;&gt;"NR"), AF162*AH162*1000, AG162="pg", AF162/2492, AG162="pmol", AF162, AND(AG162="pmol/uL", AH162&lt;&gt;"NR"), AF162*AH162, AG162="ug", AF162/2492*1000000, AND(AG162="ug/mL", AH162&lt;&gt;"NR"), (AF162/1000*AH162)/2492*1000000, AND(AG162="ug/uL", AH162&lt;&gt;"NR"), (AF162*AH162)/2492*1000000, AND(AG162="umol/L", AH162&lt;&gt;"NR"), AH162*AF162, TRUE, "NA")</f>
        <v>800</v>
      </c>
      <c r="AJ162">
        <v>4</v>
      </c>
      <c r="AK162">
        <v>2</v>
      </c>
      <c r="AL162" t="s">
        <v>701</v>
      </c>
      <c r="AM162" t="s">
        <v>886</v>
      </c>
      <c r="AN162" t="s">
        <v>9</v>
      </c>
      <c r="AO162" s="18" t="s">
        <v>12</v>
      </c>
      <c r="AP162" t="s">
        <v>8</v>
      </c>
      <c r="AQ162" t="s">
        <v>8</v>
      </c>
      <c r="AR162" t="s">
        <v>8</v>
      </c>
      <c r="AS162" s="18">
        <v>672</v>
      </c>
      <c r="AT162" t="s">
        <v>271</v>
      </c>
      <c r="AU162" t="s">
        <v>652</v>
      </c>
      <c r="AV162" t="s">
        <v>8</v>
      </c>
      <c r="AW162">
        <v>16.63</v>
      </c>
      <c r="AX162">
        <v>2.71</v>
      </c>
      <c r="AY162" t="s">
        <v>8</v>
      </c>
      <c r="AZ162" t="s">
        <v>8</v>
      </c>
      <c r="BA162" t="s">
        <v>656</v>
      </c>
      <c r="BB162" t="s">
        <v>123</v>
      </c>
      <c r="BC162" cm="1">
        <f t="array" ref="BC162">_xlfn.IFS(BA162="Direct rLV % whole brain", AW162, BA162="Indirect rLV % whole brain", AW162, BA162="Direct rLV % hemisphere", AW162/2, BA162="Indirect rLV % hemisphere", AW162/2, AND(F162="Mouse", BA162="mm3"), (AW162/508.91)*100, AND(F162="Rat", BA162="mm3"), (AW162/1971)*100, AND(F162="Mouse", BA162="ul"), (AW162/508.91)*100, AND(F162="Rat", BA162="ul"), (AW162/1971)*100,  AND(F162="Mouse", BA162="nl"), (AW162/508910)*100, AND(F162="Rat", BA162="nl"), (AW162/1971000)*100, AND(F162="Mouse", BA162="cm3"), (AW162/0.50891)*100, AND(F162="Rat", BA162="cm3"), (AW162/1.971)*100, AND(F162="Mouse", BA162="mL"), (AW162/0.50891)*100, AND(F162="Rat", BA162="mL"), (AW162/1.971)*100, TRUE, "NA")</f>
        <v>0.84373414510400813</v>
      </c>
      <c r="BD162" t="str" cm="1">
        <f t="array" ref="BD162">_xlfn.IFS(AZ162="NA", "NA",BA162="Direct rLV % whole brain", AY162, BA162="Indirect rLV % whole brain", AY162, BA162="Direct rLV % hemisphere", AY162/2, BA162="Indirect rLV % hemisphere", AY162/2, AND(F162="Mouse", BA162="mm3"), (AY162/508.91)*100, AND(F162="Rat", BA162="mm3"), (AY162/1971)*100, AND(F162="Mouse", BA162="ul"), (AY162/508.91)*100, AND(F162="Rat", BA162="ul"), (AY162/1971)*100,  AND(F162="Mouse", BA162="nl"), (AY162/508910)*100, AND(F162="Rat", BA162="nl"), (AY162/1971000)*100, AND(F162="Mouse", BA162="cm3"), (AY162/0.50891)*100, AND(F162="Rat", BA162="cm3"), (AY162/1.971)*100, AND(F162="Mouse", BA162="mL"), (AY162/0.50891)*100, AND(F162="Rat", BA162="mL"), (AY162/1.971)*100, TRUE, "NA")</f>
        <v>NA</v>
      </c>
      <c r="BE162" cm="1">
        <f t="array" ref="BE162">_xlfn.IFS(AX162="NA", "NA", BB162="NR", "NA", BB162="SD", AX162, BB162="SE", AX162*(SQRT(R162)), BB162="SEM", AX162*(SQRT(R162)), TRUE, "NA")</f>
        <v>11.17361624542386</v>
      </c>
      <c r="BF162" cm="1">
        <f t="array" ref="BF162">_xlfn.IFS(BE162="NA", "NA",BA162="Direct rLV % whole brain", BE162, BA162="Indirect rLV % whole brain", BE162, BA162="Direct rLV % hemisphere", BE162/2, BA162="Indirect rLV % hemisphere", BE162/2, AND(F162="Mouse", BA162="mm3"), (BE162/508.91)*100, AND(F162="Rat", BA162="mm3"), (BE162/1971)*100, AND(F162="Mouse", BA162="ul"), (BE162/508.91)*100, AND(F162="Rat", BA162="ul"), (BE162/1971)*100,  AND(F162="Mouse", BA162="nl"), (BE162/508910)*100, AND(F162="Rat", BA162="nl"), (BE162/1971000)*100, AND(F162="Mouse", BA162="cm3"), (BE162/0.50891)*100, AND(F162="Rat", BA162="cm3"), (BE162/1.971)*100, AND(F162="Mouse", BA162="mL"), (BE162/0.50891)*100, AND(F162="Rat", BA162="mL"), (BE162/1.971)*100, TRUE, "NA")</f>
        <v>0.56690087495808517</v>
      </c>
      <c r="BG162" t="str" cm="1">
        <f t="array" ref="BG162">_xlfn.IFS(AZ162="NA", "NA", BB162="NR", "NA", BB162="SD", AZ162, BB162="SE", AZ162*(SQRT(R162)), BB162="SEM", AZ162*(SQRT(R162)), TRUE, "NA")</f>
        <v>NA</v>
      </c>
      <c r="BH162" s="18" t="s">
        <v>154</v>
      </c>
      <c r="BI162" t="s">
        <v>154</v>
      </c>
      <c r="BJ162" t="s">
        <v>154</v>
      </c>
    </row>
    <row r="163" spans="1:63" s="31" customFormat="1" x14ac:dyDescent="0.3">
      <c r="A163" s="31" t="s">
        <v>1094</v>
      </c>
      <c r="B163" s="31" t="s">
        <v>1091</v>
      </c>
      <c r="C163" s="31">
        <v>2017</v>
      </c>
      <c r="D163" s="31" t="s">
        <v>1095</v>
      </c>
      <c r="E163" s="31" t="s">
        <v>647</v>
      </c>
      <c r="F163" s="31" t="s">
        <v>23</v>
      </c>
      <c r="G163" s="31" t="s">
        <v>10</v>
      </c>
      <c r="H163" s="31" t="s">
        <v>34</v>
      </c>
      <c r="I163" s="31" t="s">
        <v>12</v>
      </c>
      <c r="J163" s="31" t="s">
        <v>8</v>
      </c>
      <c r="K163" s="31" t="s">
        <v>9</v>
      </c>
      <c r="L163" s="31" t="s">
        <v>9</v>
      </c>
      <c r="M163" s="31" t="s">
        <v>9</v>
      </c>
      <c r="N163" s="31">
        <v>250</v>
      </c>
      <c r="O163" s="31">
        <f t="shared" si="27"/>
        <v>262.5</v>
      </c>
      <c r="P163" s="31">
        <v>275</v>
      </c>
      <c r="Q163" s="31">
        <v>2</v>
      </c>
      <c r="R163" s="31">
        <v>10</v>
      </c>
      <c r="S163" s="31" t="s">
        <v>8</v>
      </c>
      <c r="T163" s="31" t="s">
        <v>8</v>
      </c>
      <c r="U163" s="32" t="s">
        <v>68</v>
      </c>
      <c r="V163" s="31" t="s">
        <v>8</v>
      </c>
      <c r="W163" s="31" t="s">
        <v>8</v>
      </c>
      <c r="X163" s="31" t="s">
        <v>68</v>
      </c>
      <c r="Y163" s="31" t="s">
        <v>8</v>
      </c>
      <c r="Z163" s="31" t="s">
        <v>8</v>
      </c>
      <c r="AA163" s="31" t="s">
        <v>640</v>
      </c>
      <c r="AB163" s="31" t="s">
        <v>636</v>
      </c>
      <c r="AC163" s="31" t="s">
        <v>154</v>
      </c>
      <c r="AD163" s="31" t="s">
        <v>634</v>
      </c>
      <c r="AE163" s="31">
        <v>0</v>
      </c>
      <c r="AF163" s="31">
        <f t="shared" ref="AF163:AF164" si="28">400*2</f>
        <v>800</v>
      </c>
      <c r="AG163" s="31" t="s">
        <v>650</v>
      </c>
      <c r="AH163" s="31">
        <f t="shared" ref="AH163:AH164" si="29">1*2</f>
        <v>2</v>
      </c>
      <c r="AI163" cm="1">
        <f t="array" ref="AI163">_xlfn.IFS(AF163="NR", "NA", AG163="NR", "NA", AG163="NA","NA", AND(AG163="mg/ml", AH163&lt;&gt;"NR"), ((AF163/2492)*AH163*1000000), AND(AG163="mol/L", AH163&lt;&gt;"NR"), AF163*AH163*1000000, AG163="nmol", AF163*1000, AND(AG163="nmol/uL", AH163&lt;&gt;"NR"), AF163*AH163*1000, AG163="pg", AF163/2492, AG163="pmol", AF163, AND(AG163="pmol/uL", AH163&lt;&gt;"NR"), AF163*AH163, AG163="ug", AF163/2492*1000000, AND(AG163="ug/mL", AH163&lt;&gt;"NR"), (AF163/1000*AH163)/2492*1000000, AND(AG163="ug/uL", AH163&lt;&gt;"NR"), (AF163*AH163)/2492*1000000, AND(AG163="umol/L", AH163&lt;&gt;"NR"), AH163*AF163, TRUE, "NA")</f>
        <v>800</v>
      </c>
      <c r="AJ163" s="31">
        <v>4</v>
      </c>
      <c r="AK163" s="31">
        <v>2</v>
      </c>
      <c r="AL163" s="31" t="s">
        <v>701</v>
      </c>
      <c r="AM163" s="31" t="s">
        <v>886</v>
      </c>
      <c r="AN163" s="31" t="s">
        <v>9</v>
      </c>
      <c r="AO163" s="32" t="s">
        <v>12</v>
      </c>
      <c r="AP163" s="31" t="s">
        <v>8</v>
      </c>
      <c r="AQ163" s="31" t="s">
        <v>8</v>
      </c>
      <c r="AR163" s="31" t="s">
        <v>8</v>
      </c>
      <c r="AS163" s="32">
        <v>672</v>
      </c>
      <c r="AT163" s="31" t="s">
        <v>271</v>
      </c>
      <c r="AU163" s="31" t="s">
        <v>652</v>
      </c>
      <c r="AV163" s="31" t="s">
        <v>8</v>
      </c>
      <c r="AW163" s="31">
        <v>17.98</v>
      </c>
      <c r="AX163" s="31">
        <v>2.8410000000000002</v>
      </c>
      <c r="AY163" s="31" t="s">
        <v>8</v>
      </c>
      <c r="AZ163" s="31" t="s">
        <v>8</v>
      </c>
      <c r="BA163" s="31" t="s">
        <v>656</v>
      </c>
      <c r="BB163" s="31" t="s">
        <v>124</v>
      </c>
      <c r="BC163" cm="1">
        <f t="array" ref="BC163">_xlfn.IFS(BA163="Direct rLV % whole brain", AW163, BA163="Indirect rLV % whole brain", AW163, BA163="Direct rLV % hemisphere", AW163/2, BA163="Indirect rLV % hemisphere", AW163/2, AND(F163="Mouse", BA163="mm3"), (AW163/508.91)*100, AND(F163="Rat", BA163="mm3"), (AW163/1971)*100, AND(F163="Mouse", BA163="ul"), (AW163/508.91)*100, AND(F163="Rat", BA163="ul"), (AW163/1971)*100,  AND(F163="Mouse", BA163="nl"), (AW163/508910)*100, AND(F163="Rat", BA163="nl"), (AW163/1971000)*100, AND(F163="Mouse", BA163="cm3"), (AW163/0.50891)*100, AND(F163="Rat", BA163="cm3"), (AW163/1.971)*100, AND(F163="Mouse", BA163="mL"), (AW163/0.50891)*100, AND(F163="Rat", BA163="mL"), (AW163/1.971)*100, TRUE, "NA")</f>
        <v>0.91222729578893968</v>
      </c>
      <c r="BD163" t="str" cm="1">
        <f t="array" ref="BD163">_xlfn.IFS(AZ163="NA", "NA",BA163="Direct rLV % whole brain", AY163, BA163="Indirect rLV % whole brain", AY163, BA163="Direct rLV % hemisphere", AY163/2, BA163="Indirect rLV % hemisphere", AY163/2, AND(F163="Mouse", BA163="mm3"), (AY163/508.91)*100, AND(F163="Rat", BA163="mm3"), (AY163/1971)*100, AND(F163="Mouse", BA163="ul"), (AY163/508.91)*100, AND(F163="Rat", BA163="ul"), (AY163/1971)*100,  AND(F163="Mouse", BA163="nl"), (AY163/508910)*100, AND(F163="Rat", BA163="nl"), (AY163/1971000)*100, AND(F163="Mouse", BA163="cm3"), (AY163/0.50891)*100, AND(F163="Rat", BA163="cm3"), (AY163/1.971)*100, AND(F163="Mouse", BA163="mL"), (AY163/0.50891)*100, AND(F163="Rat", BA163="mL"), (AY163/1.971)*100, TRUE, "NA")</f>
        <v>NA</v>
      </c>
      <c r="BE163" cm="1">
        <f t="array" ref="BE163">_xlfn.IFS(AX163="NA", "NA", BB163="NR", "NA", BB163="SD", AX163, BB163="SE", AX163*(SQRT(R163)), BB163="SEM", AX163*(SQRT(R163)), TRUE, "NA")</f>
        <v>8.984030832538366</v>
      </c>
      <c r="BF163" cm="1">
        <f t="array" ref="BF163">_xlfn.IFS(BE163="NA", "NA",BA163="Direct rLV % whole brain", BE163, BA163="Indirect rLV % whole brain", BE163, BA163="Direct rLV % hemisphere", BE163/2, BA163="Indirect rLV % hemisphere", BE163/2, AND(F163="Mouse", BA163="mm3"), (BE163/508.91)*100, AND(F163="Rat", BA163="mm3"), (BE163/1971)*100, AND(F163="Mouse", BA163="ul"), (BE163/508.91)*100, AND(F163="Rat", BA163="ul"), (BE163/1971)*100,  AND(F163="Mouse", BA163="nl"), (BE163/508910)*100, AND(F163="Rat", BA163="nl"), (BE163/1971000)*100, AND(F163="Mouse", BA163="cm3"), (BE163/0.50891)*100, AND(F163="Rat", BA163="cm3"), (BE163/1.971)*100, AND(F163="Mouse", BA163="mL"), (BE163/0.50891)*100, AND(F163="Rat", BA163="mL"), (BE163/1.971)*100, TRUE, "NA")</f>
        <v>0.45581079820083031</v>
      </c>
      <c r="BG163" t="str" cm="1">
        <f t="array" ref="BG163">_xlfn.IFS(AZ163="NA", "NA", BB163="NR", "NA", BB163="SD", AZ163, BB163="SE", AZ163*(SQRT(R163)), BB163="SEM", AZ163*(SQRT(R163)), TRUE, "NA")</f>
        <v>NA</v>
      </c>
      <c r="BH163" s="32" t="s">
        <v>154</v>
      </c>
      <c r="BI163" s="31" t="s">
        <v>154</v>
      </c>
      <c r="BJ163" s="31" t="s">
        <v>154</v>
      </c>
      <c r="BK163" s="31" t="s">
        <v>1096</v>
      </c>
    </row>
    <row r="164" spans="1:63" s="31" customFormat="1" x14ac:dyDescent="0.3">
      <c r="A164" s="31" t="s">
        <v>1094</v>
      </c>
      <c r="B164" s="31" t="s">
        <v>1091</v>
      </c>
      <c r="C164" s="31">
        <v>2017</v>
      </c>
      <c r="D164" s="31" t="s">
        <v>1095</v>
      </c>
      <c r="E164" s="31" t="s">
        <v>678</v>
      </c>
      <c r="F164" s="31" t="s">
        <v>23</v>
      </c>
      <c r="G164" s="31" t="s">
        <v>10</v>
      </c>
      <c r="H164" s="31" t="s">
        <v>34</v>
      </c>
      <c r="I164" s="31" t="s">
        <v>12</v>
      </c>
      <c r="J164" s="31" t="s">
        <v>8</v>
      </c>
      <c r="K164" s="31" t="s">
        <v>9</v>
      </c>
      <c r="L164" s="31" t="s">
        <v>9</v>
      </c>
      <c r="M164" s="31" t="s">
        <v>9</v>
      </c>
      <c r="N164" s="31">
        <v>250</v>
      </c>
      <c r="O164" s="31">
        <f t="shared" si="27"/>
        <v>262.5</v>
      </c>
      <c r="P164" s="31">
        <v>275</v>
      </c>
      <c r="Q164" s="31">
        <v>2</v>
      </c>
      <c r="R164" s="31">
        <v>11</v>
      </c>
      <c r="S164" s="31" t="s">
        <v>8</v>
      </c>
      <c r="T164" s="31" t="s">
        <v>8</v>
      </c>
      <c r="U164" s="32" t="s">
        <v>68</v>
      </c>
      <c r="V164" s="31" t="s">
        <v>8</v>
      </c>
      <c r="W164" s="31" t="s">
        <v>8</v>
      </c>
      <c r="X164" s="31" t="s">
        <v>68</v>
      </c>
      <c r="Y164" s="31" t="s">
        <v>8</v>
      </c>
      <c r="Z164" s="31" t="s">
        <v>8</v>
      </c>
      <c r="AA164" s="31" t="s">
        <v>640</v>
      </c>
      <c r="AB164" s="31" t="s">
        <v>636</v>
      </c>
      <c r="AC164" s="31" t="s">
        <v>154</v>
      </c>
      <c r="AD164" s="31" t="s">
        <v>634</v>
      </c>
      <c r="AE164" s="31">
        <v>0</v>
      </c>
      <c r="AF164" s="31">
        <f t="shared" si="28"/>
        <v>800</v>
      </c>
      <c r="AG164" s="31" t="s">
        <v>650</v>
      </c>
      <c r="AH164" s="31">
        <f t="shared" si="29"/>
        <v>2</v>
      </c>
      <c r="AI164" cm="1">
        <f t="array" ref="AI164">_xlfn.IFS(AF164="NR", "NA", AG164="NR", "NA", AG164="NA","NA", AND(AG164="mg/ml", AH164&lt;&gt;"NR"), ((AF164/2492)*AH164*1000000), AND(AG164="mol/L", AH164&lt;&gt;"NR"), AF164*AH164*1000000, AG164="nmol", AF164*1000, AND(AG164="nmol/uL", AH164&lt;&gt;"NR"), AF164*AH164*1000, AG164="pg", AF164/2492, AG164="pmol", AF164, AND(AG164="pmol/uL", AH164&lt;&gt;"NR"), AF164*AH164, AG164="ug", AF164/2492*1000000, AND(AG164="ug/mL", AH164&lt;&gt;"NR"), (AF164/1000*AH164)/2492*1000000, AND(AG164="ug/uL", AH164&lt;&gt;"NR"), (AF164*AH164)/2492*1000000, AND(AG164="umol/L", AH164&lt;&gt;"NR"), AH164*AF164, TRUE, "NA")</f>
        <v>800</v>
      </c>
      <c r="AJ164" s="31">
        <v>4</v>
      </c>
      <c r="AK164" s="31">
        <v>2</v>
      </c>
      <c r="AL164" s="31" t="s">
        <v>701</v>
      </c>
      <c r="AM164" s="31" t="s">
        <v>886</v>
      </c>
      <c r="AN164" s="31" t="s">
        <v>9</v>
      </c>
      <c r="AO164" s="32" t="s">
        <v>12</v>
      </c>
      <c r="AP164" s="31" t="s">
        <v>8</v>
      </c>
      <c r="AQ164" s="31" t="s">
        <v>8</v>
      </c>
      <c r="AR164" s="31" t="s">
        <v>8</v>
      </c>
      <c r="AS164" s="32">
        <v>672</v>
      </c>
      <c r="AT164" s="31" t="s">
        <v>271</v>
      </c>
      <c r="AU164" s="31" t="s">
        <v>652</v>
      </c>
      <c r="AV164" s="31" t="s">
        <v>8</v>
      </c>
      <c r="AW164" s="31">
        <v>26.05</v>
      </c>
      <c r="AX164" s="31">
        <v>4.0519999999999996</v>
      </c>
      <c r="AY164" s="31" t="s">
        <v>8</v>
      </c>
      <c r="AZ164" s="31" t="s">
        <v>8</v>
      </c>
      <c r="BA164" s="31" t="s">
        <v>656</v>
      </c>
      <c r="BB164" s="31" t="s">
        <v>124</v>
      </c>
      <c r="BC164" cm="1">
        <f t="array" ref="BC164">_xlfn.IFS(BA164="Direct rLV % whole brain", AW164, BA164="Indirect rLV % whole brain", AW164, BA164="Direct rLV % hemisphere", AW164/2, BA164="Indirect rLV % hemisphere", AW164/2, AND(F164="Mouse", BA164="mm3"), (AW164/508.91)*100, AND(F164="Rat", BA164="mm3"), (AW164/1971)*100, AND(F164="Mouse", BA164="ul"), (AW164/508.91)*100, AND(F164="Rat", BA164="ul"), (AW164/1971)*100,  AND(F164="Mouse", BA164="nl"), (AW164/508910)*100, AND(F164="Rat", BA164="nl"), (AW164/1971000)*100, AND(F164="Mouse", BA164="cm3"), (AW164/0.50891)*100, AND(F164="Rat", BA164="cm3"), (AW164/1.971)*100, AND(F164="Mouse", BA164="mL"), (AW164/0.50891)*100, AND(F164="Rat", BA164="mL"), (AW164/1.971)*100, TRUE, "NA")</f>
        <v>1.3216641298833078</v>
      </c>
      <c r="BD164" t="str" cm="1">
        <f t="array" ref="BD164">_xlfn.IFS(AZ164="NA", "NA",BA164="Direct rLV % whole brain", AY164, BA164="Indirect rLV % whole brain", AY164, BA164="Direct rLV % hemisphere", AY164/2, BA164="Indirect rLV % hemisphere", AY164/2, AND(F164="Mouse", BA164="mm3"), (AY164/508.91)*100, AND(F164="Rat", BA164="mm3"), (AY164/1971)*100, AND(F164="Mouse", BA164="ul"), (AY164/508.91)*100, AND(F164="Rat", BA164="ul"), (AY164/1971)*100,  AND(F164="Mouse", BA164="nl"), (AY164/508910)*100, AND(F164="Rat", BA164="nl"), (AY164/1971000)*100, AND(F164="Mouse", BA164="cm3"), (AY164/0.50891)*100, AND(F164="Rat", BA164="cm3"), (AY164/1.971)*100, AND(F164="Mouse", BA164="mL"), (AY164/0.50891)*100, AND(F164="Rat", BA164="mL"), (AY164/1.971)*100, TRUE, "NA")</f>
        <v>NA</v>
      </c>
      <c r="BE164" cm="1">
        <f t="array" ref="BE164">_xlfn.IFS(AX164="NA", "NA", BB164="NR", "NA", BB164="SD", AX164, BB164="SE", AX164*(SQRT(R164)), BB164="SEM", AX164*(SQRT(R164)), TRUE, "NA")</f>
        <v>13.438963650520078</v>
      </c>
      <c r="BF164" cm="1">
        <f t="array" ref="BF164">_xlfn.IFS(BE164="NA", "NA",BA164="Direct rLV % whole brain", BE164, BA164="Indirect rLV % whole brain", BE164, BA164="Direct rLV % hemisphere", BE164/2, BA164="Indirect rLV % hemisphere", BE164/2, AND(F164="Mouse", BA164="mm3"), (BE164/508.91)*100, AND(F164="Rat", BA164="mm3"), (BE164/1971)*100, AND(F164="Mouse", BA164="ul"), (BE164/508.91)*100, AND(F164="Rat", BA164="ul"), (BE164/1971)*100,  AND(F164="Mouse", BA164="nl"), (BE164/508910)*100, AND(F164="Rat", BA164="nl"), (BE164/1971000)*100, AND(F164="Mouse", BA164="cm3"), (BE164/0.50891)*100, AND(F164="Rat", BA164="cm3"), (BE164/1.971)*100, AND(F164="Mouse", BA164="mL"), (BE164/0.50891)*100, AND(F164="Rat", BA164="mL"), (BE164/1.971)*100, TRUE, "NA")</f>
        <v>0.68183478693658439</v>
      </c>
      <c r="BG164" t="str" cm="1">
        <f t="array" ref="BG164">_xlfn.IFS(AZ164="NA", "NA", BB164="NR", "NA", BB164="SD", AZ164, BB164="SE", AZ164*(SQRT(R164)), BB164="SEM", AZ164*(SQRT(R164)), TRUE, "NA")</f>
        <v>NA</v>
      </c>
      <c r="BH164" s="32" t="s">
        <v>154</v>
      </c>
      <c r="BI164" s="31" t="s">
        <v>154</v>
      </c>
      <c r="BJ164" s="31" t="s">
        <v>154</v>
      </c>
      <c r="BK164" s="31" t="s">
        <v>1096</v>
      </c>
    </row>
    <row r="165" spans="1:63" x14ac:dyDescent="0.3">
      <c r="A165" t="s">
        <v>1098</v>
      </c>
      <c r="B165" t="s">
        <v>1097</v>
      </c>
      <c r="C165">
        <v>2000</v>
      </c>
      <c r="D165" t="s">
        <v>1099</v>
      </c>
      <c r="E165" t="s">
        <v>647</v>
      </c>
      <c r="F165" t="s">
        <v>23</v>
      </c>
      <c r="G165" t="s">
        <v>11</v>
      </c>
      <c r="H165" t="s">
        <v>34</v>
      </c>
      <c r="I165" t="s">
        <v>12</v>
      </c>
      <c r="J165" t="s">
        <v>8</v>
      </c>
      <c r="K165" t="s">
        <v>9</v>
      </c>
      <c r="L165" t="s">
        <v>9</v>
      </c>
      <c r="M165" t="s">
        <v>9</v>
      </c>
      <c r="N165">
        <v>300</v>
      </c>
      <c r="O165">
        <f t="shared" ref="O165:O166" si="30">AVERAGE(N165,P165)</f>
        <v>325</v>
      </c>
      <c r="P165">
        <v>350</v>
      </c>
      <c r="Q165">
        <v>6</v>
      </c>
      <c r="R165">
        <v>13</v>
      </c>
      <c r="S165" t="s">
        <v>8</v>
      </c>
      <c r="T165" t="s">
        <v>8</v>
      </c>
      <c r="U165" s="18" t="s">
        <v>66</v>
      </c>
      <c r="V165" t="s">
        <v>96</v>
      </c>
      <c r="W165" t="s">
        <v>8</v>
      </c>
      <c r="X165" t="s">
        <v>66</v>
      </c>
      <c r="Y165" t="s">
        <v>96</v>
      </c>
      <c r="Z165" t="s">
        <v>8</v>
      </c>
      <c r="AA165" t="s">
        <v>639</v>
      </c>
      <c r="AB165" t="s">
        <v>636</v>
      </c>
      <c r="AC165" t="s">
        <v>153</v>
      </c>
      <c r="AD165" t="s">
        <v>634</v>
      </c>
      <c r="AE165">
        <v>0</v>
      </c>
      <c r="AF165">
        <v>1E-4</v>
      </c>
      <c r="AG165" t="s">
        <v>1227</v>
      </c>
      <c r="AH165">
        <v>10</v>
      </c>
      <c r="AI165" cm="1">
        <f t="array" ref="AI165">_xlfn.IFS(AF165="NR", "NA", AG165="NR", "NA", AG165="NA","NA", AND(AG165="mg/ml", AH165&lt;&gt;"NR"), ((AF165/2492)*AH165*1000000), AND(AG165="mol/L", AH165&lt;&gt;"NR"), AF165*AH165*1000000, AG165="nmol", AF165*1000, AND(AG165="nmol/uL", AH165&lt;&gt;"NR"), AF165*AH165*1000, AG165="pg", AF165/2492, AG165="pmol", AF165, AND(AG165="pmol/uL", AH165&lt;&gt;"NR"), AF165*AH165, AG165="ug", AF165/2492*1000000, AND(AG165="ug/mL", AH165&lt;&gt;"NR"), (AF165/1000*AH165)/2492*1000000, AND(AG165="ug/uL", AH165&lt;&gt;"NR"), (AF165*AH165)/2492*1000000, AND(AG165="umol/L", AH165&lt;&gt;"NR"), AH165*AF165, TRUE, "NA")</f>
        <v>1000</v>
      </c>
      <c r="AJ165" t="s">
        <v>9</v>
      </c>
      <c r="AK165">
        <v>1</v>
      </c>
      <c r="AL165" t="s">
        <v>9</v>
      </c>
      <c r="AM165" t="s">
        <v>8</v>
      </c>
      <c r="AN165" t="s">
        <v>9</v>
      </c>
      <c r="AO165" s="18" t="s">
        <v>12</v>
      </c>
      <c r="AP165" t="s">
        <v>8</v>
      </c>
      <c r="AQ165" t="s">
        <v>8</v>
      </c>
      <c r="AR165" t="s">
        <v>8</v>
      </c>
      <c r="AS165" s="18">
        <v>3</v>
      </c>
      <c r="AT165" t="s">
        <v>269</v>
      </c>
      <c r="AU165" t="s">
        <v>8</v>
      </c>
      <c r="AV165" t="s">
        <v>8</v>
      </c>
      <c r="AW165">
        <v>20</v>
      </c>
      <c r="AX165">
        <v>2</v>
      </c>
      <c r="AY165" t="s">
        <v>8</v>
      </c>
      <c r="AZ165" t="s">
        <v>8</v>
      </c>
      <c r="BA165" t="s">
        <v>202</v>
      </c>
      <c r="BB165" t="s">
        <v>122</v>
      </c>
      <c r="BC165" cm="1">
        <f t="array" ref="BC165">_xlfn.IFS(BA165="Direct rLV % whole brain", AW165, BA165="Indirect rLV % whole brain", AW165, BA165="Direct rLV % hemisphere", AW165/2, BA165="Indirect rLV % hemisphere", AW165/2, AND(F165="Mouse", BA165="mm3"), (AW165/508.91)*100, AND(F165="Rat", BA165="mm3"), (AW165/1971)*100, AND(F165="Mouse", BA165="ul"), (AW165/508.91)*100, AND(F165="Rat", BA165="ul"), (AW165/1971)*100,  AND(F165="Mouse", BA165="nl"), (AW165/508910)*100, AND(F165="Rat", BA165="nl"), (AW165/1971000)*100, AND(F165="Mouse", BA165="cm3"), (AW165/0.50891)*100, AND(F165="Rat", BA165="cm3"), (AW165/1.971)*100, AND(F165="Mouse", BA165="mL"), (AW165/0.50891)*100, AND(F165="Rat", BA165="mL"), (AW165/1.971)*100, TRUE, "NA")</f>
        <v>10</v>
      </c>
      <c r="BD165" t="str" cm="1">
        <f t="array" ref="BD165">_xlfn.IFS(AZ165="NA", "NA",BA165="Direct rLV % whole brain", AY165, BA165="Indirect rLV % whole brain", AY165, BA165="Direct rLV % hemisphere", AY165/2, BA165="Indirect rLV % hemisphere", AY165/2, AND(F165="Mouse", BA165="mm3"), (AY165/508.91)*100, AND(F165="Rat", BA165="mm3"), (AY165/1971)*100, AND(F165="Mouse", BA165="ul"), (AY165/508.91)*100, AND(F165="Rat", BA165="ul"), (AY165/1971)*100,  AND(F165="Mouse", BA165="nl"), (AY165/508910)*100, AND(F165="Rat", BA165="nl"), (AY165/1971000)*100, AND(F165="Mouse", BA165="cm3"), (AY165/0.50891)*100, AND(F165="Rat", BA165="cm3"), (AY165/1.971)*100, AND(F165="Mouse", BA165="mL"), (AY165/0.50891)*100, AND(F165="Rat", BA165="mL"), (AY165/1.971)*100, TRUE, "NA")</f>
        <v>NA</v>
      </c>
      <c r="BE165" cm="1">
        <f t="array" ref="BE165">_xlfn.IFS(AX165="NA", "NA", BB165="NR", "NA", BB165="SD", AX165, BB165="SE", AX165*(SQRT(R165)), BB165="SEM", AX165*(SQRT(R165)), TRUE, "NA")</f>
        <v>2</v>
      </c>
      <c r="BF165" cm="1">
        <f t="array" ref="BF165">_xlfn.IFS(BE165="NA", "NA",BA165="Direct rLV % whole brain", BE165, BA165="Indirect rLV % whole brain", BE165, BA165="Direct rLV % hemisphere", BE165/2, BA165="Indirect rLV % hemisphere", BE165/2, AND(F165="Mouse", BA165="mm3"), (BE165/508.91)*100, AND(F165="Rat", BA165="mm3"), (BE165/1971)*100, AND(F165="Mouse", BA165="ul"), (BE165/508.91)*100, AND(F165="Rat", BA165="ul"), (BE165/1971)*100,  AND(F165="Mouse", BA165="nl"), (BE165/508910)*100, AND(F165="Rat", BA165="nl"), (BE165/1971000)*100, AND(F165="Mouse", BA165="cm3"), (BE165/0.50891)*100, AND(F165="Rat", BA165="cm3"), (BE165/1.971)*100, AND(F165="Mouse", BA165="mL"), (BE165/0.50891)*100, AND(F165="Rat", BA165="mL"), (BE165/1.971)*100, TRUE, "NA")</f>
        <v>1</v>
      </c>
      <c r="BG165" t="str" cm="1">
        <f t="array" ref="BG165">_xlfn.IFS(AZ165="NA", "NA", BB165="NR", "NA", BB165="SD", AZ165, BB165="SE", AZ165*(SQRT(R165)), BB165="SEM", AZ165*(SQRT(R165)), TRUE, "NA")</f>
        <v>NA</v>
      </c>
      <c r="BH165" s="18" t="s">
        <v>153</v>
      </c>
      <c r="BI165" t="s">
        <v>154</v>
      </c>
      <c r="BJ165" t="s">
        <v>154</v>
      </c>
      <c r="BK165" t="s">
        <v>1100</v>
      </c>
    </row>
    <row r="166" spans="1:63" s="31" customFormat="1" x14ac:dyDescent="0.3">
      <c r="A166" s="31" t="s">
        <v>1102</v>
      </c>
      <c r="B166" s="31" t="s">
        <v>1101</v>
      </c>
      <c r="C166" s="31">
        <v>2015</v>
      </c>
      <c r="D166" s="31" t="s">
        <v>1103</v>
      </c>
      <c r="E166" s="31" t="s">
        <v>647</v>
      </c>
      <c r="F166" s="31" t="s">
        <v>23</v>
      </c>
      <c r="G166" s="31" t="s">
        <v>73</v>
      </c>
      <c r="H166" s="31" t="s">
        <v>34</v>
      </c>
      <c r="I166" s="31" t="s">
        <v>12</v>
      </c>
      <c r="J166" s="31" t="s">
        <v>8</v>
      </c>
      <c r="K166" s="31" t="s">
        <v>8</v>
      </c>
      <c r="L166" s="31">
        <v>10</v>
      </c>
      <c r="M166" s="31" t="s">
        <v>8</v>
      </c>
      <c r="N166" s="31">
        <v>276</v>
      </c>
      <c r="O166" s="31">
        <f t="shared" si="30"/>
        <v>300</v>
      </c>
      <c r="P166" s="31">
        <v>324</v>
      </c>
      <c r="Q166" s="31">
        <v>1</v>
      </c>
      <c r="R166" s="31">
        <v>16</v>
      </c>
      <c r="S166" s="31" t="s">
        <v>8</v>
      </c>
      <c r="T166" s="31" t="s">
        <v>8</v>
      </c>
      <c r="U166" s="32" t="s">
        <v>68</v>
      </c>
      <c r="V166" s="31" t="s">
        <v>96</v>
      </c>
      <c r="W166" s="31" t="s">
        <v>8</v>
      </c>
      <c r="X166" s="31" t="s">
        <v>68</v>
      </c>
      <c r="Y166" s="31" t="s">
        <v>96</v>
      </c>
      <c r="Z166" s="31" t="s">
        <v>8</v>
      </c>
      <c r="AA166" s="31" t="s">
        <v>640</v>
      </c>
      <c r="AB166" s="31" t="s">
        <v>636</v>
      </c>
      <c r="AC166" s="31" t="s">
        <v>154</v>
      </c>
      <c r="AD166" s="31" t="s">
        <v>634</v>
      </c>
      <c r="AE166" s="31">
        <v>0</v>
      </c>
      <c r="AF166" s="31">
        <v>150</v>
      </c>
      <c r="AG166" s="31" t="s">
        <v>650</v>
      </c>
      <c r="AH166" s="31">
        <v>0.3</v>
      </c>
      <c r="AI166" cm="1">
        <f t="array" ref="AI166">_xlfn.IFS(AF166="NR", "NA", AG166="NR", "NA", AG166="NA","NA", AND(AG166="mg/ml", AH166&lt;&gt;"NR"), ((AF166/2492)*AH166*1000000), AND(AG166="mol/L", AH166&lt;&gt;"NR"), AF166*AH166*1000000, AG166="nmol", AF166*1000, AND(AG166="nmol/uL", AH166&lt;&gt;"NR"), AF166*AH166*1000, AG166="pg", AF166/2492, AG166="pmol", AF166, AND(AG166="pmol/uL", AH166&lt;&gt;"NR"), AF166*AH166, AG166="ug", AF166/2492*1000000, AND(AG166="ug/mL", AH166&lt;&gt;"NR"), (AF166/1000*AH166)/2492*1000000, AND(AG166="ug/uL", AH166&lt;&gt;"NR"), (AF166*AH166)/2492*1000000, AND(AG166="umol/L", AH166&lt;&gt;"NR"), AH166*AF166, TRUE, "NA")</f>
        <v>150</v>
      </c>
      <c r="AJ166" s="31">
        <v>1.5</v>
      </c>
      <c r="AK166" s="31">
        <v>1</v>
      </c>
      <c r="AL166" s="31" t="s">
        <v>701</v>
      </c>
      <c r="AM166" s="31" t="s">
        <v>8</v>
      </c>
      <c r="AN166" s="31" t="s">
        <v>9</v>
      </c>
      <c r="AO166" s="32" t="s">
        <v>12</v>
      </c>
      <c r="AP166" s="31" t="s">
        <v>8</v>
      </c>
      <c r="AQ166" s="31" t="s">
        <v>8</v>
      </c>
      <c r="AR166" s="31" t="s">
        <v>8</v>
      </c>
      <c r="AS166" s="32">
        <v>24</v>
      </c>
      <c r="AT166" s="31" t="s">
        <v>269</v>
      </c>
      <c r="AU166" s="31" t="s">
        <v>8</v>
      </c>
      <c r="AV166" s="31" t="s">
        <v>8</v>
      </c>
      <c r="AW166" s="31">
        <v>73.5</v>
      </c>
      <c r="AX166" s="31">
        <v>43.4</v>
      </c>
      <c r="AY166" s="31" t="s">
        <v>8</v>
      </c>
      <c r="AZ166" s="31" t="s">
        <v>8</v>
      </c>
      <c r="BA166" s="31" t="s">
        <v>656</v>
      </c>
      <c r="BB166" s="31" t="s">
        <v>122</v>
      </c>
      <c r="BC166" cm="1">
        <f t="array" ref="BC166">_xlfn.IFS(BA166="Direct rLV % whole brain", AW166, BA166="Indirect rLV % whole brain", AW166, BA166="Direct rLV % hemisphere", AW166/2, BA166="Indirect rLV % hemisphere", AW166/2, AND(F166="Mouse", BA166="mm3"), (AW166/508.91)*100, AND(F166="Rat", BA166="mm3"), (AW166/1971)*100, AND(F166="Mouse", BA166="ul"), (AW166/508.91)*100, AND(F166="Rat", BA166="ul"), (AW166/1971)*100,  AND(F166="Mouse", BA166="nl"), (AW166/508910)*100, AND(F166="Rat", BA166="nl"), (AW166/1971000)*100, AND(F166="Mouse", BA166="cm3"), (AW166/0.50891)*100, AND(F166="Rat", BA166="cm3"), (AW166/1.971)*100, AND(F166="Mouse", BA166="mL"), (AW166/0.50891)*100, AND(F166="Rat", BA166="mL"), (AW166/1.971)*100, TRUE, "NA")</f>
        <v>3.7290715372907153</v>
      </c>
      <c r="BD166" t="str" cm="1">
        <f t="array" ref="BD166">_xlfn.IFS(AZ166="NA", "NA",BA166="Direct rLV % whole brain", AY166, BA166="Indirect rLV % whole brain", AY166, BA166="Direct rLV % hemisphere", AY166/2, BA166="Indirect rLV % hemisphere", AY166/2, AND(F166="Mouse", BA166="mm3"), (AY166/508.91)*100, AND(F166="Rat", BA166="mm3"), (AY166/1971)*100, AND(F166="Mouse", BA166="ul"), (AY166/508.91)*100, AND(F166="Rat", BA166="ul"), (AY166/1971)*100,  AND(F166="Mouse", BA166="nl"), (AY166/508910)*100, AND(F166="Rat", BA166="nl"), (AY166/1971000)*100, AND(F166="Mouse", BA166="cm3"), (AY166/0.50891)*100, AND(F166="Rat", BA166="cm3"), (AY166/1.971)*100, AND(F166="Mouse", BA166="mL"), (AY166/0.50891)*100, AND(F166="Rat", BA166="mL"), (AY166/1.971)*100, TRUE, "NA")</f>
        <v>NA</v>
      </c>
      <c r="BE166" cm="1">
        <f t="array" ref="BE166">_xlfn.IFS(AX166="NA", "NA", BB166="NR", "NA", BB166="SD", AX166, BB166="SE", AX166*(SQRT(R166)), BB166="SEM", AX166*(SQRT(R166)), TRUE, "NA")</f>
        <v>43.4</v>
      </c>
      <c r="BF166" cm="1">
        <f t="array" ref="BF166">_xlfn.IFS(BE166="NA", "NA",BA166="Direct rLV % whole brain", BE166, BA166="Indirect rLV % whole brain", BE166, BA166="Direct rLV % hemisphere", BE166/2, BA166="Indirect rLV % hemisphere", BE166/2, AND(F166="Mouse", BA166="mm3"), (BE166/508.91)*100, AND(F166="Rat", BA166="mm3"), (BE166/1971)*100, AND(F166="Mouse", BA166="ul"), (BE166/508.91)*100, AND(F166="Rat", BA166="ul"), (BE166/1971)*100,  AND(F166="Mouse", BA166="nl"), (BE166/508910)*100, AND(F166="Rat", BA166="nl"), (BE166/1971000)*100, AND(F166="Mouse", BA166="cm3"), (BE166/0.50891)*100, AND(F166="Rat", BA166="cm3"), (BE166/1.971)*100, AND(F166="Mouse", BA166="mL"), (BE166/0.50891)*100, AND(F166="Rat", BA166="mL"), (BE166/1.971)*100, TRUE, "NA")</f>
        <v>2.2019279553526125</v>
      </c>
      <c r="BG166" t="str" cm="1">
        <f t="array" ref="BG166">_xlfn.IFS(AZ166="NA", "NA", BB166="NR", "NA", BB166="SD", AZ166, BB166="SE", AZ166*(SQRT(R166)), BB166="SEM", AZ166*(SQRT(R166)), TRUE, "NA")</f>
        <v>NA</v>
      </c>
      <c r="BH166" s="32" t="s">
        <v>154</v>
      </c>
      <c r="BI166" s="31" t="s">
        <v>154</v>
      </c>
      <c r="BJ166" s="31" t="s">
        <v>154</v>
      </c>
    </row>
    <row r="167" spans="1:63" x14ac:dyDescent="0.3">
      <c r="A167" t="s">
        <v>1105</v>
      </c>
      <c r="B167" t="s">
        <v>1104</v>
      </c>
      <c r="C167">
        <v>2019</v>
      </c>
      <c r="D167" t="s">
        <v>1106</v>
      </c>
      <c r="E167" t="s">
        <v>647</v>
      </c>
      <c r="F167" t="s">
        <v>23</v>
      </c>
      <c r="G167" t="s">
        <v>1108</v>
      </c>
      <c r="H167" t="s">
        <v>34</v>
      </c>
      <c r="I167" t="s">
        <v>1109</v>
      </c>
      <c r="J167" t="s">
        <v>156</v>
      </c>
      <c r="K167" t="s">
        <v>8</v>
      </c>
      <c r="L167">
        <v>8</v>
      </c>
      <c r="M167" t="s">
        <v>8</v>
      </c>
      <c r="N167" t="s">
        <v>9</v>
      </c>
      <c r="O167" t="s">
        <v>9</v>
      </c>
      <c r="P167" t="s">
        <v>9</v>
      </c>
      <c r="Q167">
        <v>4</v>
      </c>
      <c r="R167">
        <v>5</v>
      </c>
      <c r="S167" t="s">
        <v>8</v>
      </c>
      <c r="T167" t="s">
        <v>8</v>
      </c>
      <c r="U167" s="18" t="s">
        <v>68</v>
      </c>
      <c r="V167" t="s">
        <v>8</v>
      </c>
      <c r="W167" t="s">
        <v>8</v>
      </c>
      <c r="X167" t="s">
        <v>68</v>
      </c>
      <c r="Y167" t="s">
        <v>8</v>
      </c>
      <c r="Z167" t="s">
        <v>8</v>
      </c>
      <c r="AA167" t="s">
        <v>640</v>
      </c>
      <c r="AB167" t="s">
        <v>636</v>
      </c>
      <c r="AC167" t="s">
        <v>9</v>
      </c>
      <c r="AD167" t="s">
        <v>634</v>
      </c>
      <c r="AE167">
        <v>0</v>
      </c>
      <c r="AF167">
        <v>800</v>
      </c>
      <c r="AG167" t="s">
        <v>745</v>
      </c>
      <c r="AH167">
        <v>0.5</v>
      </c>
      <c r="AI167" cm="1">
        <f t="array" ref="AI167">_xlfn.IFS(AF167="NR", "NA", AG167="NR", "NA", AG167="NA","NA", AND(AG167="mg/ml", AH167&lt;&gt;"NR"), ((AF167/2492)*AH167*1000000), AND(AG167="mol/L", AH167&lt;&gt;"NR"), AF167*AH167*1000000, AG167="nmol", AF167*1000, AND(AG167="nmol/uL", AH167&lt;&gt;"NR"), AF167*AH167*1000, AG167="pg", AF167/2492, AG167="pmol", AF167, AND(AG167="pmol/uL", AH167&lt;&gt;"NR"), AF167*AH167, AG167="ug", AF167/2492*1000000, AND(AG167="ug/mL", AH167&lt;&gt;"NR"), (AF167/1000*AH167)/2492*1000000, AND(AG167="ug/uL", AH167&lt;&gt;"NR"), (AF167*AH167)/2492*1000000, AND(AG167="umol/L", AH167&lt;&gt;"NR"), AH167*AF167, TRUE, "NA")</f>
        <v>400</v>
      </c>
      <c r="AJ167">
        <v>1</v>
      </c>
      <c r="AK167">
        <v>1</v>
      </c>
      <c r="AL167" t="s">
        <v>9</v>
      </c>
      <c r="AM167" t="s">
        <v>8</v>
      </c>
      <c r="AN167" t="s">
        <v>9</v>
      </c>
      <c r="AO167" s="18" t="s">
        <v>12</v>
      </c>
      <c r="AP167" t="s">
        <v>8</v>
      </c>
      <c r="AQ167" t="s">
        <v>8</v>
      </c>
      <c r="AR167" t="s">
        <v>8</v>
      </c>
      <c r="AS167" s="18">
        <v>4032</v>
      </c>
      <c r="AT167" t="s">
        <v>271</v>
      </c>
      <c r="AU167" t="s">
        <v>654</v>
      </c>
      <c r="AV167" t="s">
        <v>8</v>
      </c>
      <c r="AW167">
        <f>67.34-43.77</f>
        <v>23.57</v>
      </c>
      <c r="AX167">
        <v>3.31</v>
      </c>
      <c r="AY167" t="s">
        <v>8</v>
      </c>
      <c r="AZ167" t="s">
        <v>8</v>
      </c>
      <c r="BA167" t="s">
        <v>656</v>
      </c>
      <c r="BB167" t="s">
        <v>123</v>
      </c>
      <c r="BC167" cm="1">
        <f t="array" ref="BC167">_xlfn.IFS(BA167="Direct rLV % whole brain", AW167, BA167="Indirect rLV % whole brain", AW167, BA167="Direct rLV % hemisphere", AW167/2, BA167="Indirect rLV % hemisphere", AW167/2, AND(F167="Mouse", BA167="mm3"), (AW167/508.91)*100, AND(F167="Rat", BA167="mm3"), (AW167/1971)*100, AND(F167="Mouse", BA167="ul"), (AW167/508.91)*100, AND(F167="Rat", BA167="ul"), (AW167/1971)*100,  AND(F167="Mouse", BA167="nl"), (AW167/508910)*100, AND(F167="Rat", BA167="nl"), (AW167/1971000)*100, AND(F167="Mouse", BA167="cm3"), (AW167/0.50891)*100, AND(F167="Rat", BA167="cm3"), (AW167/1.971)*100, AND(F167="Mouse", BA167="mL"), (AW167/0.50891)*100, AND(F167="Rat", BA167="mL"), (AW167/1.971)*100, TRUE, "NA")</f>
        <v>1.1958396752917302</v>
      </c>
      <c r="BD167" t="str" cm="1">
        <f t="array" ref="BD167">_xlfn.IFS(AZ167="NA", "NA",BA167="Direct rLV % whole brain", AY167, BA167="Indirect rLV % whole brain", AY167, BA167="Direct rLV % hemisphere", AY167/2, BA167="Indirect rLV % hemisphere", AY167/2, AND(F167="Mouse", BA167="mm3"), (AY167/508.91)*100, AND(F167="Rat", BA167="mm3"), (AY167/1971)*100, AND(F167="Mouse", BA167="ul"), (AY167/508.91)*100, AND(F167="Rat", BA167="ul"), (AY167/1971)*100,  AND(F167="Mouse", BA167="nl"), (AY167/508910)*100, AND(F167="Rat", BA167="nl"), (AY167/1971000)*100, AND(F167="Mouse", BA167="cm3"), (AY167/0.50891)*100, AND(F167="Rat", BA167="cm3"), (AY167/1.971)*100, AND(F167="Mouse", BA167="mL"), (AY167/0.50891)*100, AND(F167="Rat", BA167="mL"), (AY167/1.971)*100, TRUE, "NA")</f>
        <v>NA</v>
      </c>
      <c r="BE167" cm="1">
        <f t="array" ref="BE167">_xlfn.IFS(AX167="NA", "NA", BB167="NR", "NA", BB167="SD", AX167, BB167="SE", AX167*(SQRT(R167)), BB167="SEM", AX167*(SQRT(R167)), TRUE, "NA")</f>
        <v>7.401385005524304</v>
      </c>
      <c r="BF167" cm="1">
        <f t="array" ref="BF167">_xlfn.IFS(BE167="NA", "NA",BA167="Direct rLV % whole brain", BE167, BA167="Indirect rLV % whole brain", BE167, BA167="Direct rLV % hemisphere", BE167/2, BA167="Indirect rLV % hemisphere", BE167/2, AND(F167="Mouse", BA167="mm3"), (BE167/508.91)*100, AND(F167="Rat", BA167="mm3"), (BE167/1971)*100, AND(F167="Mouse", BA167="ul"), (BE167/508.91)*100, AND(F167="Rat", BA167="ul"), (BE167/1971)*100,  AND(F167="Mouse", BA167="nl"), (BE167/508910)*100, AND(F167="Rat", BA167="nl"), (BE167/1971000)*100, AND(F167="Mouse", BA167="cm3"), (BE167/0.50891)*100, AND(F167="Rat", BA167="cm3"), (BE167/1.971)*100, AND(F167="Mouse", BA167="mL"), (BE167/0.50891)*100, AND(F167="Rat", BA167="mL"), (BE167/1.971)*100, TRUE, "NA")</f>
        <v>0.37551420626708798</v>
      </c>
      <c r="BG167" t="str" cm="1">
        <f t="array" ref="BG167">_xlfn.IFS(AZ167="NA", "NA", BB167="NR", "NA", BB167="SD", AZ167, BB167="SE", AZ167*(SQRT(R167)), BB167="SEM", AZ167*(SQRT(R167)), TRUE, "NA")</f>
        <v>NA</v>
      </c>
      <c r="BH167" s="18" t="s">
        <v>153</v>
      </c>
      <c r="BI167" t="s">
        <v>154</v>
      </c>
      <c r="BJ167" t="s">
        <v>154</v>
      </c>
      <c r="BK167" t="s">
        <v>1107</v>
      </c>
    </row>
    <row r="168" spans="1:63" s="31" customFormat="1" x14ac:dyDescent="0.3">
      <c r="A168" s="31" t="s">
        <v>1111</v>
      </c>
      <c r="B168" s="31" t="s">
        <v>1110</v>
      </c>
      <c r="C168" s="31">
        <v>2019</v>
      </c>
      <c r="D168" s="31" t="s">
        <v>1112</v>
      </c>
      <c r="E168" s="31" t="s">
        <v>647</v>
      </c>
      <c r="F168" s="31" t="s">
        <v>24</v>
      </c>
      <c r="G168" s="31" t="s">
        <v>297</v>
      </c>
      <c r="H168" s="31" t="s">
        <v>34</v>
      </c>
      <c r="I168" s="31" t="s">
        <v>12</v>
      </c>
      <c r="J168" s="31" t="s">
        <v>8</v>
      </c>
      <c r="K168" s="31" t="s">
        <v>8</v>
      </c>
      <c r="L168" s="31">
        <v>12</v>
      </c>
      <c r="M168" s="31" t="s">
        <v>8</v>
      </c>
      <c r="N168" s="31" t="s">
        <v>9</v>
      </c>
      <c r="O168" s="31" t="s">
        <v>9</v>
      </c>
      <c r="P168" s="31" t="s">
        <v>9</v>
      </c>
      <c r="Q168" s="31">
        <v>1</v>
      </c>
      <c r="R168" s="31">
        <v>6</v>
      </c>
      <c r="S168" s="31">
        <v>1</v>
      </c>
      <c r="T168" s="31">
        <v>7</v>
      </c>
      <c r="U168" s="32" t="s">
        <v>68</v>
      </c>
      <c r="V168" s="31" t="s">
        <v>8</v>
      </c>
      <c r="W168" s="31" t="s">
        <v>8</v>
      </c>
      <c r="X168" s="31" t="s">
        <v>68</v>
      </c>
      <c r="Y168" s="31" t="s">
        <v>8</v>
      </c>
      <c r="Z168" s="31" t="s">
        <v>8</v>
      </c>
      <c r="AA168" s="31" t="s">
        <v>640</v>
      </c>
      <c r="AB168" s="31" t="s">
        <v>636</v>
      </c>
      <c r="AC168" s="31" t="s">
        <v>9</v>
      </c>
      <c r="AD168" s="31" t="s">
        <v>634</v>
      </c>
      <c r="AE168" s="31">
        <v>0</v>
      </c>
      <c r="AF168" s="31">
        <v>2</v>
      </c>
      <c r="AG168" s="31" t="s">
        <v>580</v>
      </c>
      <c r="AH168" s="31">
        <v>2</v>
      </c>
      <c r="AI168" cm="1">
        <f t="array" ref="AI168">_xlfn.IFS(AF168="NR", "NA", AG168="NR", "NA", AG168="NA","NA", AND(AG168="mg/ml", AH168&lt;&gt;"NR"), ((AF168/2492)*AH168*1000000), AND(AG168="mol/L", AH168&lt;&gt;"NR"), AF168*AH168*1000000, AG168="nmol", AF168*1000, AND(AG168="nmol/uL", AH168&lt;&gt;"NR"), AF168*AH168*1000, AG168="pg", AF168/2492, AG168="pmol", AF168, AND(AG168="pmol/uL", AH168&lt;&gt;"NR"), AF168*AH168, AG168="ug", AF168/2492*1000000, AND(AG168="ug/mL", AH168&lt;&gt;"NR"), (AF168/1000*AH168)/2492*1000000, AND(AG168="ug/uL", AH168&lt;&gt;"NR"), (AF168*AH168)/2492*1000000, AND(AG168="umol/L", AH168&lt;&gt;"NR"), AH168*AF168, TRUE, "NA")</f>
        <v>1605.1364365971108</v>
      </c>
      <c r="AJ168" s="31">
        <v>10</v>
      </c>
      <c r="AK168" s="31">
        <v>2</v>
      </c>
      <c r="AL168" s="31" t="s">
        <v>9</v>
      </c>
      <c r="AM168" s="31" t="s">
        <v>8</v>
      </c>
      <c r="AN168" s="31" t="s">
        <v>9</v>
      </c>
      <c r="AO168" s="32" t="s">
        <v>362</v>
      </c>
      <c r="AP168" t="s">
        <v>1228</v>
      </c>
      <c r="AQ168" s="31" t="s">
        <v>9</v>
      </c>
      <c r="AR168" s="31" t="s">
        <v>9</v>
      </c>
      <c r="AS168" s="32">
        <v>168</v>
      </c>
      <c r="AT168" s="31" t="s">
        <v>271</v>
      </c>
      <c r="AU168" s="31" t="s">
        <v>652</v>
      </c>
      <c r="AV168" s="31" t="s">
        <v>679</v>
      </c>
      <c r="AW168" s="31">
        <v>1.06</v>
      </c>
      <c r="AX168" s="31">
        <v>0.45</v>
      </c>
      <c r="AY168" s="31">
        <v>1.66</v>
      </c>
      <c r="AZ168" s="31">
        <v>0.49</v>
      </c>
      <c r="BA168" s="31" t="s">
        <v>656</v>
      </c>
      <c r="BB168" s="31" t="s">
        <v>122</v>
      </c>
      <c r="BC168" cm="1">
        <f t="array" ref="BC168">_xlfn.IFS(BA168="Direct rLV % whole brain", AW168, BA168="Indirect rLV % whole brain", AW168, BA168="Direct rLV % hemisphere", AW168/2, BA168="Indirect rLV % hemisphere", AW168/2, AND(F168="Mouse", BA168="mm3"), (AW168/508.91)*100, AND(F168="Rat", BA168="mm3"), (AW168/1971)*100, AND(F168="Mouse", BA168="ul"), (AW168/508.91)*100, AND(F168="Rat", BA168="ul"), (AW168/1971)*100,  AND(F168="Mouse", BA168="nl"), (AW168/508910)*100, AND(F168="Rat", BA168="nl"), (AW168/1971000)*100, AND(F168="Mouse", BA168="cm3"), (AW168/0.50891)*100, AND(F168="Rat", BA168="cm3"), (AW168/1.971)*100, AND(F168="Mouse", BA168="mL"), (AW168/0.50891)*100, AND(F168="Rat", BA168="mL"), (AW168/1.971)*100, TRUE, "NA")</f>
        <v>0.208288302450335</v>
      </c>
      <c r="BD168" cm="1">
        <f t="array" ref="BD168">_xlfn.IFS(AZ168="NA", "NA",BA168="Direct rLV % whole brain", AY168, BA168="Indirect rLV % whole brain", AY168, BA168="Direct rLV % hemisphere", AY168/2, BA168="Indirect rLV % hemisphere", AY168/2, AND(F168="Mouse", BA168="mm3"), (AY168/508.91)*100, AND(F168="Rat", BA168="mm3"), (AY168/1971)*100, AND(F168="Mouse", BA168="ul"), (AY168/508.91)*100, AND(F168="Rat", BA168="ul"), (AY168/1971)*100,  AND(F168="Mouse", BA168="nl"), (AY168/508910)*100, AND(F168="Rat", BA168="nl"), (AY168/1971000)*100, AND(F168="Mouse", BA168="cm3"), (AY168/0.50891)*100, AND(F168="Rat", BA168="cm3"), (AY168/1.971)*100, AND(F168="Mouse", BA168="mL"), (AY168/0.50891)*100, AND(F168="Rat", BA168="mL"), (AY168/1.971)*100, TRUE, "NA")</f>
        <v>0.32618734157316615</v>
      </c>
      <c r="BE168" cm="1">
        <f t="array" ref="BE168">_xlfn.IFS(AX168="NA", "NA", BB168="NR", "NA", BB168="SD", AX168, BB168="SE", AX168*(SQRT(R168)), BB168="SEM", AX168*(SQRT(R168)), TRUE, "NA")</f>
        <v>0.45</v>
      </c>
      <c r="BF168" cm="1">
        <f t="array" ref="BF168">_xlfn.IFS(BE168="NA", "NA",BA168="Direct rLV % whole brain", BE168, BA168="Indirect rLV % whole brain", BE168, BA168="Direct rLV % hemisphere", BE168/2, BA168="Indirect rLV % hemisphere", BE168/2, AND(F168="Mouse", BA168="mm3"), (BE168/508.91)*100, AND(F168="Rat", BA168="mm3"), (BE168/1971)*100, AND(F168="Mouse", BA168="ul"), (BE168/508.91)*100, AND(F168="Rat", BA168="ul"), (BE168/1971)*100,  AND(F168="Mouse", BA168="nl"), (BE168/508910)*100, AND(F168="Rat", BA168="nl"), (BE168/1971000)*100, AND(F168="Mouse", BA168="cm3"), (BE168/0.50891)*100, AND(F168="Rat", BA168="cm3"), (BE168/1.971)*100, AND(F168="Mouse", BA168="mL"), (BE168/0.50891)*100, AND(F168="Rat", BA168="mL"), (BE168/1.971)*100, TRUE, "NA")</f>
        <v>8.8424279342123352E-2</v>
      </c>
      <c r="BG168" cm="1">
        <f t="array" ref="BG168">_xlfn.IFS(AZ168="NA", "NA", BB168="NR", "NA", BB168="SD", AZ168, BB168="SE", AZ168*(SQRT(R168)), BB168="SEM", AZ168*(SQRT(R168)), TRUE, "NA")</f>
        <v>0.49</v>
      </c>
      <c r="BH168" s="32" t="s">
        <v>154</v>
      </c>
      <c r="BI168" s="31" t="s">
        <v>154</v>
      </c>
      <c r="BJ168" s="31" t="s">
        <v>154</v>
      </c>
    </row>
    <row r="169" spans="1:63" x14ac:dyDescent="0.3">
      <c r="A169" t="s">
        <v>1113</v>
      </c>
      <c r="B169" t="s">
        <v>1110</v>
      </c>
      <c r="C169">
        <v>2020</v>
      </c>
      <c r="D169" t="s">
        <v>1114</v>
      </c>
      <c r="E169" t="s">
        <v>647</v>
      </c>
      <c r="F169" t="s">
        <v>24</v>
      </c>
      <c r="G169" t="s">
        <v>297</v>
      </c>
      <c r="H169" t="s">
        <v>34</v>
      </c>
      <c r="I169" t="s">
        <v>12</v>
      </c>
      <c r="J169" t="s">
        <v>8</v>
      </c>
      <c r="K169">
        <v>13</v>
      </c>
      <c r="L169">
        <f>AVERAGE(K169,M169)</f>
        <v>19.5</v>
      </c>
      <c r="M169">
        <v>26</v>
      </c>
      <c r="N169" t="s">
        <v>9</v>
      </c>
      <c r="O169" t="s">
        <v>9</v>
      </c>
      <c r="P169" t="s">
        <v>9</v>
      </c>
      <c r="Q169">
        <v>3</v>
      </c>
      <c r="R169">
        <v>4</v>
      </c>
      <c r="S169" t="s">
        <v>8</v>
      </c>
      <c r="T169" t="s">
        <v>8</v>
      </c>
      <c r="U169" s="18" t="s">
        <v>68</v>
      </c>
      <c r="V169" t="s">
        <v>8</v>
      </c>
      <c r="W169" t="s">
        <v>8</v>
      </c>
      <c r="X169" t="s">
        <v>68</v>
      </c>
      <c r="Y169" t="s">
        <v>8</v>
      </c>
      <c r="Z169" t="s">
        <v>8</v>
      </c>
      <c r="AA169" t="s">
        <v>640</v>
      </c>
      <c r="AB169" t="s">
        <v>636</v>
      </c>
      <c r="AC169" t="s">
        <v>9</v>
      </c>
      <c r="AD169" t="s">
        <v>634</v>
      </c>
      <c r="AE169">
        <v>0</v>
      </c>
      <c r="AF169">
        <v>2</v>
      </c>
      <c r="AG169" t="s">
        <v>580</v>
      </c>
      <c r="AH169">
        <v>2</v>
      </c>
      <c r="AI169" cm="1">
        <f t="array" ref="AI169">_xlfn.IFS(AF169="NR", "NA", AG169="NR", "NA", AG169="NA","NA", AND(AG169="mg/ml", AH169&lt;&gt;"NR"), ((AF169/2492)*AH169*1000000), AND(AG169="mol/L", AH169&lt;&gt;"NR"), AF169*AH169*1000000, AG169="nmol", AF169*1000, AND(AG169="nmol/uL", AH169&lt;&gt;"NR"), AF169*AH169*1000, AG169="pg", AF169/2492, AG169="pmol", AF169, AND(AG169="pmol/uL", AH169&lt;&gt;"NR"), AF169*AH169, AG169="ug", AF169/2492*1000000, AND(AG169="ug/mL", AH169&lt;&gt;"NR"), (AF169/1000*AH169)/2492*1000000, AND(AG169="ug/uL", AH169&lt;&gt;"NR"), (AF169*AH169)/2492*1000000, AND(AG169="umol/L", AH169&lt;&gt;"NR"), AH169*AF169, TRUE, "NA")</f>
        <v>1605.1364365971108</v>
      </c>
      <c r="AJ169">
        <v>10</v>
      </c>
      <c r="AK169">
        <v>2</v>
      </c>
      <c r="AL169" t="s">
        <v>665</v>
      </c>
      <c r="AM169" t="s">
        <v>8</v>
      </c>
      <c r="AN169" t="s">
        <v>9</v>
      </c>
      <c r="AO169" s="18" t="s">
        <v>12</v>
      </c>
      <c r="AP169" t="s">
        <v>8</v>
      </c>
      <c r="AQ169" t="s">
        <v>8</v>
      </c>
      <c r="AR169" t="s">
        <v>8</v>
      </c>
      <c r="AS169" s="18">
        <v>24</v>
      </c>
      <c r="AT169" t="s">
        <v>271</v>
      </c>
      <c r="AU169" t="s">
        <v>652</v>
      </c>
      <c r="AV169" t="s">
        <v>8</v>
      </c>
      <c r="AW169">
        <v>2.37</v>
      </c>
      <c r="AX169">
        <v>1.02</v>
      </c>
      <c r="AY169" t="s">
        <v>8</v>
      </c>
      <c r="AZ169" t="s">
        <v>8</v>
      </c>
      <c r="BA169" t="s">
        <v>656</v>
      </c>
      <c r="BB169" t="s">
        <v>122</v>
      </c>
      <c r="BC169" cm="1">
        <f t="array" ref="BC169">_xlfn.IFS(BA169="Direct rLV % whole brain", AW169, BA169="Indirect rLV % whole brain", AW169, BA169="Direct rLV % hemisphere", AW169/2, BA169="Indirect rLV % hemisphere", AW169/2, AND(F169="Mouse", BA169="mm3"), (AW169/508.91)*100, AND(F169="Rat", BA169="mm3"), (AW169/1971)*100, AND(F169="Mouse", BA169="ul"), (AW169/508.91)*100, AND(F169="Rat", BA169="ul"), (AW169/1971)*100,  AND(F169="Mouse", BA169="nl"), (AW169/508910)*100, AND(F169="Rat", BA169="nl"), (AW169/1971000)*100, AND(F169="Mouse", BA169="cm3"), (AW169/0.50891)*100, AND(F169="Rat", BA169="cm3"), (AW169/1.971)*100, AND(F169="Mouse", BA169="mL"), (AW169/0.50891)*100, AND(F169="Rat", BA169="mL"), (AW169/1.971)*100, TRUE, "NA")</f>
        <v>0.46570120453518304</v>
      </c>
      <c r="BD169" t="str" cm="1">
        <f t="array" ref="BD169">_xlfn.IFS(AZ169="NA", "NA",BA169="Direct rLV % whole brain", AY169, BA169="Indirect rLV % whole brain", AY169, BA169="Direct rLV % hemisphere", AY169/2, BA169="Indirect rLV % hemisphere", AY169/2, AND(F169="Mouse", BA169="mm3"), (AY169/508.91)*100, AND(F169="Rat", BA169="mm3"), (AY169/1971)*100, AND(F169="Mouse", BA169="ul"), (AY169/508.91)*100, AND(F169="Rat", BA169="ul"), (AY169/1971)*100,  AND(F169="Mouse", BA169="nl"), (AY169/508910)*100, AND(F169="Rat", BA169="nl"), (AY169/1971000)*100, AND(F169="Mouse", BA169="cm3"), (AY169/0.50891)*100, AND(F169="Rat", BA169="cm3"), (AY169/1.971)*100, AND(F169="Mouse", BA169="mL"), (AY169/0.50891)*100, AND(F169="Rat", BA169="mL"), (AY169/1.971)*100, TRUE, "NA")</f>
        <v>NA</v>
      </c>
      <c r="BE169" cm="1">
        <f t="array" ref="BE169">_xlfn.IFS(AX169="NA", "NA", BB169="NR", "NA", BB169="SD", AX169, BB169="SE", AX169*(SQRT(R169)), BB169="SEM", AX169*(SQRT(R169)), TRUE, "NA")</f>
        <v>1.02</v>
      </c>
      <c r="BF169" cm="1">
        <f t="array" ref="BF169">_xlfn.IFS(BE169="NA", "NA",BA169="Direct rLV % whole brain", BE169, BA169="Indirect rLV % whole brain", BE169, BA169="Direct rLV % hemisphere", BE169/2, BA169="Indirect rLV % hemisphere", BE169/2, AND(F169="Mouse", BA169="mm3"), (BE169/508.91)*100, AND(F169="Rat", BA169="mm3"), (BE169/1971)*100, AND(F169="Mouse", BA169="ul"), (BE169/508.91)*100, AND(F169="Rat", BA169="ul"), (BE169/1971)*100,  AND(F169="Mouse", BA169="nl"), (BE169/508910)*100, AND(F169="Rat", BA169="nl"), (BE169/1971000)*100, AND(F169="Mouse", BA169="cm3"), (BE169/0.50891)*100, AND(F169="Rat", BA169="cm3"), (BE169/1.971)*100, AND(F169="Mouse", BA169="mL"), (BE169/0.50891)*100, AND(F169="Rat", BA169="mL"), (BE169/1.971)*100, TRUE, "NA")</f>
        <v>0.20042836650881296</v>
      </c>
      <c r="BG169" t="str" cm="1">
        <f t="array" ref="BG169">_xlfn.IFS(AZ169="NA", "NA", BB169="NR", "NA", BB169="SD", AZ169, BB169="SE", AZ169*(SQRT(R169)), BB169="SEM", AZ169*(SQRT(R169)), TRUE, "NA")</f>
        <v>NA</v>
      </c>
      <c r="BH169" s="18" t="s">
        <v>153</v>
      </c>
      <c r="BI169" t="s">
        <v>154</v>
      </c>
      <c r="BJ169" t="s">
        <v>154</v>
      </c>
    </row>
    <row r="170" spans="1:63" s="31" customFormat="1" x14ac:dyDescent="0.3">
      <c r="A170" s="31" t="s">
        <v>1115</v>
      </c>
      <c r="B170" s="31" t="s">
        <v>779</v>
      </c>
      <c r="C170" s="31">
        <v>1997</v>
      </c>
      <c r="D170" s="31" t="s">
        <v>1116</v>
      </c>
      <c r="E170" s="31" t="s">
        <v>647</v>
      </c>
      <c r="F170" s="31" t="s">
        <v>23</v>
      </c>
      <c r="G170" s="31" t="s">
        <v>10</v>
      </c>
      <c r="H170" s="31" t="s">
        <v>34</v>
      </c>
      <c r="I170" s="31" t="s">
        <v>12</v>
      </c>
      <c r="J170" s="31" t="s">
        <v>8</v>
      </c>
      <c r="K170" s="31" t="s">
        <v>9</v>
      </c>
      <c r="L170" s="31" t="s">
        <v>9</v>
      </c>
      <c r="M170" s="31" t="s">
        <v>9</v>
      </c>
      <c r="N170" s="31">
        <v>250</v>
      </c>
      <c r="O170" s="31">
        <f t="shared" ref="O170:O178" si="31">AVERAGE(N170,P170)</f>
        <v>275</v>
      </c>
      <c r="P170" s="31">
        <v>300</v>
      </c>
      <c r="Q170" s="31">
        <v>5</v>
      </c>
      <c r="R170" s="31">
        <v>8.5</v>
      </c>
      <c r="S170" s="31" t="s">
        <v>8</v>
      </c>
      <c r="T170" s="31" t="s">
        <v>8</v>
      </c>
      <c r="U170" s="32" t="s">
        <v>66</v>
      </c>
      <c r="V170" s="31" t="s">
        <v>8</v>
      </c>
      <c r="W170" s="31" t="s">
        <v>8</v>
      </c>
      <c r="X170" s="31" t="s">
        <v>66</v>
      </c>
      <c r="Y170" s="31" t="s">
        <v>8</v>
      </c>
      <c r="Z170" s="31" t="s">
        <v>8</v>
      </c>
      <c r="AA170" s="31" t="s">
        <v>639</v>
      </c>
      <c r="AB170" s="31" t="s">
        <v>636</v>
      </c>
      <c r="AC170" s="31" t="s">
        <v>9</v>
      </c>
      <c r="AD170" s="31" t="s">
        <v>634</v>
      </c>
      <c r="AE170" s="31">
        <v>0</v>
      </c>
      <c r="AF170" s="31">
        <v>0.01</v>
      </c>
      <c r="AG170" s="31" t="s">
        <v>580</v>
      </c>
      <c r="AH170" s="31">
        <v>1</v>
      </c>
      <c r="AI170" cm="1">
        <f t="array" ref="AI170">_xlfn.IFS(AF170="NR", "NA", AG170="NR", "NA", AG170="NA","NA", AND(AG170="mg/ml", AH170&lt;&gt;"NR"), ((AF170/2492)*AH170*1000000), AND(AG170="mol/L", AH170&lt;&gt;"NR"), AF170*AH170*1000000, AG170="nmol", AF170*1000, AND(AG170="nmol/uL", AH170&lt;&gt;"NR"), AF170*AH170*1000, AG170="pg", AF170/2492, AG170="pmol", AF170, AND(AG170="pmol/uL", AH170&lt;&gt;"NR"), AF170*AH170, AG170="ug", AF170/2492*1000000, AND(AG170="ug/mL", AH170&lt;&gt;"NR"), (AF170/1000*AH170)/2492*1000000, AND(AG170="ug/uL", AH170&lt;&gt;"NR"), (AF170*AH170)/2492*1000000, AND(AG170="umol/L", AH170&lt;&gt;"NR"), AH170*AF170, TRUE, "NA")</f>
        <v>4.0128410914927768</v>
      </c>
      <c r="AJ170" s="31">
        <v>20</v>
      </c>
      <c r="AK170" s="31">
        <v>1</v>
      </c>
      <c r="AL170" s="31" t="s">
        <v>9</v>
      </c>
      <c r="AM170" s="31" t="s">
        <v>8</v>
      </c>
      <c r="AN170" s="31" t="s">
        <v>9</v>
      </c>
      <c r="AO170" s="32" t="s">
        <v>12</v>
      </c>
      <c r="AP170" s="31" t="s">
        <v>8</v>
      </c>
      <c r="AQ170" s="31" t="s">
        <v>8</v>
      </c>
      <c r="AR170" s="31" t="s">
        <v>8</v>
      </c>
      <c r="AS170" s="32">
        <v>48</v>
      </c>
      <c r="AT170" s="31" t="s">
        <v>271</v>
      </c>
      <c r="AU170" s="31" t="s">
        <v>654</v>
      </c>
      <c r="AV170" s="31" t="s">
        <v>8</v>
      </c>
      <c r="AW170" s="31">
        <v>0.55000000000000004</v>
      </c>
      <c r="AX170" s="31">
        <v>0.17</v>
      </c>
      <c r="AY170" s="31" t="s">
        <v>8</v>
      </c>
      <c r="AZ170" s="31" t="s">
        <v>8</v>
      </c>
      <c r="BA170" s="31" t="s">
        <v>656</v>
      </c>
      <c r="BB170" s="31" t="s">
        <v>123</v>
      </c>
      <c r="BC170" cm="1">
        <f t="array" ref="BC170">_xlfn.IFS(BA170="Direct rLV % whole brain", AW170, BA170="Indirect rLV % whole brain", AW170, BA170="Direct rLV % hemisphere", AW170/2, BA170="Indirect rLV % hemisphere", AW170/2, AND(F170="Mouse", BA170="mm3"), (AW170/508.91)*100, AND(F170="Rat", BA170="mm3"), (AW170/1971)*100, AND(F170="Mouse", BA170="ul"), (AW170/508.91)*100, AND(F170="Rat", BA170="ul"), (AW170/1971)*100,  AND(F170="Mouse", BA170="nl"), (AW170/508910)*100, AND(F170="Rat", BA170="nl"), (AW170/1971000)*100, AND(F170="Mouse", BA170="cm3"), (AW170/0.50891)*100, AND(F170="Rat", BA170="cm3"), (AW170/1.971)*100, AND(F170="Mouse", BA170="mL"), (AW170/0.50891)*100, AND(F170="Rat", BA170="mL"), (AW170/1.971)*100, TRUE, "NA")</f>
        <v>2.7904616945712838E-2</v>
      </c>
      <c r="BD170" t="str" cm="1">
        <f t="array" ref="BD170">_xlfn.IFS(AZ170="NA", "NA",BA170="Direct rLV % whole brain", AY170, BA170="Indirect rLV % whole brain", AY170, BA170="Direct rLV % hemisphere", AY170/2, BA170="Indirect rLV % hemisphere", AY170/2, AND(F170="Mouse", BA170="mm3"), (AY170/508.91)*100, AND(F170="Rat", BA170="mm3"), (AY170/1971)*100, AND(F170="Mouse", BA170="ul"), (AY170/508.91)*100, AND(F170="Rat", BA170="ul"), (AY170/1971)*100,  AND(F170="Mouse", BA170="nl"), (AY170/508910)*100, AND(F170="Rat", BA170="nl"), (AY170/1971000)*100, AND(F170="Mouse", BA170="cm3"), (AY170/0.50891)*100, AND(F170="Rat", BA170="cm3"), (AY170/1.971)*100, AND(F170="Mouse", BA170="mL"), (AY170/0.50891)*100, AND(F170="Rat", BA170="mL"), (AY170/1.971)*100, TRUE, "NA")</f>
        <v>NA</v>
      </c>
      <c r="BE170" cm="1">
        <f t="array" ref="BE170">_xlfn.IFS(AX170="NA", "NA", BB170="NR", "NA", BB170="SD", AX170, BB170="SE", AX170*(SQRT(R170)), BB170="SEM", AX170*(SQRT(R170)), TRUE, "NA")</f>
        <v>0.49563091106185059</v>
      </c>
      <c r="BF170" cm="1">
        <f t="array" ref="BF170">_xlfn.IFS(BE170="NA", "NA",BA170="Direct rLV % whole brain", BE170, BA170="Indirect rLV % whole brain", BE170, BA170="Direct rLV % hemisphere", BE170/2, BA170="Indirect rLV % hemisphere", BE170/2, AND(F170="Mouse", BA170="mm3"), (BE170/508.91)*100, AND(F170="Rat", BA170="mm3"), (BE170/1971)*100, AND(F170="Mouse", BA170="ul"), (BE170/508.91)*100, AND(F170="Rat", BA170="ul"), (BE170/1971)*100,  AND(F170="Mouse", BA170="nl"), (BE170/508910)*100, AND(F170="Rat", BA170="nl"), (BE170/1971000)*100, AND(F170="Mouse", BA170="cm3"), (BE170/0.50891)*100, AND(F170="Rat", BA170="cm3"), (BE170/1.971)*100, AND(F170="Mouse", BA170="mL"), (BE170/0.50891)*100, AND(F170="Rat", BA170="mL"), (BE170/1.971)*100, TRUE, "NA")</f>
        <v>2.5146164944792018E-2</v>
      </c>
      <c r="BG170" t="str" cm="1">
        <f t="array" ref="BG170">_xlfn.IFS(AZ170="NA", "NA", BB170="NR", "NA", BB170="SD", AZ170, BB170="SE", AZ170*(SQRT(R170)), BB170="SEM", AZ170*(SQRT(R170)), TRUE, "NA")</f>
        <v>NA</v>
      </c>
      <c r="BH170" s="32" t="s">
        <v>154</v>
      </c>
      <c r="BI170" s="31" t="s">
        <v>153</v>
      </c>
      <c r="BJ170" s="31" t="s">
        <v>154</v>
      </c>
    </row>
    <row r="171" spans="1:63" s="31" customFormat="1" x14ac:dyDescent="0.3">
      <c r="A171" s="31" t="s">
        <v>1115</v>
      </c>
      <c r="B171" s="31" t="s">
        <v>779</v>
      </c>
      <c r="C171" s="31">
        <v>1997</v>
      </c>
      <c r="D171" s="31" t="s">
        <v>1116</v>
      </c>
      <c r="E171" s="31" t="s">
        <v>678</v>
      </c>
      <c r="F171" s="31" t="s">
        <v>23</v>
      </c>
      <c r="G171" s="31" t="s">
        <v>10</v>
      </c>
      <c r="H171" s="31" t="s">
        <v>34</v>
      </c>
      <c r="I171" s="31" t="s">
        <v>12</v>
      </c>
      <c r="J171" s="31" t="s">
        <v>8</v>
      </c>
      <c r="K171" s="31" t="s">
        <v>9</v>
      </c>
      <c r="L171" s="31" t="s">
        <v>9</v>
      </c>
      <c r="M171" s="31" t="s">
        <v>9</v>
      </c>
      <c r="N171" s="31">
        <v>250</v>
      </c>
      <c r="O171" s="31">
        <f t="shared" si="31"/>
        <v>275</v>
      </c>
      <c r="P171" s="31">
        <v>300</v>
      </c>
      <c r="Q171" s="31">
        <v>5</v>
      </c>
      <c r="R171" s="31">
        <v>8.5</v>
      </c>
      <c r="S171" s="31" t="s">
        <v>8</v>
      </c>
      <c r="T171" s="31" t="s">
        <v>8</v>
      </c>
      <c r="U171" s="32" t="s">
        <v>66</v>
      </c>
      <c r="V171" s="31" t="s">
        <v>8</v>
      </c>
      <c r="W171" s="31" t="s">
        <v>8</v>
      </c>
      <c r="X171" s="31" t="s">
        <v>66</v>
      </c>
      <c r="Y171" s="31" t="s">
        <v>8</v>
      </c>
      <c r="Z171" s="31" t="s">
        <v>8</v>
      </c>
      <c r="AA171" s="31" t="s">
        <v>639</v>
      </c>
      <c r="AB171" s="31" t="s">
        <v>636</v>
      </c>
      <c r="AC171" s="31" t="s">
        <v>9</v>
      </c>
      <c r="AD171" s="31" t="s">
        <v>634</v>
      </c>
      <c r="AE171" s="31">
        <v>0</v>
      </c>
      <c r="AF171" s="31">
        <v>0.03</v>
      </c>
      <c r="AG171" s="31" t="s">
        <v>580</v>
      </c>
      <c r="AH171" s="31">
        <v>1</v>
      </c>
      <c r="AI171" cm="1">
        <f t="array" ref="AI171">_xlfn.IFS(AF171="NR", "NA", AG171="NR", "NA", AG171="NA","NA", AND(AG171="mg/ml", AH171&lt;&gt;"NR"), ((AF171/2492)*AH171*1000000), AND(AG171="mol/L", AH171&lt;&gt;"NR"), AF171*AH171*1000000, AG171="nmol", AF171*1000, AND(AG171="nmol/uL", AH171&lt;&gt;"NR"), AF171*AH171*1000, AG171="pg", AF171/2492, AG171="pmol", AF171, AND(AG171="pmol/uL", AH171&lt;&gt;"NR"), AF171*AH171, AG171="ug", AF171/2492*1000000, AND(AG171="ug/mL", AH171&lt;&gt;"NR"), (AF171/1000*AH171)/2492*1000000, AND(AG171="ug/uL", AH171&lt;&gt;"NR"), (AF171*AH171)/2492*1000000, AND(AG171="umol/L", AH171&lt;&gt;"NR"), AH171*AF171, TRUE, "NA")</f>
        <v>12.038523274478331</v>
      </c>
      <c r="AJ171" s="31">
        <v>20</v>
      </c>
      <c r="AK171" s="31">
        <v>1</v>
      </c>
      <c r="AL171" s="31" t="s">
        <v>9</v>
      </c>
      <c r="AM171" s="31" t="s">
        <v>8</v>
      </c>
      <c r="AN171" s="31" t="s">
        <v>9</v>
      </c>
      <c r="AO171" s="32" t="s">
        <v>12</v>
      </c>
      <c r="AP171" s="31" t="s">
        <v>8</v>
      </c>
      <c r="AQ171" s="31" t="s">
        <v>8</v>
      </c>
      <c r="AR171" s="31" t="s">
        <v>8</v>
      </c>
      <c r="AS171" s="32">
        <v>48</v>
      </c>
      <c r="AT171" s="31" t="s">
        <v>271</v>
      </c>
      <c r="AU171" s="31" t="s">
        <v>654</v>
      </c>
      <c r="AV171" s="31" t="s">
        <v>8</v>
      </c>
      <c r="AW171" s="31">
        <v>1.36</v>
      </c>
      <c r="AX171" s="31">
        <v>0.31</v>
      </c>
      <c r="AY171" s="31" t="s">
        <v>8</v>
      </c>
      <c r="AZ171" s="31" t="s">
        <v>8</v>
      </c>
      <c r="BA171" s="31" t="s">
        <v>656</v>
      </c>
      <c r="BB171" s="31" t="s">
        <v>123</v>
      </c>
      <c r="BC171" cm="1">
        <f t="array" ref="BC171">_xlfn.IFS(BA171="Direct rLV % whole brain", AW171, BA171="Indirect rLV % whole brain", AW171, BA171="Direct rLV % hemisphere", AW171/2, BA171="Indirect rLV % hemisphere", AW171/2, AND(F171="Mouse", BA171="mm3"), (AW171/508.91)*100, AND(F171="Rat", BA171="mm3"), (AW171/1971)*100, AND(F171="Mouse", BA171="ul"), (AW171/508.91)*100, AND(F171="Rat", BA171="ul"), (AW171/1971)*100,  AND(F171="Mouse", BA171="nl"), (AW171/508910)*100, AND(F171="Rat", BA171="nl"), (AW171/1971000)*100, AND(F171="Mouse", BA171="cm3"), (AW171/0.50891)*100, AND(F171="Rat", BA171="cm3"), (AW171/1.971)*100, AND(F171="Mouse", BA171="mL"), (AW171/0.50891)*100, AND(F171="Rat", BA171="mL"), (AW171/1.971)*100, TRUE, "NA")</f>
        <v>6.9000507356671736E-2</v>
      </c>
      <c r="BD171" t="str" cm="1">
        <f t="array" ref="BD171">_xlfn.IFS(AZ171="NA", "NA",BA171="Direct rLV % whole brain", AY171, BA171="Indirect rLV % whole brain", AY171, BA171="Direct rLV % hemisphere", AY171/2, BA171="Indirect rLV % hemisphere", AY171/2, AND(F171="Mouse", BA171="mm3"), (AY171/508.91)*100, AND(F171="Rat", BA171="mm3"), (AY171/1971)*100, AND(F171="Mouse", BA171="ul"), (AY171/508.91)*100, AND(F171="Rat", BA171="ul"), (AY171/1971)*100,  AND(F171="Mouse", BA171="nl"), (AY171/508910)*100, AND(F171="Rat", BA171="nl"), (AY171/1971000)*100, AND(F171="Mouse", BA171="cm3"), (AY171/0.50891)*100, AND(F171="Rat", BA171="cm3"), (AY171/1.971)*100, AND(F171="Mouse", BA171="mL"), (AY171/0.50891)*100, AND(F171="Rat", BA171="mL"), (AY171/1.971)*100, TRUE, "NA")</f>
        <v>NA</v>
      </c>
      <c r="BE171" cm="1">
        <f t="array" ref="BE171">_xlfn.IFS(AX171="NA", "NA", BB171="NR", "NA", BB171="SD", AX171, BB171="SE", AX171*(SQRT(R171)), BB171="SEM", AX171*(SQRT(R171)), TRUE, "NA")</f>
        <v>0.90379754370102161</v>
      </c>
      <c r="BF171" cm="1">
        <f t="array" ref="BF171">_xlfn.IFS(BE171="NA", "NA",BA171="Direct rLV % whole brain", BE171, BA171="Indirect rLV % whole brain", BE171, BA171="Direct rLV % hemisphere", BE171/2, BA171="Indirect rLV % hemisphere", BE171/2, AND(F171="Mouse", BA171="mm3"), (BE171/508.91)*100, AND(F171="Rat", BA171="mm3"), (BE171/1971)*100, AND(F171="Mouse", BA171="ul"), (BE171/508.91)*100, AND(F171="Rat", BA171="ul"), (BE171/1971)*100,  AND(F171="Mouse", BA171="nl"), (BE171/508910)*100, AND(F171="Rat", BA171="nl"), (BE171/1971000)*100, AND(F171="Mouse", BA171="cm3"), (BE171/0.50891)*100, AND(F171="Rat", BA171="cm3"), (BE171/1.971)*100, AND(F171="Mouse", BA171="mL"), (BE171/0.50891)*100, AND(F171="Rat", BA171="mL"), (BE171/1.971)*100, TRUE, "NA")</f>
        <v>4.5854771369914844E-2</v>
      </c>
      <c r="BG171" t="str" cm="1">
        <f t="array" ref="BG171">_xlfn.IFS(AZ171="NA", "NA", BB171="NR", "NA", BB171="SD", AZ171, BB171="SE", AZ171*(SQRT(R171)), BB171="SEM", AZ171*(SQRT(R171)), TRUE, "NA")</f>
        <v>NA</v>
      </c>
      <c r="BH171" s="32" t="s">
        <v>154</v>
      </c>
      <c r="BI171" s="31" t="s">
        <v>153</v>
      </c>
      <c r="BJ171" s="31" t="s">
        <v>154</v>
      </c>
    </row>
    <row r="172" spans="1:63" s="31" customFormat="1" x14ac:dyDescent="0.3">
      <c r="A172" s="31" t="s">
        <v>1115</v>
      </c>
      <c r="B172" s="31" t="s">
        <v>779</v>
      </c>
      <c r="C172" s="31">
        <v>1997</v>
      </c>
      <c r="D172" s="31" t="s">
        <v>1116</v>
      </c>
      <c r="E172" s="31" t="s">
        <v>699</v>
      </c>
      <c r="F172" s="31" t="s">
        <v>23</v>
      </c>
      <c r="G172" s="31" t="s">
        <v>10</v>
      </c>
      <c r="H172" s="31" t="s">
        <v>34</v>
      </c>
      <c r="I172" s="31" t="s">
        <v>12</v>
      </c>
      <c r="J172" s="31" t="s">
        <v>8</v>
      </c>
      <c r="K172" s="31" t="s">
        <v>9</v>
      </c>
      <c r="L172" s="31" t="s">
        <v>9</v>
      </c>
      <c r="M172" s="31" t="s">
        <v>9</v>
      </c>
      <c r="N172" s="31">
        <v>250</v>
      </c>
      <c r="O172" s="31">
        <f t="shared" si="31"/>
        <v>275</v>
      </c>
      <c r="P172" s="31">
        <v>300</v>
      </c>
      <c r="Q172" s="31">
        <v>5</v>
      </c>
      <c r="R172" s="31">
        <v>8.5</v>
      </c>
      <c r="S172" s="31" t="s">
        <v>8</v>
      </c>
      <c r="T172" s="31" t="s">
        <v>8</v>
      </c>
      <c r="U172" s="32" t="s">
        <v>66</v>
      </c>
      <c r="V172" s="31" t="s">
        <v>8</v>
      </c>
      <c r="W172" s="31" t="s">
        <v>8</v>
      </c>
      <c r="X172" s="31" t="s">
        <v>66</v>
      </c>
      <c r="Y172" s="31" t="s">
        <v>8</v>
      </c>
      <c r="Z172" s="31" t="s">
        <v>8</v>
      </c>
      <c r="AA172" s="31" t="s">
        <v>639</v>
      </c>
      <c r="AB172" s="31" t="s">
        <v>636</v>
      </c>
      <c r="AC172" s="31" t="s">
        <v>9</v>
      </c>
      <c r="AD172" s="31" t="s">
        <v>634</v>
      </c>
      <c r="AE172" s="31">
        <v>0</v>
      </c>
      <c r="AF172" s="31">
        <v>0.1</v>
      </c>
      <c r="AG172" s="31" t="s">
        <v>580</v>
      </c>
      <c r="AH172" s="31">
        <v>1</v>
      </c>
      <c r="AI172" cm="1">
        <f t="array" ref="AI172">_xlfn.IFS(AF172="NR", "NA", AG172="NR", "NA", AG172="NA","NA", AND(AG172="mg/ml", AH172&lt;&gt;"NR"), ((AF172/2492)*AH172*1000000), AND(AG172="mol/L", AH172&lt;&gt;"NR"), AF172*AH172*1000000, AG172="nmol", AF172*1000, AND(AG172="nmol/uL", AH172&lt;&gt;"NR"), AF172*AH172*1000, AG172="pg", AF172/2492, AG172="pmol", AF172, AND(AG172="pmol/uL", AH172&lt;&gt;"NR"), AF172*AH172, AG172="ug", AF172/2492*1000000, AND(AG172="ug/mL", AH172&lt;&gt;"NR"), (AF172/1000*AH172)/2492*1000000, AND(AG172="ug/uL", AH172&lt;&gt;"NR"), (AF172*AH172)/2492*1000000, AND(AG172="umol/L", AH172&lt;&gt;"NR"), AH172*AF172, TRUE, "NA")</f>
        <v>40.12841091492777</v>
      </c>
      <c r="AJ172" s="31">
        <v>20</v>
      </c>
      <c r="AK172" s="31">
        <v>1</v>
      </c>
      <c r="AL172" s="31" t="s">
        <v>9</v>
      </c>
      <c r="AM172" s="31" t="s">
        <v>8</v>
      </c>
      <c r="AN172" s="31" t="s">
        <v>9</v>
      </c>
      <c r="AO172" s="32" t="s">
        <v>12</v>
      </c>
      <c r="AP172" s="31" t="s">
        <v>8</v>
      </c>
      <c r="AQ172" s="31" t="s">
        <v>8</v>
      </c>
      <c r="AR172" s="31" t="s">
        <v>8</v>
      </c>
      <c r="AS172" s="32">
        <v>48</v>
      </c>
      <c r="AT172" s="31" t="s">
        <v>271</v>
      </c>
      <c r="AU172" s="31" t="s">
        <v>654</v>
      </c>
      <c r="AV172" s="31" t="s">
        <v>8</v>
      </c>
      <c r="AW172" s="31">
        <v>3.09</v>
      </c>
      <c r="AX172" s="31">
        <v>0.49</v>
      </c>
      <c r="AY172" s="31" t="s">
        <v>8</v>
      </c>
      <c r="AZ172" s="31" t="s">
        <v>8</v>
      </c>
      <c r="BA172" s="31" t="s">
        <v>656</v>
      </c>
      <c r="BB172" s="31" t="s">
        <v>123</v>
      </c>
      <c r="BC172" cm="1">
        <f t="array" ref="BC172">_xlfn.IFS(BA172="Direct rLV % whole brain", AW172, BA172="Indirect rLV % whole brain", AW172, BA172="Direct rLV % hemisphere", AW172/2, BA172="Indirect rLV % hemisphere", AW172/2, AND(F172="Mouse", BA172="mm3"), (AW172/508.91)*100, AND(F172="Rat", BA172="mm3"), (AW172/1971)*100, AND(F172="Mouse", BA172="ul"), (AW172/508.91)*100, AND(F172="Rat", BA172="ul"), (AW172/1971)*100,  AND(F172="Mouse", BA172="nl"), (AW172/508910)*100, AND(F172="Rat", BA172="nl"), (AW172/1971000)*100, AND(F172="Mouse", BA172="cm3"), (AW172/0.50891)*100, AND(F172="Rat", BA172="cm3"), (AW172/1.971)*100, AND(F172="Mouse", BA172="mL"), (AW172/0.50891)*100, AND(F172="Rat", BA172="mL"), (AW172/1.971)*100, TRUE, "NA")</f>
        <v>0.15677321156773211</v>
      </c>
      <c r="BD172" t="str" cm="1">
        <f t="array" ref="BD172">_xlfn.IFS(AZ172="NA", "NA",BA172="Direct rLV % whole brain", AY172, BA172="Indirect rLV % whole brain", AY172, BA172="Direct rLV % hemisphere", AY172/2, BA172="Indirect rLV % hemisphere", AY172/2, AND(F172="Mouse", BA172="mm3"), (AY172/508.91)*100, AND(F172="Rat", BA172="mm3"), (AY172/1971)*100, AND(F172="Mouse", BA172="ul"), (AY172/508.91)*100, AND(F172="Rat", BA172="ul"), (AY172/1971)*100,  AND(F172="Mouse", BA172="nl"), (AY172/508910)*100, AND(F172="Rat", BA172="nl"), (AY172/1971000)*100, AND(F172="Mouse", BA172="cm3"), (AY172/0.50891)*100, AND(F172="Rat", BA172="cm3"), (AY172/1.971)*100, AND(F172="Mouse", BA172="mL"), (AY172/0.50891)*100, AND(F172="Rat", BA172="mL"), (AY172/1.971)*100, TRUE, "NA")</f>
        <v>NA</v>
      </c>
      <c r="BE172" cm="1">
        <f t="array" ref="BE172">_xlfn.IFS(AX172="NA", "NA", BB172="NR", "NA", BB172="SD", AX172, BB172="SE", AX172*(SQRT(R172)), BB172="SEM", AX172*(SQRT(R172)), TRUE, "NA")</f>
        <v>1.4285832142370987</v>
      </c>
      <c r="BF172" cm="1">
        <f t="array" ref="BF172">_xlfn.IFS(BE172="NA", "NA",BA172="Direct rLV % whole brain", BE172, BA172="Indirect rLV % whole brain", BE172, BA172="Direct rLV % hemisphere", BE172/2, BA172="Indirect rLV % hemisphere", BE172/2, AND(F172="Mouse", BA172="mm3"), (BE172/508.91)*100, AND(F172="Rat", BA172="mm3"), (BE172/1971)*100, AND(F172="Mouse", BA172="ul"), (BE172/508.91)*100, AND(F172="Rat", BA172="ul"), (BE172/1971)*100,  AND(F172="Mouse", BA172="nl"), (BE172/508910)*100, AND(F172="Rat", BA172="nl"), (BE172/1971000)*100, AND(F172="Mouse", BA172="cm3"), (BE172/0.50891)*100, AND(F172="Rat", BA172="cm3"), (BE172/1.971)*100, AND(F172="Mouse", BA172="mL"), (BE172/0.50891)*100, AND(F172="Rat", BA172="mL"), (BE172/1.971)*100, TRUE, "NA")</f>
        <v>7.2480122487929913E-2</v>
      </c>
      <c r="BG172" t="str" cm="1">
        <f t="array" ref="BG172">_xlfn.IFS(AZ172="NA", "NA", BB172="NR", "NA", BB172="SD", AZ172, BB172="SE", AZ172*(SQRT(R172)), BB172="SEM", AZ172*(SQRT(R172)), TRUE, "NA")</f>
        <v>NA</v>
      </c>
      <c r="BH172" s="32" t="s">
        <v>154</v>
      </c>
      <c r="BI172" s="31" t="s">
        <v>153</v>
      </c>
      <c r="BJ172" s="31" t="s">
        <v>154</v>
      </c>
    </row>
    <row r="173" spans="1:63" s="31" customFormat="1" x14ac:dyDescent="0.3">
      <c r="A173" s="31" t="s">
        <v>1115</v>
      </c>
      <c r="B173" s="31" t="s">
        <v>779</v>
      </c>
      <c r="C173" s="31">
        <v>1997</v>
      </c>
      <c r="D173" s="31" t="s">
        <v>1116</v>
      </c>
      <c r="E173" s="31" t="s">
        <v>760</v>
      </c>
      <c r="F173" s="31" t="s">
        <v>23</v>
      </c>
      <c r="G173" s="31" t="s">
        <v>10</v>
      </c>
      <c r="H173" s="31" t="s">
        <v>34</v>
      </c>
      <c r="I173" s="31" t="s">
        <v>12</v>
      </c>
      <c r="J173" s="31" t="s">
        <v>8</v>
      </c>
      <c r="K173" s="31" t="s">
        <v>9</v>
      </c>
      <c r="L173" s="31" t="s">
        <v>9</v>
      </c>
      <c r="M173" s="31" t="s">
        <v>9</v>
      </c>
      <c r="N173" s="31">
        <v>250</v>
      </c>
      <c r="O173" s="31">
        <f t="shared" si="31"/>
        <v>275</v>
      </c>
      <c r="P173" s="31">
        <v>300</v>
      </c>
      <c r="Q173" s="31">
        <v>5</v>
      </c>
      <c r="R173" s="31">
        <v>8.5</v>
      </c>
      <c r="S173" s="31" t="s">
        <v>8</v>
      </c>
      <c r="T173" s="31" t="s">
        <v>8</v>
      </c>
      <c r="U173" s="32" t="s">
        <v>66</v>
      </c>
      <c r="V173" s="31" t="s">
        <v>8</v>
      </c>
      <c r="W173" s="31" t="s">
        <v>8</v>
      </c>
      <c r="X173" s="31" t="s">
        <v>66</v>
      </c>
      <c r="Y173" s="31" t="s">
        <v>8</v>
      </c>
      <c r="Z173" s="31" t="s">
        <v>8</v>
      </c>
      <c r="AA173" s="31" t="s">
        <v>639</v>
      </c>
      <c r="AB173" s="31" t="s">
        <v>636</v>
      </c>
      <c r="AC173" s="31" t="s">
        <v>9</v>
      </c>
      <c r="AD173" s="31" t="s">
        <v>634</v>
      </c>
      <c r="AE173" s="31">
        <v>0</v>
      </c>
      <c r="AF173" s="31">
        <v>0.3</v>
      </c>
      <c r="AG173" s="31" t="s">
        <v>580</v>
      </c>
      <c r="AH173" s="31">
        <v>1</v>
      </c>
      <c r="AI173" cm="1">
        <f t="array" ref="AI173">_xlfn.IFS(AF173="NR", "NA", AG173="NR", "NA", AG173="NA","NA", AND(AG173="mg/ml", AH173&lt;&gt;"NR"), ((AF173/2492)*AH173*1000000), AND(AG173="mol/L", AH173&lt;&gt;"NR"), AF173*AH173*1000000, AG173="nmol", AF173*1000, AND(AG173="nmol/uL", AH173&lt;&gt;"NR"), AF173*AH173*1000, AG173="pg", AF173/2492, AG173="pmol", AF173, AND(AG173="pmol/uL", AH173&lt;&gt;"NR"), AF173*AH173, AG173="ug", AF173/2492*1000000, AND(AG173="ug/mL", AH173&lt;&gt;"NR"), (AF173/1000*AH173)/2492*1000000, AND(AG173="ug/uL", AH173&lt;&gt;"NR"), (AF173*AH173)/2492*1000000, AND(AG173="umol/L", AH173&lt;&gt;"NR"), AH173*AF173, TRUE, "NA")</f>
        <v>120.38523274478331</v>
      </c>
      <c r="AJ173" s="31">
        <v>20</v>
      </c>
      <c r="AK173" s="31">
        <v>1</v>
      </c>
      <c r="AL173" s="31" t="s">
        <v>9</v>
      </c>
      <c r="AM173" s="31" t="s">
        <v>8</v>
      </c>
      <c r="AN173" s="31" t="s">
        <v>9</v>
      </c>
      <c r="AO173" s="32" t="s">
        <v>12</v>
      </c>
      <c r="AP173" s="31" t="s">
        <v>8</v>
      </c>
      <c r="AQ173" s="31" t="s">
        <v>8</v>
      </c>
      <c r="AR173" s="31" t="s">
        <v>8</v>
      </c>
      <c r="AS173" s="32">
        <v>48</v>
      </c>
      <c r="AT173" s="31" t="s">
        <v>271</v>
      </c>
      <c r="AU173" s="31" t="s">
        <v>654</v>
      </c>
      <c r="AV173" s="31" t="s">
        <v>8</v>
      </c>
      <c r="AW173" s="31">
        <v>4.2</v>
      </c>
      <c r="AX173" s="31">
        <v>0.57999999999999996</v>
      </c>
      <c r="AY173" s="31" t="s">
        <v>8</v>
      </c>
      <c r="AZ173" s="31" t="s">
        <v>8</v>
      </c>
      <c r="BA173" s="31" t="s">
        <v>656</v>
      </c>
      <c r="BB173" s="31" t="s">
        <v>123</v>
      </c>
      <c r="BC173" cm="1">
        <f t="array" ref="BC173">_xlfn.IFS(BA173="Direct rLV % whole brain", AW173, BA173="Indirect rLV % whole brain", AW173, BA173="Direct rLV % hemisphere", AW173/2, BA173="Indirect rLV % hemisphere", AW173/2, AND(F173="Mouse", BA173="mm3"), (AW173/508.91)*100, AND(F173="Rat", BA173="mm3"), (AW173/1971)*100, AND(F173="Mouse", BA173="ul"), (AW173/508.91)*100, AND(F173="Rat", BA173="ul"), (AW173/1971)*100,  AND(F173="Mouse", BA173="nl"), (AW173/508910)*100, AND(F173="Rat", BA173="nl"), (AW173/1971000)*100, AND(F173="Mouse", BA173="cm3"), (AW173/0.50891)*100, AND(F173="Rat", BA173="cm3"), (AW173/1.971)*100, AND(F173="Mouse", BA173="mL"), (AW173/0.50891)*100, AND(F173="Rat", BA173="mL"), (AW173/1.971)*100, TRUE, "NA")</f>
        <v>0.21308980213089801</v>
      </c>
      <c r="BD173" t="str" cm="1">
        <f t="array" ref="BD173">_xlfn.IFS(AZ173="NA", "NA",BA173="Direct rLV % whole brain", AY173, BA173="Indirect rLV % whole brain", AY173, BA173="Direct rLV % hemisphere", AY173/2, BA173="Indirect rLV % hemisphere", AY173/2, AND(F173="Mouse", BA173="mm3"), (AY173/508.91)*100, AND(F173="Rat", BA173="mm3"), (AY173/1971)*100, AND(F173="Mouse", BA173="ul"), (AY173/508.91)*100, AND(F173="Rat", BA173="ul"), (AY173/1971)*100,  AND(F173="Mouse", BA173="nl"), (AY173/508910)*100, AND(F173="Rat", BA173="nl"), (AY173/1971000)*100, AND(F173="Mouse", BA173="cm3"), (AY173/0.50891)*100, AND(F173="Rat", BA173="cm3"), (AY173/1.971)*100, AND(F173="Mouse", BA173="mL"), (AY173/0.50891)*100, AND(F173="Rat", BA173="mL"), (AY173/1.971)*100, TRUE, "NA")</f>
        <v>NA</v>
      </c>
      <c r="BE173" cm="1">
        <f t="array" ref="BE173">_xlfn.IFS(AX173="NA", "NA", BB173="NR", "NA", BB173="SD", AX173, BB173="SE", AX173*(SQRT(R173)), BB173="SEM", AX173*(SQRT(R173)), TRUE, "NA")</f>
        <v>1.6909760495051371</v>
      </c>
      <c r="BF173" cm="1">
        <f t="array" ref="BF173">_xlfn.IFS(BE173="NA", "NA",BA173="Direct rLV % whole brain", BE173, BA173="Indirect rLV % whole brain", BE173, BA173="Direct rLV % hemisphere", BE173/2, BA173="Indirect rLV % hemisphere", BE173/2, AND(F173="Mouse", BA173="mm3"), (BE173/508.91)*100, AND(F173="Rat", BA173="mm3"), (BE173/1971)*100, AND(F173="Mouse", BA173="ul"), (BE173/508.91)*100, AND(F173="Rat", BA173="ul"), (BE173/1971)*100,  AND(F173="Mouse", BA173="nl"), (BE173/508910)*100, AND(F173="Rat", BA173="nl"), (BE173/1971000)*100, AND(F173="Mouse", BA173="cm3"), (BE173/0.50891)*100, AND(F173="Rat", BA173="cm3"), (BE173/1.971)*100, AND(F173="Mouse", BA173="mL"), (BE173/0.50891)*100, AND(F173="Rat", BA173="mL"), (BE173/1.971)*100, TRUE, "NA")</f>
        <v>8.5792798046937443E-2</v>
      </c>
      <c r="BG173" t="str" cm="1">
        <f t="array" ref="BG173">_xlfn.IFS(AZ173="NA", "NA", BB173="NR", "NA", BB173="SD", AZ173, BB173="SE", AZ173*(SQRT(R173)), BB173="SEM", AZ173*(SQRT(R173)), TRUE, "NA")</f>
        <v>NA</v>
      </c>
      <c r="BH173" s="32" t="s">
        <v>154</v>
      </c>
      <c r="BI173" s="31" t="s">
        <v>153</v>
      </c>
      <c r="BJ173" s="31" t="s">
        <v>154</v>
      </c>
    </row>
    <row r="174" spans="1:63" s="31" customFormat="1" x14ac:dyDescent="0.3">
      <c r="A174" s="31" t="s">
        <v>1115</v>
      </c>
      <c r="B174" s="31" t="s">
        <v>779</v>
      </c>
      <c r="C174" s="31">
        <v>1997</v>
      </c>
      <c r="D174" s="31" t="s">
        <v>1116</v>
      </c>
      <c r="E174" s="31" t="s">
        <v>1048</v>
      </c>
      <c r="F174" s="31" t="s">
        <v>23</v>
      </c>
      <c r="G174" s="31" t="s">
        <v>10</v>
      </c>
      <c r="H174" s="31" t="s">
        <v>34</v>
      </c>
      <c r="I174" s="31" t="s">
        <v>12</v>
      </c>
      <c r="J174" s="31" t="s">
        <v>8</v>
      </c>
      <c r="K174" s="31" t="s">
        <v>9</v>
      </c>
      <c r="L174" s="31" t="s">
        <v>9</v>
      </c>
      <c r="M174" s="31" t="s">
        <v>9</v>
      </c>
      <c r="N174" s="31">
        <v>250</v>
      </c>
      <c r="O174" s="31">
        <f t="shared" si="31"/>
        <v>275</v>
      </c>
      <c r="P174" s="31">
        <v>300</v>
      </c>
      <c r="Q174" s="31">
        <v>5</v>
      </c>
      <c r="R174" s="31">
        <v>8.5</v>
      </c>
      <c r="S174" s="31" t="s">
        <v>8</v>
      </c>
      <c r="T174" s="31" t="s">
        <v>8</v>
      </c>
      <c r="U174" s="32" t="s">
        <v>66</v>
      </c>
      <c r="V174" s="31" t="s">
        <v>8</v>
      </c>
      <c r="W174" s="31" t="s">
        <v>8</v>
      </c>
      <c r="X174" s="31" t="s">
        <v>66</v>
      </c>
      <c r="Y174" s="31" t="s">
        <v>8</v>
      </c>
      <c r="Z174" s="31" t="s">
        <v>8</v>
      </c>
      <c r="AA174" s="31" t="s">
        <v>639</v>
      </c>
      <c r="AB174" s="31" t="s">
        <v>636</v>
      </c>
      <c r="AC174" s="31" t="s">
        <v>9</v>
      </c>
      <c r="AD174" s="31" t="s">
        <v>634</v>
      </c>
      <c r="AE174" s="31">
        <v>0</v>
      </c>
      <c r="AF174" s="31">
        <v>1</v>
      </c>
      <c r="AG174" s="31" t="s">
        <v>580</v>
      </c>
      <c r="AH174" s="31">
        <v>1</v>
      </c>
      <c r="AI174" cm="1">
        <f t="array" ref="AI174">_xlfn.IFS(AF174="NR", "NA", AG174="NR", "NA", AG174="NA","NA", AND(AG174="mg/ml", AH174&lt;&gt;"NR"), ((AF174/2492)*AH174*1000000), AND(AG174="mol/L", AH174&lt;&gt;"NR"), AF174*AH174*1000000, AG174="nmol", AF174*1000, AND(AG174="nmol/uL", AH174&lt;&gt;"NR"), AF174*AH174*1000, AG174="pg", AF174/2492, AG174="pmol", AF174, AND(AG174="pmol/uL", AH174&lt;&gt;"NR"), AF174*AH174, AG174="ug", AF174/2492*1000000, AND(AG174="ug/mL", AH174&lt;&gt;"NR"), (AF174/1000*AH174)/2492*1000000, AND(AG174="ug/uL", AH174&lt;&gt;"NR"), (AF174*AH174)/2492*1000000, AND(AG174="umol/L", AH174&lt;&gt;"NR"), AH174*AF174, TRUE, "NA")</f>
        <v>401.2841091492777</v>
      </c>
      <c r="AJ174" s="31">
        <v>20</v>
      </c>
      <c r="AK174" s="31">
        <v>1</v>
      </c>
      <c r="AL174" s="31" t="s">
        <v>9</v>
      </c>
      <c r="AM174" s="31" t="s">
        <v>8</v>
      </c>
      <c r="AN174" s="31" t="s">
        <v>9</v>
      </c>
      <c r="AO174" s="32" t="s">
        <v>12</v>
      </c>
      <c r="AP174" s="31" t="s">
        <v>8</v>
      </c>
      <c r="AQ174" s="31" t="s">
        <v>8</v>
      </c>
      <c r="AR174" s="31" t="s">
        <v>8</v>
      </c>
      <c r="AS174" s="32">
        <v>48</v>
      </c>
      <c r="AT174" s="31" t="s">
        <v>271</v>
      </c>
      <c r="AU174" s="31" t="s">
        <v>654</v>
      </c>
      <c r="AV174" s="31" t="s">
        <v>8</v>
      </c>
      <c r="AW174" s="31">
        <v>4.71</v>
      </c>
      <c r="AX174" s="31">
        <v>0.6</v>
      </c>
      <c r="AY174" s="31" t="s">
        <v>8</v>
      </c>
      <c r="AZ174" s="31" t="s">
        <v>8</v>
      </c>
      <c r="BA174" s="31" t="s">
        <v>656</v>
      </c>
      <c r="BB174" s="31" t="s">
        <v>123</v>
      </c>
      <c r="BC174" cm="1">
        <f t="array" ref="BC174">_xlfn.IFS(BA174="Direct rLV % whole brain", AW174, BA174="Indirect rLV % whole brain", AW174, BA174="Direct rLV % hemisphere", AW174/2, BA174="Indirect rLV % hemisphere", AW174/2, AND(F174="Mouse", BA174="mm3"), (AW174/508.91)*100, AND(F174="Rat", BA174="mm3"), (AW174/1971)*100, AND(F174="Mouse", BA174="ul"), (AW174/508.91)*100, AND(F174="Rat", BA174="ul"), (AW174/1971)*100,  AND(F174="Mouse", BA174="nl"), (AW174/508910)*100, AND(F174="Rat", BA174="nl"), (AW174/1971000)*100, AND(F174="Mouse", BA174="cm3"), (AW174/0.50891)*100, AND(F174="Rat", BA174="cm3"), (AW174/1.971)*100, AND(F174="Mouse", BA174="mL"), (AW174/0.50891)*100, AND(F174="Rat", BA174="mL"), (AW174/1.971)*100, TRUE, "NA")</f>
        <v>0.23896499238964994</v>
      </c>
      <c r="BD174" t="str" cm="1">
        <f t="array" ref="BD174">_xlfn.IFS(AZ174="NA", "NA",BA174="Direct rLV % whole brain", AY174, BA174="Indirect rLV % whole brain", AY174, BA174="Direct rLV % hemisphere", AY174/2, BA174="Indirect rLV % hemisphere", AY174/2, AND(F174="Mouse", BA174="mm3"), (AY174/508.91)*100, AND(F174="Rat", BA174="mm3"), (AY174/1971)*100, AND(F174="Mouse", BA174="ul"), (AY174/508.91)*100, AND(F174="Rat", BA174="ul"), (AY174/1971)*100,  AND(F174="Mouse", BA174="nl"), (AY174/508910)*100, AND(F174="Rat", BA174="nl"), (AY174/1971000)*100, AND(F174="Mouse", BA174="cm3"), (AY174/0.50891)*100, AND(F174="Rat", BA174="cm3"), (AY174/1.971)*100, AND(F174="Mouse", BA174="mL"), (AY174/0.50891)*100, AND(F174="Rat", BA174="mL"), (AY174/1.971)*100, TRUE, "NA")</f>
        <v>NA</v>
      </c>
      <c r="BE174" cm="1">
        <f t="array" ref="BE174">_xlfn.IFS(AX174="NA", "NA", BB174="NR", "NA", BB174="SD", AX174, BB174="SE", AX174*(SQRT(R174)), BB174="SEM", AX174*(SQRT(R174)), TRUE, "NA")</f>
        <v>1.7492855684535902</v>
      </c>
      <c r="BF174" cm="1">
        <f t="array" ref="BF174">_xlfn.IFS(BE174="NA", "NA",BA174="Direct rLV % whole brain", BE174, BA174="Indirect rLV % whole brain", BE174, BA174="Direct rLV % hemisphere", BE174/2, BA174="Indirect rLV % hemisphere", BE174/2, AND(F174="Mouse", BA174="mm3"), (BE174/508.91)*100, AND(F174="Rat", BA174="mm3"), (BE174/1971)*100, AND(F174="Mouse", BA174="ul"), (BE174/508.91)*100, AND(F174="Rat", BA174="ul"), (BE174/1971)*100,  AND(F174="Mouse", BA174="nl"), (BE174/508910)*100, AND(F174="Rat", BA174="nl"), (BE174/1971000)*100, AND(F174="Mouse", BA174="cm3"), (BE174/0.50891)*100, AND(F174="Rat", BA174="cm3"), (BE174/1.971)*100, AND(F174="Mouse", BA174="mL"), (BE174/0.50891)*100, AND(F174="Rat", BA174="mL"), (BE174/1.971)*100, TRUE, "NA")</f>
        <v>8.8751170393383566E-2</v>
      </c>
      <c r="BG174" t="str" cm="1">
        <f t="array" ref="BG174">_xlfn.IFS(AZ174="NA", "NA", BB174="NR", "NA", BB174="SD", AZ174, BB174="SE", AZ174*(SQRT(R174)), BB174="SEM", AZ174*(SQRT(R174)), TRUE, "NA")</f>
        <v>NA</v>
      </c>
      <c r="BH174" s="32" t="s">
        <v>154</v>
      </c>
      <c r="BI174" s="31" t="s">
        <v>153</v>
      </c>
      <c r="BJ174" s="31" t="s">
        <v>154</v>
      </c>
    </row>
    <row r="175" spans="1:63" x14ac:dyDescent="0.3">
      <c r="A175" t="s">
        <v>1117</v>
      </c>
      <c r="B175" t="s">
        <v>786</v>
      </c>
      <c r="C175">
        <v>2004</v>
      </c>
      <c r="D175" t="s">
        <v>1118</v>
      </c>
      <c r="E175" t="s">
        <v>647</v>
      </c>
      <c r="F175" t="s">
        <v>23</v>
      </c>
      <c r="G175" t="s">
        <v>73</v>
      </c>
      <c r="H175" t="s">
        <v>34</v>
      </c>
      <c r="I175" t="s">
        <v>12</v>
      </c>
      <c r="J175" t="s">
        <v>8</v>
      </c>
      <c r="K175" t="s">
        <v>8</v>
      </c>
      <c r="L175">
        <v>10</v>
      </c>
      <c r="M175" t="s">
        <v>8</v>
      </c>
      <c r="N175">
        <v>250</v>
      </c>
      <c r="O175">
        <f t="shared" si="31"/>
        <v>275</v>
      </c>
      <c r="P175">
        <v>300</v>
      </c>
      <c r="Q175">
        <v>1</v>
      </c>
      <c r="R175">
        <v>8</v>
      </c>
      <c r="S175" t="s">
        <v>8</v>
      </c>
      <c r="T175" t="s">
        <v>8</v>
      </c>
      <c r="U175" s="18" t="s">
        <v>298</v>
      </c>
      <c r="V175" t="s">
        <v>8</v>
      </c>
      <c r="W175" t="s">
        <v>8</v>
      </c>
      <c r="X175" t="s">
        <v>298</v>
      </c>
      <c r="Y175" t="s">
        <v>8</v>
      </c>
      <c r="Z175" t="s">
        <v>8</v>
      </c>
      <c r="AA175" t="s">
        <v>640</v>
      </c>
      <c r="AB175" t="s">
        <v>636</v>
      </c>
      <c r="AC175" t="s">
        <v>9</v>
      </c>
      <c r="AD175" t="s">
        <v>634</v>
      </c>
      <c r="AE175">
        <v>0</v>
      </c>
      <c r="AF175">
        <v>1</v>
      </c>
      <c r="AG175" t="s">
        <v>580</v>
      </c>
      <c r="AH175">
        <v>1</v>
      </c>
      <c r="AI175" cm="1">
        <f t="array" ref="AI175">_xlfn.IFS(AF175="NR", "NA", AG175="NR", "NA", AG175="NA","NA", AND(AG175="mg/ml", AH175&lt;&gt;"NR"), ((AF175/2492)*AH175*1000000), AND(AG175="mol/L", AH175&lt;&gt;"NR"), AF175*AH175*1000000, AG175="nmol", AF175*1000, AND(AG175="nmol/uL", AH175&lt;&gt;"NR"), AF175*AH175*1000, AG175="pg", AF175/2492, AG175="pmol", AF175, AND(AG175="pmol/uL", AH175&lt;&gt;"NR"), AF175*AH175, AG175="ug", AF175/2492*1000000, AND(AG175="ug/mL", AH175&lt;&gt;"NR"), (AF175/1000*AH175)/2492*1000000, AND(AG175="ug/uL", AH175&lt;&gt;"NR"), (AF175*AH175)/2492*1000000, AND(AG175="umol/L", AH175&lt;&gt;"NR"), AH175*AF175, TRUE, "NA")</f>
        <v>401.2841091492777</v>
      </c>
      <c r="AJ175">
        <v>3.5</v>
      </c>
      <c r="AK175">
        <v>3</v>
      </c>
      <c r="AL175" t="s">
        <v>9</v>
      </c>
      <c r="AM175" t="s">
        <v>8</v>
      </c>
      <c r="AN175" t="s">
        <v>860</v>
      </c>
      <c r="AO175" s="18" t="s">
        <v>12</v>
      </c>
      <c r="AP175" t="s">
        <v>8</v>
      </c>
      <c r="AQ175" t="s">
        <v>8</v>
      </c>
      <c r="AR175" t="s">
        <v>8</v>
      </c>
      <c r="AS175" s="18">
        <v>2040</v>
      </c>
      <c r="AT175" t="s">
        <v>271</v>
      </c>
      <c r="AU175" t="s">
        <v>652</v>
      </c>
      <c r="AV175" t="s">
        <v>8</v>
      </c>
      <c r="AW175">
        <v>15.3</v>
      </c>
      <c r="AX175">
        <v>2.56</v>
      </c>
      <c r="AY175" t="s">
        <v>8</v>
      </c>
      <c r="AZ175" t="s">
        <v>8</v>
      </c>
      <c r="BA175" t="s">
        <v>656</v>
      </c>
      <c r="BB175" t="s">
        <v>123</v>
      </c>
      <c r="BC175" cm="1">
        <f t="array" ref="BC175">_xlfn.IFS(BA175="Direct rLV % whole brain", AW175, BA175="Indirect rLV % whole brain", AW175, BA175="Direct rLV % hemisphere", AW175/2, BA175="Indirect rLV % hemisphere", AW175/2, AND(F175="Mouse", BA175="mm3"), (AW175/508.91)*100, AND(F175="Rat", BA175="mm3"), (AW175/1971)*100, AND(F175="Mouse", BA175="ul"), (AW175/508.91)*100, AND(F175="Rat", BA175="ul"), (AW175/1971)*100,  AND(F175="Mouse", BA175="nl"), (AW175/508910)*100, AND(F175="Rat", BA175="nl"), (AW175/1971000)*100, AND(F175="Mouse", BA175="cm3"), (AW175/0.50891)*100, AND(F175="Rat", BA175="cm3"), (AW175/1.971)*100, AND(F175="Mouse", BA175="mL"), (AW175/0.50891)*100, AND(F175="Rat", BA175="mL"), (AW175/1.971)*100, TRUE, "NA")</f>
        <v>0.77625570776255715</v>
      </c>
      <c r="BD175" t="str" cm="1">
        <f t="array" ref="BD175">_xlfn.IFS(AZ175="NA", "NA",BA175="Direct rLV % whole brain", AY175, BA175="Indirect rLV % whole brain", AY175, BA175="Direct rLV % hemisphere", AY175/2, BA175="Indirect rLV % hemisphere", AY175/2, AND(F175="Mouse", BA175="mm3"), (AY175/508.91)*100, AND(F175="Rat", BA175="mm3"), (AY175/1971)*100, AND(F175="Mouse", BA175="ul"), (AY175/508.91)*100, AND(F175="Rat", BA175="ul"), (AY175/1971)*100,  AND(F175="Mouse", BA175="nl"), (AY175/508910)*100, AND(F175="Rat", BA175="nl"), (AY175/1971000)*100, AND(F175="Mouse", BA175="cm3"), (AY175/0.50891)*100, AND(F175="Rat", BA175="cm3"), (AY175/1.971)*100, AND(F175="Mouse", BA175="mL"), (AY175/0.50891)*100, AND(F175="Rat", BA175="mL"), (AY175/1.971)*100, TRUE, "NA")</f>
        <v>NA</v>
      </c>
      <c r="BE175" cm="1">
        <f t="array" ref="BE175">_xlfn.IFS(AX175="NA", "NA", BB175="NR", "NA", BB175="SD", AX175, BB175="SE", AX175*(SQRT(R175)), BB175="SEM", AX175*(SQRT(R175)), TRUE, "NA")</f>
        <v>7.2407734393502476</v>
      </c>
      <c r="BF175" cm="1">
        <f t="array" ref="BF175">_xlfn.IFS(BE175="NA", "NA",BA175="Direct rLV % whole brain", BE175, BA175="Indirect rLV % whole brain", BE175, BA175="Direct rLV % hemisphere", BE175/2, BA175="Indirect rLV % hemisphere", BE175/2, AND(F175="Mouse", BA175="mm3"), (BE175/508.91)*100, AND(F175="Rat", BA175="mm3"), (BE175/1971)*100, AND(F175="Mouse", BA175="ul"), (BE175/508.91)*100, AND(F175="Rat", BA175="ul"), (BE175/1971)*100,  AND(F175="Mouse", BA175="nl"), (BE175/508910)*100, AND(F175="Rat", BA175="nl"), (BE175/1971000)*100, AND(F175="Mouse", BA175="cm3"), (BE175/0.50891)*100, AND(F175="Rat", BA175="cm3"), (BE175/1.971)*100, AND(F175="Mouse", BA175="mL"), (BE175/0.50891)*100, AND(F175="Rat", BA175="mL"), (BE175/1.971)*100, TRUE, "NA")</f>
        <v>0.36736547130138242</v>
      </c>
      <c r="BG175" t="str" cm="1">
        <f t="array" ref="BG175">_xlfn.IFS(AZ175="NA", "NA", BB175="NR", "NA", BB175="SD", AZ175, BB175="SE", AZ175*(SQRT(R175)), BB175="SEM", AZ175*(SQRT(R175)), TRUE, "NA")</f>
        <v>NA</v>
      </c>
      <c r="BH175" s="18" t="s">
        <v>154</v>
      </c>
      <c r="BI175" t="s">
        <v>154</v>
      </c>
      <c r="BJ175" t="s">
        <v>154</v>
      </c>
    </row>
    <row r="176" spans="1:63" s="31" customFormat="1" x14ac:dyDescent="0.3">
      <c r="A176" s="31" t="s">
        <v>1120</v>
      </c>
      <c r="B176" s="31" t="s">
        <v>1119</v>
      </c>
      <c r="C176" s="31">
        <v>2004</v>
      </c>
      <c r="D176" s="31" t="s">
        <v>1121</v>
      </c>
      <c r="E176" s="31" t="s">
        <v>647</v>
      </c>
      <c r="F176" s="31" t="s">
        <v>23</v>
      </c>
      <c r="G176" s="31" t="s">
        <v>10</v>
      </c>
      <c r="H176" s="31" t="s">
        <v>34</v>
      </c>
      <c r="I176" s="31" t="s">
        <v>12</v>
      </c>
      <c r="J176" s="31" t="s">
        <v>8</v>
      </c>
      <c r="K176" s="31" t="s">
        <v>9</v>
      </c>
      <c r="L176" s="31" t="s">
        <v>9</v>
      </c>
      <c r="M176" s="31" t="s">
        <v>9</v>
      </c>
      <c r="N176" s="31">
        <v>200</v>
      </c>
      <c r="O176" s="31">
        <f t="shared" si="31"/>
        <v>250</v>
      </c>
      <c r="P176" s="31">
        <v>300</v>
      </c>
      <c r="Q176" s="31">
        <v>2</v>
      </c>
      <c r="R176" s="31">
        <v>14</v>
      </c>
      <c r="S176" s="31" t="s">
        <v>8</v>
      </c>
      <c r="T176" s="31" t="s">
        <v>8</v>
      </c>
      <c r="U176" s="32" t="s">
        <v>396</v>
      </c>
      <c r="V176" s="31" t="s">
        <v>397</v>
      </c>
      <c r="W176" s="31" t="s">
        <v>8</v>
      </c>
      <c r="X176" s="31" t="s">
        <v>396</v>
      </c>
      <c r="Y176" s="31" t="s">
        <v>397</v>
      </c>
      <c r="Z176" s="31" t="s">
        <v>8</v>
      </c>
      <c r="AA176" s="31" t="s">
        <v>648</v>
      </c>
      <c r="AB176" s="31" t="s">
        <v>636</v>
      </c>
      <c r="AC176" s="31" t="s">
        <v>153</v>
      </c>
      <c r="AD176" s="31" t="s">
        <v>634</v>
      </c>
      <c r="AE176" s="31">
        <v>0</v>
      </c>
      <c r="AF176" s="31">
        <v>240</v>
      </c>
      <c r="AG176" s="31" t="s">
        <v>650</v>
      </c>
      <c r="AH176" s="31">
        <v>6</v>
      </c>
      <c r="AI176" cm="1">
        <f t="array" ref="AI176">_xlfn.IFS(AF176="NR", "NA", AG176="NR", "NA", AG176="NA","NA", AND(AG176="mg/ml", AH176&lt;&gt;"NR"), ((AF176/2492)*AH176*1000000), AND(AG176="mol/L", AH176&lt;&gt;"NR"), AF176*AH176*1000000, AG176="nmol", AF176*1000, AND(AG176="nmol/uL", AH176&lt;&gt;"NR"), AF176*AH176*1000, AG176="pg", AF176/2492, AG176="pmol", AF176, AND(AG176="pmol/uL", AH176&lt;&gt;"NR"), AF176*AH176, AG176="ug", AF176/2492*1000000, AND(AG176="ug/mL", AH176&lt;&gt;"NR"), (AF176/1000*AH176)/2492*1000000, AND(AG176="ug/uL", AH176&lt;&gt;"NR"), (AF176*AH176)/2492*1000000, AND(AG176="umol/L", AH176&lt;&gt;"NR"), AH176*AF176, TRUE, "NA")</f>
        <v>240</v>
      </c>
      <c r="AJ176" s="31">
        <v>5</v>
      </c>
      <c r="AK176" s="31">
        <v>1</v>
      </c>
      <c r="AL176" s="31" t="s">
        <v>701</v>
      </c>
      <c r="AM176" s="31" t="s">
        <v>665</v>
      </c>
      <c r="AN176" s="31" t="s">
        <v>9</v>
      </c>
      <c r="AO176" s="32" t="s">
        <v>12</v>
      </c>
      <c r="AP176" s="31" t="s">
        <v>8</v>
      </c>
      <c r="AQ176" s="31" t="s">
        <v>8</v>
      </c>
      <c r="AR176" s="31" t="s">
        <v>8</v>
      </c>
      <c r="AS176" s="32">
        <v>24</v>
      </c>
      <c r="AT176" s="31" t="s">
        <v>271</v>
      </c>
      <c r="AU176" s="31" t="s">
        <v>663</v>
      </c>
      <c r="AV176" s="31" t="s">
        <v>8</v>
      </c>
      <c r="AW176" s="31">
        <f>AVERAGE(2.088,1.43,0.06,0.71,1.56,15.27,26.76,30.48,31.65,33.94,40.27,45.95,46.54,48.62)</f>
        <v>23.237714285714286</v>
      </c>
      <c r="AX176" s="31">
        <f>_xlfn.STDEV.S(2.088,1.43,0.06,0.71,1.56,15.27,26.76,30.48,31.65,33.94,40.27,45.95,46.54,48.62)</f>
        <v>19.103695234283741</v>
      </c>
      <c r="AY176" s="31" t="s">
        <v>8</v>
      </c>
      <c r="AZ176" s="31" t="s">
        <v>8</v>
      </c>
      <c r="BA176" s="31" t="s">
        <v>656</v>
      </c>
      <c r="BB176" s="31" t="s">
        <v>122</v>
      </c>
      <c r="BC176" cm="1">
        <f t="array" ref="BC176">_xlfn.IFS(BA176="Direct rLV % whole brain", AW176, BA176="Indirect rLV % whole brain", AW176, BA176="Direct rLV % hemisphere", AW176/2, BA176="Indirect rLV % hemisphere", AW176/2, AND(F176="Mouse", BA176="mm3"), (AW176/508.91)*100, AND(F176="Rat", BA176="mm3"), (AW176/1971)*100, AND(F176="Mouse", BA176="ul"), (AW176/508.91)*100, AND(F176="Rat", BA176="ul"), (AW176/1971)*100,  AND(F176="Mouse", BA176="nl"), (AW176/508910)*100, AND(F176="Rat", BA176="nl"), (AW176/1971000)*100, AND(F176="Mouse", BA176="cm3"), (AW176/0.50891)*100, AND(F176="Rat", BA176="cm3"), (AW176/1.971)*100, AND(F176="Mouse", BA176="mL"), (AW176/0.50891)*100, AND(F176="Rat", BA176="mL"), (AW176/1.971)*100, TRUE, "NA")</f>
        <v>1.1789809378850475</v>
      </c>
      <c r="BD176" t="str" cm="1">
        <f t="array" ref="BD176">_xlfn.IFS(AZ176="NA", "NA",BA176="Direct rLV % whole brain", AY176, BA176="Indirect rLV % whole brain", AY176, BA176="Direct rLV % hemisphere", AY176/2, BA176="Indirect rLV % hemisphere", AY176/2, AND(F176="Mouse", BA176="mm3"), (AY176/508.91)*100, AND(F176="Rat", BA176="mm3"), (AY176/1971)*100, AND(F176="Mouse", BA176="ul"), (AY176/508.91)*100, AND(F176="Rat", BA176="ul"), (AY176/1971)*100,  AND(F176="Mouse", BA176="nl"), (AY176/508910)*100, AND(F176="Rat", BA176="nl"), (AY176/1971000)*100, AND(F176="Mouse", BA176="cm3"), (AY176/0.50891)*100, AND(F176="Rat", BA176="cm3"), (AY176/1.971)*100, AND(F176="Mouse", BA176="mL"), (AY176/0.50891)*100, AND(F176="Rat", BA176="mL"), (AY176/1.971)*100, TRUE, "NA")</f>
        <v>NA</v>
      </c>
      <c r="BE176" cm="1">
        <f t="array" ref="BE176">_xlfn.IFS(AX176="NA", "NA", BB176="NR", "NA", BB176="SD", AX176, BB176="SE", AX176*(SQRT(R176)), BB176="SEM", AX176*(SQRT(R176)), TRUE, "NA")</f>
        <v>19.103695234283741</v>
      </c>
      <c r="BF176" cm="1">
        <f t="array" ref="BF176">_xlfn.IFS(BE176="NA", "NA",BA176="Direct rLV % whole brain", BE176, BA176="Indirect rLV % whole brain", BE176, BA176="Direct rLV % hemisphere", BE176/2, BA176="Indirect rLV % hemisphere", BE176/2, AND(F176="Mouse", BA176="mm3"), (BE176/508.91)*100, AND(F176="Rat", BA176="mm3"), (BE176/1971)*100, AND(F176="Mouse", BA176="ul"), (BE176/508.91)*100, AND(F176="Rat", BA176="ul"), (BE176/1971)*100,  AND(F176="Mouse", BA176="nl"), (BE176/508910)*100, AND(F176="Rat", BA176="nl"), (BE176/1971000)*100, AND(F176="Mouse", BA176="cm3"), (BE176/0.50891)*100, AND(F176="Rat", BA176="cm3"), (BE176/1.971)*100, AND(F176="Mouse", BA176="mL"), (BE176/0.50891)*100, AND(F176="Rat", BA176="mL"), (BE176/1.971)*100, TRUE, "NA")</f>
        <v>0.96923872320059568</v>
      </c>
      <c r="BG176" t="str" cm="1">
        <f t="array" ref="BG176">_xlfn.IFS(AZ176="NA", "NA", BB176="NR", "NA", BB176="SD", AZ176, BB176="SE", AZ176*(SQRT(R176)), BB176="SEM", AZ176*(SQRT(R176)), TRUE, "NA")</f>
        <v>NA</v>
      </c>
      <c r="BH176" s="32" t="s">
        <v>154</v>
      </c>
      <c r="BI176" s="31" t="s">
        <v>154</v>
      </c>
      <c r="BJ176" s="31" t="s">
        <v>154</v>
      </c>
      <c r="BK176" s="31" t="s">
        <v>1122</v>
      </c>
    </row>
    <row r="177" spans="1:63" s="31" customFormat="1" x14ac:dyDescent="0.3">
      <c r="A177" s="31" t="s">
        <v>1120</v>
      </c>
      <c r="B177" s="31" t="s">
        <v>1119</v>
      </c>
      <c r="C177" s="31">
        <v>2004</v>
      </c>
      <c r="D177" s="31" t="s">
        <v>1121</v>
      </c>
      <c r="E177" s="31" t="s">
        <v>678</v>
      </c>
      <c r="F177" s="31" t="s">
        <v>23</v>
      </c>
      <c r="G177" s="31" t="s">
        <v>10</v>
      </c>
      <c r="H177" s="31" t="s">
        <v>34</v>
      </c>
      <c r="I177" s="31" t="s">
        <v>12</v>
      </c>
      <c r="J177" s="31" t="s">
        <v>8</v>
      </c>
      <c r="K177" s="31" t="s">
        <v>9</v>
      </c>
      <c r="L177" s="31" t="s">
        <v>9</v>
      </c>
      <c r="M177" s="31" t="s">
        <v>9</v>
      </c>
      <c r="N177" s="31">
        <v>200</v>
      </c>
      <c r="O177" s="31">
        <f t="shared" si="31"/>
        <v>250</v>
      </c>
      <c r="P177" s="31">
        <v>300</v>
      </c>
      <c r="Q177" s="31">
        <v>2</v>
      </c>
      <c r="R177" s="31">
        <v>5</v>
      </c>
      <c r="S177" s="31" t="s">
        <v>8</v>
      </c>
      <c r="T177" s="31" t="s">
        <v>8</v>
      </c>
      <c r="U177" s="32" t="s">
        <v>396</v>
      </c>
      <c r="V177" s="31" t="s">
        <v>397</v>
      </c>
      <c r="W177" s="31" t="s">
        <v>8</v>
      </c>
      <c r="X177" s="31" t="s">
        <v>396</v>
      </c>
      <c r="Y177" s="31" t="s">
        <v>397</v>
      </c>
      <c r="Z177" s="31" t="s">
        <v>8</v>
      </c>
      <c r="AA177" s="31" t="s">
        <v>648</v>
      </c>
      <c r="AB177" s="31" t="s">
        <v>636</v>
      </c>
      <c r="AC177" s="31" t="s">
        <v>153</v>
      </c>
      <c r="AD177" s="31" t="s">
        <v>634</v>
      </c>
      <c r="AE177" s="31">
        <v>0</v>
      </c>
      <c r="AF177" s="31">
        <v>60</v>
      </c>
      <c r="AG177" s="31" t="s">
        <v>650</v>
      </c>
      <c r="AH177" s="31">
        <v>6</v>
      </c>
      <c r="AI177" cm="1">
        <f t="array" ref="AI177">_xlfn.IFS(AF177="NR", "NA", AG177="NR", "NA", AG177="NA","NA", AND(AG177="mg/ml", AH177&lt;&gt;"NR"), ((AF177/2492)*AH177*1000000), AND(AG177="mol/L", AH177&lt;&gt;"NR"), AF177*AH177*1000000, AG177="nmol", AF177*1000, AND(AG177="nmol/uL", AH177&lt;&gt;"NR"), AF177*AH177*1000, AG177="pg", AF177/2492, AG177="pmol", AF177, AND(AG177="pmol/uL", AH177&lt;&gt;"NR"), AF177*AH177, AG177="ug", AF177/2492*1000000, AND(AG177="ug/mL", AH177&lt;&gt;"NR"), (AF177/1000*AH177)/2492*1000000, AND(AG177="ug/uL", AH177&lt;&gt;"NR"), (AF177*AH177)/2492*1000000, AND(AG177="umol/L", AH177&lt;&gt;"NR"), AH177*AF177, TRUE, "NA")</f>
        <v>60</v>
      </c>
      <c r="AJ177" s="31">
        <v>5</v>
      </c>
      <c r="AK177" s="31">
        <v>1</v>
      </c>
      <c r="AL177" s="31" t="s">
        <v>701</v>
      </c>
      <c r="AM177" s="31" t="s">
        <v>665</v>
      </c>
      <c r="AN177" s="31" t="s">
        <v>9</v>
      </c>
      <c r="AO177" s="32" t="s">
        <v>12</v>
      </c>
      <c r="AP177" s="31" t="s">
        <v>8</v>
      </c>
      <c r="AQ177" s="31" t="s">
        <v>8</v>
      </c>
      <c r="AR177" s="31" t="s">
        <v>8</v>
      </c>
      <c r="AS177" s="32">
        <v>24</v>
      </c>
      <c r="AT177" s="31" t="s">
        <v>271</v>
      </c>
      <c r="AU177" s="31" t="s">
        <v>663</v>
      </c>
      <c r="AV177" s="31" t="s">
        <v>8</v>
      </c>
      <c r="AW177" s="31">
        <f>AVERAGE(0.001,0.001,0.001,6.33,38.12)</f>
        <v>8.8905999999999992</v>
      </c>
      <c r="AX177" s="31">
        <f>_xlfn.STDEV.S(0.001,0.001,0.001,6.33,38.12)</f>
        <v>16.567962014080067</v>
      </c>
      <c r="AY177" s="31" t="s">
        <v>8</v>
      </c>
      <c r="AZ177" s="31" t="s">
        <v>8</v>
      </c>
      <c r="BA177" s="31" t="s">
        <v>656</v>
      </c>
      <c r="BB177" s="31" t="s">
        <v>122</v>
      </c>
      <c r="BC177" cm="1">
        <f t="array" ref="BC177">_xlfn.IFS(BA177="Direct rLV % whole brain", AW177, BA177="Indirect rLV % whole brain", AW177, BA177="Direct rLV % hemisphere", AW177/2, BA177="Indirect rLV % hemisphere", AW177/2, AND(F177="Mouse", BA177="mm3"), (AW177/508.91)*100, AND(F177="Rat", BA177="mm3"), (AW177/1971)*100, AND(F177="Mouse", BA177="ul"), (AW177/508.91)*100, AND(F177="Rat", BA177="ul"), (AW177/1971)*100,  AND(F177="Mouse", BA177="nl"), (AW177/508910)*100, AND(F177="Rat", BA177="nl"), (AW177/1971000)*100, AND(F177="Mouse", BA177="cm3"), (AW177/0.50891)*100, AND(F177="Rat", BA177="cm3"), (AW177/1.971)*100, AND(F177="Mouse", BA177="mL"), (AW177/0.50891)*100, AND(F177="Rat", BA177="mL"), (AW177/1.971)*100, TRUE, "NA")</f>
        <v>0.45107052257737185</v>
      </c>
      <c r="BD177" t="str" cm="1">
        <f t="array" ref="BD177">_xlfn.IFS(AZ177="NA", "NA",BA177="Direct rLV % whole brain", AY177, BA177="Indirect rLV % whole brain", AY177, BA177="Direct rLV % hemisphere", AY177/2, BA177="Indirect rLV % hemisphere", AY177/2, AND(F177="Mouse", BA177="mm3"), (AY177/508.91)*100, AND(F177="Rat", BA177="mm3"), (AY177/1971)*100, AND(F177="Mouse", BA177="ul"), (AY177/508.91)*100, AND(F177="Rat", BA177="ul"), (AY177/1971)*100,  AND(F177="Mouse", BA177="nl"), (AY177/508910)*100, AND(F177="Rat", BA177="nl"), (AY177/1971000)*100, AND(F177="Mouse", BA177="cm3"), (AY177/0.50891)*100, AND(F177="Rat", BA177="cm3"), (AY177/1.971)*100, AND(F177="Mouse", BA177="mL"), (AY177/0.50891)*100, AND(F177="Rat", BA177="mL"), (AY177/1.971)*100, TRUE, "NA")</f>
        <v>NA</v>
      </c>
      <c r="BE177" cm="1">
        <f t="array" ref="BE177">_xlfn.IFS(AX177="NA", "NA", BB177="NR", "NA", BB177="SD", AX177, BB177="SE", AX177*(SQRT(R177)), BB177="SEM", AX177*(SQRT(R177)), TRUE, "NA")</f>
        <v>16.567962014080067</v>
      </c>
      <c r="BF177" cm="1">
        <f t="array" ref="BF177">_xlfn.IFS(BE177="NA", "NA",BA177="Direct rLV % whole brain", BE177, BA177="Indirect rLV % whole brain", BE177, BA177="Direct rLV % hemisphere", BE177/2, BA177="Indirect rLV % hemisphere", BE177/2, AND(F177="Mouse", BA177="mm3"), (BE177/508.91)*100, AND(F177="Rat", BA177="mm3"), (BE177/1971)*100, AND(F177="Mouse", BA177="ul"), (BE177/508.91)*100, AND(F177="Rat", BA177="ul"), (BE177/1971)*100,  AND(F177="Mouse", BA177="nl"), (BE177/508910)*100, AND(F177="Rat", BA177="nl"), (BE177/1971000)*100, AND(F177="Mouse", BA177="cm3"), (BE177/0.50891)*100, AND(F177="Rat", BA177="cm3"), (BE177/1.971)*100, AND(F177="Mouse", BA177="mL"), (BE177/0.50891)*100, AND(F177="Rat", BA177="mL"), (BE177/1.971)*100, TRUE, "NA")</f>
        <v>0.84058660649822758</v>
      </c>
      <c r="BG177" t="str" cm="1">
        <f t="array" ref="BG177">_xlfn.IFS(AZ177="NA", "NA", BB177="NR", "NA", BB177="SD", AZ177, BB177="SE", AZ177*(SQRT(R177)), BB177="SEM", AZ177*(SQRT(R177)), TRUE, "NA")</f>
        <v>NA</v>
      </c>
      <c r="BH177" s="32" t="s">
        <v>154</v>
      </c>
      <c r="BI177" s="31" t="s">
        <v>154</v>
      </c>
      <c r="BJ177" s="31" t="s">
        <v>154</v>
      </c>
      <c r="BK177" s="31" t="s">
        <v>1122</v>
      </c>
    </row>
    <row r="178" spans="1:63" x14ac:dyDescent="0.3">
      <c r="A178" s="38" t="s">
        <v>1124</v>
      </c>
      <c r="B178" t="s">
        <v>1123</v>
      </c>
      <c r="C178">
        <v>2006</v>
      </c>
      <c r="D178" t="s">
        <v>1125</v>
      </c>
      <c r="E178" t="s">
        <v>647</v>
      </c>
      <c r="F178" t="s">
        <v>23</v>
      </c>
      <c r="G178" t="s">
        <v>47</v>
      </c>
      <c r="H178" t="s">
        <v>34</v>
      </c>
      <c r="I178" t="s">
        <v>12</v>
      </c>
      <c r="J178" t="s">
        <v>8</v>
      </c>
      <c r="K178" t="s">
        <v>9</v>
      </c>
      <c r="L178" t="s">
        <v>9</v>
      </c>
      <c r="M178" t="s">
        <v>9</v>
      </c>
      <c r="N178">
        <v>270</v>
      </c>
      <c r="O178">
        <f t="shared" si="31"/>
        <v>305</v>
      </c>
      <c r="P178">
        <v>340</v>
      </c>
      <c r="Q178">
        <v>4</v>
      </c>
      <c r="R178">
        <v>5</v>
      </c>
      <c r="S178" t="s">
        <v>8</v>
      </c>
      <c r="T178" t="s">
        <v>8</v>
      </c>
      <c r="U178" s="18" t="s">
        <v>71</v>
      </c>
      <c r="V178" t="s">
        <v>288</v>
      </c>
      <c r="W178" t="s">
        <v>8</v>
      </c>
      <c r="X178" t="s">
        <v>12</v>
      </c>
      <c r="Y178" t="s">
        <v>8</v>
      </c>
      <c r="Z178" t="s">
        <v>8</v>
      </c>
      <c r="AA178" t="s">
        <v>648</v>
      </c>
      <c r="AB178" t="s">
        <v>636</v>
      </c>
      <c r="AC178" t="s">
        <v>153</v>
      </c>
      <c r="AD178" t="s">
        <v>610</v>
      </c>
      <c r="AE178">
        <v>72</v>
      </c>
      <c r="AF178">
        <v>20</v>
      </c>
      <c r="AG178" t="s">
        <v>745</v>
      </c>
      <c r="AH178">
        <v>2</v>
      </c>
      <c r="AI178" cm="1">
        <f t="array" ref="AI178">_xlfn.IFS(AF178="NR", "NA", AG178="NR", "NA", AG178="NA","NA", AND(AG178="mg/ml", AH178&lt;&gt;"NR"), ((AF178/2492)*AH178*1000000), AND(AG178="mol/L", AH178&lt;&gt;"NR"), AF178*AH178*1000000, AG178="nmol", AF178*1000, AND(AG178="nmol/uL", AH178&lt;&gt;"NR"), AF178*AH178*1000, AG178="pg", AF178/2492, AG178="pmol", AF178, AND(AG178="pmol/uL", AH178&lt;&gt;"NR"), AF178*AH178, AG178="ug", AF178/2492*1000000, AND(AG178="ug/mL", AH178&lt;&gt;"NR"), (AF178/1000*AH178)/2492*1000000, AND(AG178="ug/uL", AH178&lt;&gt;"NR"), (AF178*AH178)/2492*1000000, AND(AG178="umol/L", AH178&lt;&gt;"NR"), AH178*AF178, TRUE, "NA")</f>
        <v>40</v>
      </c>
      <c r="AJ178">
        <v>4</v>
      </c>
      <c r="AK178">
        <v>1</v>
      </c>
      <c r="AL178" t="s">
        <v>9</v>
      </c>
      <c r="AM178" t="s">
        <v>8</v>
      </c>
      <c r="AN178" t="s">
        <v>9</v>
      </c>
      <c r="AO178" s="18" t="s">
        <v>12</v>
      </c>
      <c r="AP178" t="s">
        <v>8</v>
      </c>
      <c r="AQ178" t="s">
        <v>8</v>
      </c>
      <c r="AR178" t="s">
        <v>8</v>
      </c>
      <c r="AS178" s="18">
        <v>72</v>
      </c>
      <c r="AT178" t="s">
        <v>271</v>
      </c>
      <c r="AU178" t="s">
        <v>1243</v>
      </c>
      <c r="AV178" t="s">
        <v>8</v>
      </c>
      <c r="AW178">
        <f>66.5+17.8</f>
        <v>84.3</v>
      </c>
      <c r="AX178">
        <f>SQRT((17.1*SQRT(R178))^2 + (6.3*SQRT(R178))^2)</f>
        <v>40.749233121618381</v>
      </c>
      <c r="AY178" t="s">
        <v>8</v>
      </c>
      <c r="AZ178" t="s">
        <v>8</v>
      </c>
      <c r="BA178" t="s">
        <v>656</v>
      </c>
      <c r="BB178" t="s">
        <v>122</v>
      </c>
      <c r="BC178" cm="1">
        <f t="array" ref="BC178">_xlfn.IFS(BA178="Direct rLV % whole brain", AW178, BA178="Indirect rLV % whole brain", AW178, BA178="Direct rLV % hemisphere", AW178/2, BA178="Indirect rLV % hemisphere", AW178/2, AND(F178="Mouse", BA178="mm3"), (AW178/508.91)*100, AND(F178="Rat", BA178="mm3"), (AW178/1971)*100, AND(F178="Mouse", BA178="ul"), (AW178/508.91)*100, AND(F178="Rat", BA178="ul"), (AW178/1971)*100,  AND(F178="Mouse", BA178="nl"), (AW178/508910)*100, AND(F178="Rat", BA178="nl"), (AW178/1971000)*100, AND(F178="Mouse", BA178="cm3"), (AW178/0.50891)*100, AND(F178="Rat", BA178="cm3"), (AW178/1.971)*100, AND(F178="Mouse", BA178="mL"), (AW178/0.50891)*100, AND(F178="Rat", BA178="mL"), (AW178/1.971)*100, TRUE, "NA")</f>
        <v>4.2770167427701669</v>
      </c>
      <c r="BD178" t="str" cm="1">
        <f t="array" ref="BD178">_xlfn.IFS(AZ178="NA", "NA",BA178="Direct rLV % whole brain", AY178, BA178="Indirect rLV % whole brain", AY178, BA178="Direct rLV % hemisphere", AY178/2, BA178="Indirect rLV % hemisphere", AY178/2, AND(F178="Mouse", BA178="mm3"), (AY178/508.91)*100, AND(F178="Rat", BA178="mm3"), (AY178/1971)*100, AND(F178="Mouse", BA178="ul"), (AY178/508.91)*100, AND(F178="Rat", BA178="ul"), (AY178/1971)*100,  AND(F178="Mouse", BA178="nl"), (AY178/508910)*100, AND(F178="Rat", BA178="nl"), (AY178/1971000)*100, AND(F178="Mouse", BA178="cm3"), (AY178/0.50891)*100, AND(F178="Rat", BA178="cm3"), (AY178/1.971)*100, AND(F178="Mouse", BA178="mL"), (AY178/0.50891)*100, AND(F178="Rat", BA178="mL"), (AY178/1.971)*100, TRUE, "NA")</f>
        <v>NA</v>
      </c>
      <c r="BE178" cm="1">
        <f t="array" ref="BE178">_xlfn.IFS(AX178="NA", "NA", BB178="NR", "NA", BB178="SD", AX178, BB178="SE", AX178*(SQRT(R178)), BB178="SEM", AX178*(SQRT(R178)), TRUE, "NA")</f>
        <v>40.749233121618381</v>
      </c>
      <c r="BF178" cm="1">
        <f t="array" ref="BF178">_xlfn.IFS(BE178="NA", "NA",BA178="Direct rLV % whole brain", BE178, BA178="Indirect rLV % whole brain", BE178, BA178="Direct rLV % hemisphere", BE178/2, BA178="Indirect rLV % hemisphere", BE178/2, AND(F178="Mouse", BA178="mm3"), (BE178/508.91)*100, AND(F178="Rat", BA178="mm3"), (BE178/1971)*100, AND(F178="Mouse", BA178="ul"), (BE178/508.91)*100, AND(F178="Rat", BA178="ul"), (BE178/1971)*100,  AND(F178="Mouse", BA178="nl"), (BE178/508910)*100, AND(F178="Rat", BA178="nl"), (BE178/1971000)*100, AND(F178="Mouse", BA178="cm3"), (BE178/0.50891)*100, AND(F178="Rat", BA178="cm3"), (BE178/1.971)*100, AND(F178="Mouse", BA178="mL"), (BE178/0.50891)*100, AND(F178="Rat", BA178="mL"), (BE178/1.971)*100, TRUE, "NA")</f>
        <v>2.0674395292551182</v>
      </c>
      <c r="BG178" t="str" cm="1">
        <f t="array" ref="BG178">_xlfn.IFS(AZ178="NA", "NA", BB178="NR", "NA", BB178="SD", AZ178, BB178="SE", AZ178*(SQRT(R178)), BB178="SEM", AZ178*(SQRT(R178)), TRUE, "NA")</f>
        <v>NA</v>
      </c>
      <c r="BH178" s="18" t="s">
        <v>153</v>
      </c>
      <c r="BI178" t="s">
        <v>154</v>
      </c>
      <c r="BJ178" t="s">
        <v>154</v>
      </c>
    </row>
    <row r="179" spans="1:63" s="31" customFormat="1" x14ac:dyDescent="0.3">
      <c r="A179" s="31" t="s">
        <v>1127</v>
      </c>
      <c r="B179" s="31" t="s">
        <v>1126</v>
      </c>
      <c r="C179" s="31">
        <v>2020</v>
      </c>
      <c r="D179" s="31" t="s">
        <v>1128</v>
      </c>
      <c r="E179" s="31" t="s">
        <v>647</v>
      </c>
      <c r="F179" s="31" t="s">
        <v>23</v>
      </c>
      <c r="G179" s="31" t="s">
        <v>10</v>
      </c>
      <c r="H179" s="31" t="s">
        <v>34</v>
      </c>
      <c r="I179" s="31" t="s">
        <v>12</v>
      </c>
      <c r="J179" s="31" t="s">
        <v>8</v>
      </c>
      <c r="K179" s="31">
        <v>8</v>
      </c>
      <c r="L179" s="31">
        <f>AVERAGE(K179,M179)</f>
        <v>8.5</v>
      </c>
      <c r="M179" s="31">
        <v>9</v>
      </c>
      <c r="N179" s="31">
        <v>318</v>
      </c>
      <c r="O179" s="31">
        <v>339</v>
      </c>
      <c r="P179" s="31">
        <v>340</v>
      </c>
      <c r="Q179" s="31">
        <v>4</v>
      </c>
      <c r="R179" s="31">
        <v>9</v>
      </c>
      <c r="S179" s="31" t="s">
        <v>8</v>
      </c>
      <c r="T179" s="31" t="s">
        <v>8</v>
      </c>
      <c r="U179" s="32" t="s">
        <v>68</v>
      </c>
      <c r="V179" s="31" t="s">
        <v>8</v>
      </c>
      <c r="W179" s="31" t="s">
        <v>8</v>
      </c>
      <c r="X179" s="31" t="s">
        <v>68</v>
      </c>
      <c r="Y179" s="31" t="s">
        <v>8</v>
      </c>
      <c r="Z179" s="31" t="s">
        <v>8</v>
      </c>
      <c r="AA179" s="31" t="s">
        <v>640</v>
      </c>
      <c r="AB179" s="31" t="s">
        <v>636</v>
      </c>
      <c r="AC179" s="31" t="s">
        <v>9</v>
      </c>
      <c r="AD179" s="31" t="s">
        <v>634</v>
      </c>
      <c r="AE179" s="31">
        <v>0</v>
      </c>
      <c r="AF179" s="31">
        <v>400</v>
      </c>
      <c r="AG179" s="31" t="s">
        <v>745</v>
      </c>
      <c r="AH179" s="31">
        <v>1</v>
      </c>
      <c r="AI179" cm="1">
        <f t="array" ref="AI179">_xlfn.IFS(AF179="NR", "NA", AG179="NR", "NA", AG179="NA","NA", AND(AG179="mg/ml", AH179&lt;&gt;"NR"), ((AF179/2492)*AH179*1000000), AND(AG179="mol/L", AH179&lt;&gt;"NR"), AF179*AH179*1000000, AG179="nmol", AF179*1000, AND(AG179="nmol/uL", AH179&lt;&gt;"NR"), AF179*AH179*1000, AG179="pg", AF179/2492, AG179="pmol", AF179, AND(AG179="pmol/uL", AH179&lt;&gt;"NR"), AF179*AH179, AG179="ug", AF179/2492*1000000, AND(AG179="ug/mL", AH179&lt;&gt;"NR"), (AF179/1000*AH179)/2492*1000000, AND(AG179="ug/uL", AH179&lt;&gt;"NR"), (AF179*AH179)/2492*1000000, AND(AG179="umol/L", AH179&lt;&gt;"NR"), AH179*AF179, TRUE, "NA")</f>
        <v>400</v>
      </c>
      <c r="AJ179" s="31" t="s">
        <v>9</v>
      </c>
      <c r="AK179" s="31">
        <v>1</v>
      </c>
      <c r="AL179" s="31" t="s">
        <v>701</v>
      </c>
      <c r="AM179" s="31" t="s">
        <v>8</v>
      </c>
      <c r="AN179" s="31" t="s">
        <v>9</v>
      </c>
      <c r="AO179" s="32" t="s">
        <v>12</v>
      </c>
      <c r="AP179" s="31" t="s">
        <v>8</v>
      </c>
      <c r="AQ179" s="31" t="s">
        <v>8</v>
      </c>
      <c r="AR179" s="31" t="s">
        <v>8</v>
      </c>
      <c r="AS179" s="32">
        <v>336</v>
      </c>
      <c r="AT179" s="31" t="s">
        <v>271</v>
      </c>
      <c r="AU179" s="31" t="s">
        <v>652</v>
      </c>
      <c r="AV179" s="31" t="s">
        <v>8</v>
      </c>
      <c r="AW179" s="31">
        <v>23.33</v>
      </c>
      <c r="AX179" s="31">
        <v>5</v>
      </c>
      <c r="AY179" s="31" t="s">
        <v>8</v>
      </c>
      <c r="AZ179" s="31" t="s">
        <v>8</v>
      </c>
      <c r="BA179" s="31" t="s">
        <v>656</v>
      </c>
      <c r="BB179" s="31" t="s">
        <v>123</v>
      </c>
      <c r="BC179" cm="1">
        <f t="array" ref="BC179">_xlfn.IFS(BA179="Direct rLV % whole brain", AW179, BA179="Indirect rLV % whole brain", AW179, BA179="Direct rLV % hemisphere", AW179/2, BA179="Indirect rLV % hemisphere", AW179/2, AND(F179="Mouse", BA179="mm3"), (AW179/508.91)*100, AND(F179="Rat", BA179="mm3"), (AW179/1971)*100, AND(F179="Mouse", BA179="ul"), (AW179/508.91)*100, AND(F179="Rat", BA179="ul"), (AW179/1971)*100,  AND(F179="Mouse", BA179="nl"), (AW179/508910)*100, AND(F179="Rat", BA179="nl"), (AW179/1971000)*100, AND(F179="Mouse", BA179="cm3"), (AW179/0.50891)*100, AND(F179="Rat", BA179="cm3"), (AW179/1.971)*100, AND(F179="Mouse", BA179="mL"), (AW179/0.50891)*100, AND(F179="Rat", BA179="mL"), (AW179/1.971)*100, TRUE, "NA")</f>
        <v>1.1836631151699644</v>
      </c>
      <c r="BD179" t="str" cm="1">
        <f t="array" ref="BD179">_xlfn.IFS(AZ179="NA", "NA",BA179="Direct rLV % whole brain", AY179, BA179="Indirect rLV % whole brain", AY179, BA179="Direct rLV % hemisphere", AY179/2, BA179="Indirect rLV % hemisphere", AY179/2, AND(F179="Mouse", BA179="mm3"), (AY179/508.91)*100, AND(F179="Rat", BA179="mm3"), (AY179/1971)*100, AND(F179="Mouse", BA179="ul"), (AY179/508.91)*100, AND(F179="Rat", BA179="ul"), (AY179/1971)*100,  AND(F179="Mouse", BA179="nl"), (AY179/508910)*100, AND(F179="Rat", BA179="nl"), (AY179/1971000)*100, AND(F179="Mouse", BA179="cm3"), (AY179/0.50891)*100, AND(F179="Rat", BA179="cm3"), (AY179/1.971)*100, AND(F179="Mouse", BA179="mL"), (AY179/0.50891)*100, AND(F179="Rat", BA179="mL"), (AY179/1.971)*100, TRUE, "NA")</f>
        <v>NA</v>
      </c>
      <c r="BE179" cm="1">
        <f t="array" ref="BE179">_xlfn.IFS(AX179="NA", "NA", BB179="NR", "NA", BB179="SD", AX179, BB179="SE", AX179*(SQRT(R179)), BB179="SEM", AX179*(SQRT(R179)), TRUE, "NA")</f>
        <v>15</v>
      </c>
      <c r="BF179" cm="1">
        <f t="array" ref="BF179">_xlfn.IFS(BE179="NA", "NA",BA179="Direct rLV % whole brain", BE179, BA179="Indirect rLV % whole brain", BE179, BA179="Direct rLV % hemisphere", BE179/2, BA179="Indirect rLV % hemisphere", BE179/2, AND(F179="Mouse", BA179="mm3"), (BE179/508.91)*100, AND(F179="Rat", BA179="mm3"), (BE179/1971)*100, AND(F179="Mouse", BA179="ul"), (BE179/508.91)*100, AND(F179="Rat", BA179="ul"), (BE179/1971)*100,  AND(F179="Mouse", BA179="nl"), (BE179/508910)*100, AND(F179="Rat", BA179="nl"), (BE179/1971000)*100, AND(F179="Mouse", BA179="cm3"), (BE179/0.50891)*100, AND(F179="Rat", BA179="cm3"), (BE179/1.971)*100, AND(F179="Mouse", BA179="mL"), (BE179/0.50891)*100, AND(F179="Rat", BA179="mL"), (BE179/1.971)*100, TRUE, "NA")</f>
        <v>0.76103500761035003</v>
      </c>
      <c r="BG179" t="str" cm="1">
        <f t="array" ref="BG179">_xlfn.IFS(AZ179="NA", "NA", BB179="NR", "NA", BB179="SD", AZ179, BB179="SE", AZ179*(SQRT(R179)), BB179="SEM", AZ179*(SQRT(R179)), TRUE, "NA")</f>
        <v>NA</v>
      </c>
      <c r="BH179" s="32" t="s">
        <v>153</v>
      </c>
      <c r="BI179" s="31" t="s">
        <v>153</v>
      </c>
      <c r="BJ179" s="31" t="s">
        <v>154</v>
      </c>
      <c r="BK179" s="31" t="s">
        <v>1129</v>
      </c>
    </row>
    <row r="180" spans="1:63" x14ac:dyDescent="0.3">
      <c r="A180" t="s">
        <v>1131</v>
      </c>
      <c r="B180" t="s">
        <v>1130</v>
      </c>
      <c r="C180">
        <v>2006</v>
      </c>
      <c r="D180" t="s">
        <v>1132</v>
      </c>
      <c r="E180" t="s">
        <v>647</v>
      </c>
      <c r="F180" t="s">
        <v>23</v>
      </c>
      <c r="G180" t="s">
        <v>10</v>
      </c>
      <c r="H180" t="s">
        <v>34</v>
      </c>
      <c r="I180" t="s">
        <v>12</v>
      </c>
      <c r="J180" t="s">
        <v>8</v>
      </c>
      <c r="K180">
        <v>8</v>
      </c>
      <c r="L180">
        <f>AVERAGE(K180,M180)</f>
        <v>8.5</v>
      </c>
      <c r="M180">
        <v>9</v>
      </c>
      <c r="N180">
        <v>275</v>
      </c>
      <c r="O180">
        <f>AVERAGE(N180,P180)</f>
        <v>295</v>
      </c>
      <c r="P180">
        <v>315</v>
      </c>
      <c r="Q180">
        <v>1</v>
      </c>
      <c r="R180">
        <v>20</v>
      </c>
      <c r="S180" t="s">
        <v>8</v>
      </c>
      <c r="T180" t="s">
        <v>8</v>
      </c>
      <c r="U180" s="18" t="s">
        <v>66</v>
      </c>
      <c r="V180" t="s">
        <v>96</v>
      </c>
      <c r="W180" t="s">
        <v>8</v>
      </c>
      <c r="X180" t="s">
        <v>66</v>
      </c>
      <c r="Y180" t="s">
        <v>96</v>
      </c>
      <c r="Z180" t="s">
        <v>8</v>
      </c>
      <c r="AA180" t="s">
        <v>640</v>
      </c>
      <c r="AB180" t="s">
        <v>636</v>
      </c>
      <c r="AC180" t="s">
        <v>153</v>
      </c>
      <c r="AD180" t="s">
        <v>634</v>
      </c>
      <c r="AE180">
        <v>0</v>
      </c>
      <c r="AF180">
        <v>120</v>
      </c>
      <c r="AG180" t="s">
        <v>650</v>
      </c>
      <c r="AH180">
        <v>6</v>
      </c>
      <c r="AI180" cm="1">
        <f t="array" ref="AI180">_xlfn.IFS(AF180="NR", "NA", AG180="NR", "NA", AG180="NA","NA", AND(AG180="mg/ml", AH180&lt;&gt;"NR"), ((AF180/2492)*AH180*1000000), AND(AG180="mol/L", AH180&lt;&gt;"NR"), AF180*AH180*1000000, AG180="nmol", AF180*1000, AND(AG180="nmol/uL", AH180&lt;&gt;"NR"), AF180*AH180*1000, AG180="pg", AF180/2492, AG180="pmol", AF180, AND(AG180="pmol/uL", AH180&lt;&gt;"NR"), AF180*AH180, AG180="ug", AF180/2492*1000000, AND(AG180="ug/mL", AH180&lt;&gt;"NR"), (AF180/1000*AH180)/2492*1000000, AND(AG180="ug/uL", AH180&lt;&gt;"NR"), (AF180*AH180)/2492*1000000, AND(AG180="umol/L", AH180&lt;&gt;"NR"), AH180*AF180, TRUE, "NA")</f>
        <v>120</v>
      </c>
      <c r="AJ180">
        <v>2</v>
      </c>
      <c r="AK180">
        <v>1</v>
      </c>
      <c r="AL180" t="s">
        <v>701</v>
      </c>
      <c r="AM180" t="s">
        <v>8</v>
      </c>
      <c r="AN180" t="s">
        <v>857</v>
      </c>
      <c r="AO180" s="18" t="s">
        <v>12</v>
      </c>
      <c r="AP180" t="s">
        <v>8</v>
      </c>
      <c r="AQ180" t="s">
        <v>8</v>
      </c>
      <c r="AR180" t="s">
        <v>8</v>
      </c>
      <c r="AS180" s="18">
        <v>8760</v>
      </c>
      <c r="AT180" t="s">
        <v>271</v>
      </c>
      <c r="AU180" t="s">
        <v>684</v>
      </c>
      <c r="AV180" t="s">
        <v>8</v>
      </c>
      <c r="AW180">
        <v>32</v>
      </c>
      <c r="AX180">
        <v>22</v>
      </c>
      <c r="AY180" t="s">
        <v>8</v>
      </c>
      <c r="AZ180" t="s">
        <v>8</v>
      </c>
      <c r="BA180" t="s">
        <v>656</v>
      </c>
      <c r="BB180" t="s">
        <v>122</v>
      </c>
      <c r="BC180" cm="1">
        <f t="array" ref="BC180">_xlfn.IFS(BA180="Direct rLV % whole brain", AW180, BA180="Indirect rLV % whole brain", AW180, BA180="Direct rLV % hemisphere", AW180/2, BA180="Indirect rLV % hemisphere", AW180/2, AND(F180="Mouse", BA180="mm3"), (AW180/508.91)*100, AND(F180="Rat", BA180="mm3"), (AW180/1971)*100, AND(F180="Mouse", BA180="ul"), (AW180/508.91)*100, AND(F180="Rat", BA180="ul"), (AW180/1971)*100,  AND(F180="Mouse", BA180="nl"), (AW180/508910)*100, AND(F180="Rat", BA180="nl"), (AW180/1971000)*100, AND(F180="Mouse", BA180="cm3"), (AW180/0.50891)*100, AND(F180="Rat", BA180="cm3"), (AW180/1.971)*100, AND(F180="Mouse", BA180="mL"), (AW180/0.50891)*100, AND(F180="Rat", BA180="mL"), (AW180/1.971)*100, TRUE, "NA")</f>
        <v>1.6235413495687467</v>
      </c>
      <c r="BD180" t="str" cm="1">
        <f t="array" ref="BD180">_xlfn.IFS(AZ180="NA", "NA",BA180="Direct rLV % whole brain", AY180, BA180="Indirect rLV % whole brain", AY180, BA180="Direct rLV % hemisphere", AY180/2, BA180="Indirect rLV % hemisphere", AY180/2, AND(F180="Mouse", BA180="mm3"), (AY180/508.91)*100, AND(F180="Rat", BA180="mm3"), (AY180/1971)*100, AND(F180="Mouse", BA180="ul"), (AY180/508.91)*100, AND(F180="Rat", BA180="ul"), (AY180/1971)*100,  AND(F180="Mouse", BA180="nl"), (AY180/508910)*100, AND(F180="Rat", BA180="nl"), (AY180/1971000)*100, AND(F180="Mouse", BA180="cm3"), (AY180/0.50891)*100, AND(F180="Rat", BA180="cm3"), (AY180/1.971)*100, AND(F180="Mouse", BA180="mL"), (AY180/0.50891)*100, AND(F180="Rat", BA180="mL"), (AY180/1.971)*100, TRUE, "NA")</f>
        <v>NA</v>
      </c>
      <c r="BE180" cm="1">
        <f t="array" ref="BE180">_xlfn.IFS(AX180="NA", "NA", BB180="NR", "NA", BB180="SD", AX180, BB180="SE", AX180*(SQRT(R180)), BB180="SEM", AX180*(SQRT(R180)), TRUE, "NA")</f>
        <v>22</v>
      </c>
      <c r="BF180" cm="1">
        <f t="array" ref="BF180">_xlfn.IFS(BE180="NA", "NA",BA180="Direct rLV % whole brain", BE180, BA180="Indirect rLV % whole brain", BE180, BA180="Direct rLV % hemisphere", BE180/2, BA180="Indirect rLV % hemisphere", BE180/2, AND(F180="Mouse", BA180="mm3"), (BE180/508.91)*100, AND(F180="Rat", BA180="mm3"), (BE180/1971)*100, AND(F180="Mouse", BA180="ul"), (BE180/508.91)*100, AND(F180="Rat", BA180="ul"), (BE180/1971)*100,  AND(F180="Mouse", BA180="nl"), (BE180/508910)*100, AND(F180="Rat", BA180="nl"), (BE180/1971000)*100, AND(F180="Mouse", BA180="cm3"), (BE180/0.50891)*100, AND(F180="Rat", BA180="cm3"), (BE180/1.971)*100, AND(F180="Mouse", BA180="mL"), (BE180/0.50891)*100, AND(F180="Rat", BA180="mL"), (BE180/1.971)*100, TRUE, "NA")</f>
        <v>1.1161846778285134</v>
      </c>
      <c r="BG180" t="str" cm="1">
        <f t="array" ref="BG180">_xlfn.IFS(AZ180="NA", "NA", BB180="NR", "NA", BB180="SD", AZ180, BB180="SE", AZ180*(SQRT(R180)), BB180="SEM", AZ180*(SQRT(R180)), TRUE, "NA")</f>
        <v>NA</v>
      </c>
      <c r="BH180" s="18" t="s">
        <v>153</v>
      </c>
      <c r="BI180" t="s">
        <v>154</v>
      </c>
      <c r="BJ180" t="s">
        <v>154</v>
      </c>
    </row>
    <row r="181" spans="1:63" s="31" customFormat="1" x14ac:dyDescent="0.3">
      <c r="A181" s="31" t="s">
        <v>1134</v>
      </c>
      <c r="B181" s="31" t="s">
        <v>1133</v>
      </c>
      <c r="C181" s="31">
        <v>2019</v>
      </c>
      <c r="D181" s="31" t="s">
        <v>1135</v>
      </c>
      <c r="E181" s="31" t="s">
        <v>647</v>
      </c>
      <c r="F181" s="31" t="s">
        <v>23</v>
      </c>
      <c r="G181" s="31" t="s">
        <v>10</v>
      </c>
      <c r="H181" s="31" t="s">
        <v>34</v>
      </c>
      <c r="I181" s="31" t="s">
        <v>12</v>
      </c>
      <c r="J181" s="31" t="s">
        <v>8</v>
      </c>
      <c r="K181" s="31" t="s">
        <v>8</v>
      </c>
      <c r="L181" s="31">
        <v>13</v>
      </c>
      <c r="M181" s="31" t="s">
        <v>8</v>
      </c>
      <c r="N181" s="31">
        <v>200</v>
      </c>
      <c r="O181" s="31">
        <f t="shared" ref="O181:O183" si="32">AVERAGE(N181,P181)</f>
        <v>225</v>
      </c>
      <c r="P181" s="31">
        <v>250</v>
      </c>
      <c r="Q181" s="31">
        <v>3</v>
      </c>
      <c r="R181" s="31">
        <v>8</v>
      </c>
      <c r="S181" s="31" t="s">
        <v>8</v>
      </c>
      <c r="T181" s="31" t="s">
        <v>8</v>
      </c>
      <c r="U181" s="32" t="s">
        <v>68</v>
      </c>
      <c r="V181" s="31" t="s">
        <v>8</v>
      </c>
      <c r="W181" s="31" t="s">
        <v>8</v>
      </c>
      <c r="X181" s="31" t="s">
        <v>68</v>
      </c>
      <c r="Y181" s="31" t="s">
        <v>8</v>
      </c>
      <c r="Z181" s="31" t="s">
        <v>8</v>
      </c>
      <c r="AA181" s="31" t="s">
        <v>640</v>
      </c>
      <c r="AB181" s="31" t="s">
        <v>637</v>
      </c>
      <c r="AC181" s="31" t="s">
        <v>9</v>
      </c>
      <c r="AD181" s="31" t="s">
        <v>634</v>
      </c>
      <c r="AE181" s="31">
        <v>0</v>
      </c>
      <c r="AF181" s="31">
        <v>400</v>
      </c>
      <c r="AG181" s="31" t="s">
        <v>745</v>
      </c>
      <c r="AH181" s="31">
        <v>1</v>
      </c>
      <c r="AI181" cm="1">
        <f t="array" ref="AI181">_xlfn.IFS(AF181="NR", "NA", AG181="NR", "NA", AG181="NA","NA", AND(AG181="mg/ml", AH181&lt;&gt;"NR"), ((AF181/2492)*AH181*1000000), AND(AG181="mol/L", AH181&lt;&gt;"NR"), AF181*AH181*1000000, AG181="nmol", AF181*1000, AND(AG181="nmol/uL", AH181&lt;&gt;"NR"), AF181*AH181*1000, AG181="pg", AF181/2492, AG181="pmol", AF181, AND(AG181="pmol/uL", AH181&lt;&gt;"NR"), AF181*AH181, AG181="ug", AF181/2492*1000000, AND(AG181="ug/mL", AH181&lt;&gt;"NR"), (AF181/1000*AH181)/2492*1000000, AND(AG181="ug/uL", AH181&lt;&gt;"NR"), (AF181*AH181)/2492*1000000, AND(AG181="umol/L", AH181&lt;&gt;"NR"), AH181*AF181, TRUE, "NA")</f>
        <v>400</v>
      </c>
      <c r="AJ181" s="31">
        <v>4</v>
      </c>
      <c r="AK181" s="31">
        <v>1</v>
      </c>
      <c r="AL181" s="31" t="s">
        <v>665</v>
      </c>
      <c r="AM181" s="31" t="s">
        <v>8</v>
      </c>
      <c r="AN181" s="31" t="s">
        <v>9</v>
      </c>
      <c r="AO181" s="32" t="s">
        <v>12</v>
      </c>
      <c r="AP181" s="31" t="s">
        <v>8</v>
      </c>
      <c r="AQ181" s="31" t="s">
        <v>8</v>
      </c>
      <c r="AR181" s="31" t="s">
        <v>8</v>
      </c>
      <c r="AS181" s="32">
        <v>1680</v>
      </c>
      <c r="AT181" s="31" t="s">
        <v>271</v>
      </c>
      <c r="AU181" s="31" t="s">
        <v>652</v>
      </c>
      <c r="AV181" s="31" t="s">
        <v>8</v>
      </c>
      <c r="AW181" s="31">
        <v>15.8</v>
      </c>
      <c r="AX181" s="31">
        <v>1.71</v>
      </c>
      <c r="AY181" s="31" t="s">
        <v>8</v>
      </c>
      <c r="AZ181" s="31" t="s">
        <v>8</v>
      </c>
      <c r="BA181" s="31" t="s">
        <v>656</v>
      </c>
      <c r="BB181" s="31" t="s">
        <v>123</v>
      </c>
      <c r="BC181" cm="1">
        <f t="array" ref="BC181">_xlfn.IFS(BA181="Direct rLV % whole brain", AW181, BA181="Indirect rLV % whole brain", AW181, BA181="Direct rLV % hemisphere", AW181/2, BA181="Indirect rLV % hemisphere", AW181/2, AND(F181="Mouse", BA181="mm3"), (AW181/508.91)*100, AND(F181="Rat", BA181="mm3"), (AW181/1971)*100, AND(F181="Mouse", BA181="ul"), (AW181/508.91)*100, AND(F181="Rat", BA181="ul"), (AW181/1971)*100,  AND(F181="Mouse", BA181="nl"), (AW181/508910)*100, AND(F181="Rat", BA181="nl"), (AW181/1971000)*100, AND(F181="Mouse", BA181="cm3"), (AW181/0.50891)*100, AND(F181="Rat", BA181="cm3"), (AW181/1.971)*100, AND(F181="Mouse", BA181="mL"), (AW181/0.50891)*100, AND(F181="Rat", BA181="mL"), (AW181/1.971)*100, TRUE, "NA")</f>
        <v>0.8016235413495687</v>
      </c>
      <c r="BD181" t="str" cm="1">
        <f t="array" ref="BD181">_xlfn.IFS(AZ181="NA", "NA",BA181="Direct rLV % whole brain", AY181, BA181="Indirect rLV % whole brain", AY181, BA181="Direct rLV % hemisphere", AY181/2, BA181="Indirect rLV % hemisphere", AY181/2, AND(F181="Mouse", BA181="mm3"), (AY181/508.91)*100, AND(F181="Rat", BA181="mm3"), (AY181/1971)*100, AND(F181="Mouse", BA181="ul"), (AY181/508.91)*100, AND(F181="Rat", BA181="ul"), (AY181/1971)*100,  AND(F181="Mouse", BA181="nl"), (AY181/508910)*100, AND(F181="Rat", BA181="nl"), (AY181/1971000)*100, AND(F181="Mouse", BA181="cm3"), (AY181/0.50891)*100, AND(F181="Rat", BA181="cm3"), (AY181/1.971)*100, AND(F181="Mouse", BA181="mL"), (AY181/0.50891)*100, AND(F181="Rat", BA181="mL"), (AY181/1.971)*100, TRUE, "NA")</f>
        <v>NA</v>
      </c>
      <c r="BE181" cm="1">
        <f t="array" ref="BE181">_xlfn.IFS(AX181="NA", "NA", BB181="NR", "NA", BB181="SD", AX181, BB181="SE", AX181*(SQRT(R181)), BB181="SEM", AX181*(SQRT(R181)), TRUE, "NA")</f>
        <v>4.8366103833159855</v>
      </c>
      <c r="BF181" cm="1">
        <f t="array" ref="BF181">_xlfn.IFS(BE181="NA", "NA",BA181="Direct rLV % whole brain", BE181, BA181="Indirect rLV % whole brain", BE181, BA181="Direct rLV % hemisphere", BE181/2, BA181="Indirect rLV % hemisphere", BE181/2, AND(F181="Mouse", BA181="mm3"), (BE181/508.91)*100, AND(F181="Rat", BA181="mm3"), (BE181/1971)*100, AND(F181="Mouse", BA181="ul"), (BE181/508.91)*100, AND(F181="Rat", BA181="ul"), (BE181/1971)*100,  AND(F181="Mouse", BA181="nl"), (BE181/508910)*100, AND(F181="Rat", BA181="nl"), (BE181/1971000)*100, AND(F181="Mouse", BA181="cm3"), (BE181/0.50891)*100, AND(F181="Rat", BA181="cm3"), (BE181/1.971)*100, AND(F181="Mouse", BA181="mL"), (BE181/0.50891)*100, AND(F181="Rat", BA181="mL"), (BE181/1.971)*100, TRUE, "NA")</f>
        <v>0.24538865465834528</v>
      </c>
      <c r="BG181" t="str" cm="1">
        <f t="array" ref="BG181">_xlfn.IFS(AZ181="NA", "NA", BB181="NR", "NA", BB181="SD", AZ181, BB181="SE", AZ181*(SQRT(R181)), BB181="SEM", AZ181*(SQRT(R181)), TRUE, "NA")</f>
        <v>NA</v>
      </c>
      <c r="BH181" s="32" t="s">
        <v>154</v>
      </c>
      <c r="BI181" s="31" t="s">
        <v>154</v>
      </c>
      <c r="BJ181" s="31" t="s">
        <v>154</v>
      </c>
    </row>
    <row r="182" spans="1:63" s="31" customFormat="1" x14ac:dyDescent="0.3">
      <c r="A182" s="31" t="s">
        <v>1134</v>
      </c>
      <c r="B182" s="31" t="s">
        <v>1133</v>
      </c>
      <c r="C182" s="31">
        <v>2019</v>
      </c>
      <c r="D182" s="31" t="s">
        <v>1135</v>
      </c>
      <c r="E182" s="31" t="s">
        <v>678</v>
      </c>
      <c r="F182" s="31" t="s">
        <v>23</v>
      </c>
      <c r="G182" s="31" t="s">
        <v>10</v>
      </c>
      <c r="H182" s="31" t="s">
        <v>34</v>
      </c>
      <c r="I182" s="31" t="s">
        <v>12</v>
      </c>
      <c r="J182" s="31" t="s">
        <v>8</v>
      </c>
      <c r="K182" s="31" t="s">
        <v>8</v>
      </c>
      <c r="L182" s="31">
        <v>13</v>
      </c>
      <c r="M182" s="31" t="s">
        <v>8</v>
      </c>
      <c r="N182" s="31">
        <v>200</v>
      </c>
      <c r="O182" s="31">
        <f t="shared" si="32"/>
        <v>225</v>
      </c>
      <c r="P182" s="31">
        <v>250</v>
      </c>
      <c r="Q182" s="31">
        <v>3</v>
      </c>
      <c r="R182" s="31">
        <v>9</v>
      </c>
      <c r="S182" s="31" t="s">
        <v>8</v>
      </c>
      <c r="T182" s="31" t="s">
        <v>8</v>
      </c>
      <c r="U182" s="32" t="s">
        <v>68</v>
      </c>
      <c r="V182" s="31" t="s">
        <v>8</v>
      </c>
      <c r="W182" s="31" t="s">
        <v>8</v>
      </c>
      <c r="X182" s="31" t="s">
        <v>68</v>
      </c>
      <c r="Y182" s="31" t="s">
        <v>8</v>
      </c>
      <c r="Z182" s="31" t="s">
        <v>8</v>
      </c>
      <c r="AA182" s="31" t="s">
        <v>640</v>
      </c>
      <c r="AB182" s="31" t="s">
        <v>636</v>
      </c>
      <c r="AC182" s="31" t="s">
        <v>9</v>
      </c>
      <c r="AD182" s="31" t="s">
        <v>634</v>
      </c>
      <c r="AE182" s="31">
        <v>0</v>
      </c>
      <c r="AF182" s="31">
        <v>400</v>
      </c>
      <c r="AG182" s="31" t="s">
        <v>745</v>
      </c>
      <c r="AH182" s="31">
        <v>2</v>
      </c>
      <c r="AI182" cm="1">
        <f t="array" ref="AI182">_xlfn.IFS(AF182="NR", "NA", AG182="NR", "NA", AG182="NA","NA", AND(AG182="mg/ml", AH182&lt;&gt;"NR"), ((AF182/2492)*AH182*1000000), AND(AG182="mol/L", AH182&lt;&gt;"NR"), AF182*AH182*1000000, AG182="nmol", AF182*1000, AND(AG182="nmol/uL", AH182&lt;&gt;"NR"), AF182*AH182*1000, AG182="pg", AF182/2492, AG182="pmol", AF182, AND(AG182="pmol/uL", AH182&lt;&gt;"NR"), AF182*AH182, AG182="ug", AF182/2492*1000000, AND(AG182="ug/mL", AH182&lt;&gt;"NR"), (AF182/1000*AH182)/2492*1000000, AND(AG182="ug/uL", AH182&lt;&gt;"NR"), (AF182*AH182)/2492*1000000, AND(AG182="umol/L", AH182&lt;&gt;"NR"), AH182*AF182, TRUE, "NA")</f>
        <v>800</v>
      </c>
      <c r="AJ182" s="31">
        <v>8</v>
      </c>
      <c r="AK182" s="31">
        <v>2</v>
      </c>
      <c r="AL182" s="31" t="s">
        <v>665</v>
      </c>
      <c r="AM182" s="31" t="s">
        <v>8</v>
      </c>
      <c r="AN182" s="31" t="s">
        <v>9</v>
      </c>
      <c r="AO182" s="32" t="s">
        <v>12</v>
      </c>
      <c r="AP182" s="31" t="s">
        <v>8</v>
      </c>
      <c r="AQ182" s="31" t="s">
        <v>8</v>
      </c>
      <c r="AR182" s="31" t="s">
        <v>8</v>
      </c>
      <c r="AS182" s="32">
        <v>1680</v>
      </c>
      <c r="AT182" s="31" t="s">
        <v>271</v>
      </c>
      <c r="AU182" s="31" t="s">
        <v>652</v>
      </c>
      <c r="AV182" s="31" t="s">
        <v>8</v>
      </c>
      <c r="AW182" s="31">
        <v>33.61</v>
      </c>
      <c r="AX182" s="31">
        <v>9.06</v>
      </c>
      <c r="AY182" s="31" t="s">
        <v>8</v>
      </c>
      <c r="AZ182" s="31" t="s">
        <v>8</v>
      </c>
      <c r="BA182" s="31" t="s">
        <v>656</v>
      </c>
      <c r="BB182" s="31" t="s">
        <v>123</v>
      </c>
      <c r="BC182" cm="1">
        <f t="array" ref="BC182">_xlfn.IFS(BA182="Direct rLV % whole brain", AW182, BA182="Indirect rLV % whole brain", AW182, BA182="Direct rLV % hemisphere", AW182/2, BA182="Indirect rLV % hemisphere", AW182/2, AND(F182="Mouse", BA182="mm3"), (AW182/508.91)*100, AND(F182="Rat", BA182="mm3"), (AW182/1971)*100, AND(F182="Mouse", BA182="ul"), (AW182/508.91)*100, AND(F182="Rat", BA182="ul"), (AW182/1971)*100,  AND(F182="Mouse", BA182="nl"), (AW182/508910)*100, AND(F182="Rat", BA182="nl"), (AW182/1971000)*100, AND(F182="Mouse", BA182="cm3"), (AW182/0.50891)*100, AND(F182="Rat", BA182="cm3"), (AW182/1.971)*100, AND(F182="Mouse", BA182="mL"), (AW182/0.50891)*100, AND(F182="Rat", BA182="mL"), (AW182/1.971)*100, TRUE, "NA")</f>
        <v>1.7052257737189245</v>
      </c>
      <c r="BD182" t="str" cm="1">
        <f t="array" ref="BD182">_xlfn.IFS(AZ182="NA", "NA",BA182="Direct rLV % whole brain", AY182, BA182="Indirect rLV % whole brain", AY182, BA182="Direct rLV % hemisphere", AY182/2, BA182="Indirect rLV % hemisphere", AY182/2, AND(F182="Mouse", BA182="mm3"), (AY182/508.91)*100, AND(F182="Rat", BA182="mm3"), (AY182/1971)*100, AND(F182="Mouse", BA182="ul"), (AY182/508.91)*100, AND(F182="Rat", BA182="ul"), (AY182/1971)*100,  AND(F182="Mouse", BA182="nl"), (AY182/508910)*100, AND(F182="Rat", BA182="nl"), (AY182/1971000)*100, AND(F182="Mouse", BA182="cm3"), (AY182/0.50891)*100, AND(F182="Rat", BA182="cm3"), (AY182/1.971)*100, AND(F182="Mouse", BA182="mL"), (AY182/0.50891)*100, AND(F182="Rat", BA182="mL"), (AY182/1.971)*100, TRUE, "NA")</f>
        <v>NA</v>
      </c>
      <c r="BE182" cm="1">
        <f t="array" ref="BE182">_xlfn.IFS(AX182="NA", "NA", BB182="NR", "NA", BB182="SD", AX182, BB182="SE", AX182*(SQRT(R182)), BB182="SEM", AX182*(SQRT(R182)), TRUE, "NA")</f>
        <v>27.18</v>
      </c>
      <c r="BF182" cm="1">
        <f t="array" ref="BF182">_xlfn.IFS(BE182="NA", "NA",BA182="Direct rLV % whole brain", BE182, BA182="Indirect rLV % whole brain", BE182, BA182="Direct rLV % hemisphere", BE182/2, BA182="Indirect rLV % hemisphere", BE182/2, AND(F182="Mouse", BA182="mm3"), (BE182/508.91)*100, AND(F182="Rat", BA182="mm3"), (BE182/1971)*100, AND(F182="Mouse", BA182="ul"), (BE182/508.91)*100, AND(F182="Rat", BA182="ul"), (BE182/1971)*100,  AND(F182="Mouse", BA182="nl"), (BE182/508910)*100, AND(F182="Rat", BA182="nl"), (BE182/1971000)*100, AND(F182="Mouse", BA182="cm3"), (BE182/0.50891)*100, AND(F182="Rat", BA182="cm3"), (BE182/1.971)*100, AND(F182="Mouse", BA182="mL"), (BE182/0.50891)*100, AND(F182="Rat", BA182="mL"), (BE182/1.971)*100, TRUE, "NA")</f>
        <v>1.3789954337899544</v>
      </c>
      <c r="BG182" t="str" cm="1">
        <f t="array" ref="BG182">_xlfn.IFS(AZ182="NA", "NA", BB182="NR", "NA", BB182="SD", AZ182, BB182="SE", AZ182*(SQRT(R182)), BB182="SEM", AZ182*(SQRT(R182)), TRUE, "NA")</f>
        <v>NA</v>
      </c>
      <c r="BH182" s="32" t="s">
        <v>154</v>
      </c>
      <c r="BI182" s="31" t="s">
        <v>154</v>
      </c>
      <c r="BJ182" s="31" t="s">
        <v>154</v>
      </c>
    </row>
    <row r="183" spans="1:63" s="31" customFormat="1" x14ac:dyDescent="0.3">
      <c r="A183" s="31" t="s">
        <v>1134</v>
      </c>
      <c r="B183" s="31" t="s">
        <v>1133</v>
      </c>
      <c r="C183" s="31">
        <v>2019</v>
      </c>
      <c r="D183" s="31" t="s">
        <v>1135</v>
      </c>
      <c r="E183" s="31" t="s">
        <v>699</v>
      </c>
      <c r="F183" s="31" t="s">
        <v>23</v>
      </c>
      <c r="G183" s="31" t="s">
        <v>10</v>
      </c>
      <c r="H183" s="31" t="s">
        <v>34</v>
      </c>
      <c r="I183" s="31" t="s">
        <v>12</v>
      </c>
      <c r="J183" s="31" t="s">
        <v>8</v>
      </c>
      <c r="K183" s="31" t="s">
        <v>8</v>
      </c>
      <c r="L183" s="31">
        <v>13</v>
      </c>
      <c r="M183" s="31" t="s">
        <v>8</v>
      </c>
      <c r="N183" s="31">
        <v>200</v>
      </c>
      <c r="O183" s="31">
        <f t="shared" si="32"/>
        <v>225</v>
      </c>
      <c r="P183" s="31">
        <v>250</v>
      </c>
      <c r="Q183" s="31">
        <v>3</v>
      </c>
      <c r="R183" s="31">
        <v>9</v>
      </c>
      <c r="S183" s="31" t="s">
        <v>8</v>
      </c>
      <c r="T183" s="31" t="s">
        <v>8</v>
      </c>
      <c r="U183" s="32" t="s">
        <v>68</v>
      </c>
      <c r="V183" s="31" t="s">
        <v>8</v>
      </c>
      <c r="W183" s="31" t="s">
        <v>8</v>
      </c>
      <c r="X183" s="31" t="s">
        <v>68</v>
      </c>
      <c r="Y183" s="31" t="s">
        <v>8</v>
      </c>
      <c r="Z183" s="31" t="s">
        <v>8</v>
      </c>
      <c r="AA183" s="31" t="s">
        <v>640</v>
      </c>
      <c r="AB183" s="31" t="s">
        <v>746</v>
      </c>
      <c r="AC183" s="31" t="s">
        <v>9</v>
      </c>
      <c r="AD183" s="31" t="s">
        <v>634</v>
      </c>
      <c r="AE183" s="31">
        <v>0</v>
      </c>
      <c r="AF183" s="31">
        <v>400</v>
      </c>
      <c r="AG183" s="31" t="s">
        <v>745</v>
      </c>
      <c r="AH183" s="31">
        <v>3</v>
      </c>
      <c r="AI183" cm="1">
        <f t="array" ref="AI183">_xlfn.IFS(AF183="NR", "NA", AG183="NR", "NA", AG183="NA","NA", AND(AG183="mg/ml", AH183&lt;&gt;"NR"), ((AF183/2492)*AH183*1000000), AND(AG183="mol/L", AH183&lt;&gt;"NR"), AF183*AH183*1000000, AG183="nmol", AF183*1000, AND(AG183="nmol/uL", AH183&lt;&gt;"NR"), AF183*AH183*1000, AG183="pg", AF183/2492, AG183="pmol", AF183, AND(AG183="pmol/uL", AH183&lt;&gt;"NR"), AF183*AH183, AG183="ug", AF183/2492*1000000, AND(AG183="ug/mL", AH183&lt;&gt;"NR"), (AF183/1000*AH183)/2492*1000000, AND(AG183="ug/uL", AH183&lt;&gt;"NR"), (AF183*AH183)/2492*1000000, AND(AG183="umol/L", AH183&lt;&gt;"NR"), AH183*AF183, TRUE, "NA")</f>
        <v>1200</v>
      </c>
      <c r="AJ183" s="31">
        <v>12</v>
      </c>
      <c r="AK183" s="31">
        <v>3</v>
      </c>
      <c r="AL183" s="31" t="s">
        <v>665</v>
      </c>
      <c r="AM183" s="31" t="s">
        <v>8</v>
      </c>
      <c r="AN183" s="31" t="s">
        <v>9</v>
      </c>
      <c r="AO183" s="32" t="s">
        <v>12</v>
      </c>
      <c r="AP183" s="31" t="s">
        <v>8</v>
      </c>
      <c r="AQ183" s="31" t="s">
        <v>8</v>
      </c>
      <c r="AR183" s="31" t="s">
        <v>8</v>
      </c>
      <c r="AS183" s="32">
        <v>1680</v>
      </c>
      <c r="AT183" s="31" t="s">
        <v>271</v>
      </c>
      <c r="AU183" s="31" t="s">
        <v>652</v>
      </c>
      <c r="AV183" s="31" t="s">
        <v>8</v>
      </c>
      <c r="AW183" s="31">
        <v>49.51</v>
      </c>
      <c r="AX183" s="31">
        <v>10.06</v>
      </c>
      <c r="AY183" s="31" t="s">
        <v>8</v>
      </c>
      <c r="AZ183" s="31" t="s">
        <v>8</v>
      </c>
      <c r="BA183" s="31" t="s">
        <v>656</v>
      </c>
      <c r="BB183" s="31" t="s">
        <v>123</v>
      </c>
      <c r="BC183" cm="1">
        <f t="array" ref="BC183">_xlfn.IFS(BA183="Direct rLV % whole brain", AW183, BA183="Indirect rLV % whole brain", AW183, BA183="Direct rLV % hemisphere", AW183/2, BA183="Indirect rLV % hemisphere", AW183/2, AND(F183="Mouse", BA183="mm3"), (AW183/508.91)*100, AND(F183="Rat", BA183="mm3"), (AW183/1971)*100, AND(F183="Mouse", BA183="ul"), (AW183/508.91)*100, AND(F183="Rat", BA183="ul"), (AW183/1971)*100,  AND(F183="Mouse", BA183="nl"), (AW183/508910)*100, AND(F183="Rat", BA183="nl"), (AW183/1971000)*100, AND(F183="Mouse", BA183="cm3"), (AW183/0.50891)*100, AND(F183="Rat", BA183="cm3"), (AW183/1.971)*100, AND(F183="Mouse", BA183="mL"), (AW183/0.50891)*100, AND(F183="Rat", BA183="mL"), (AW183/1.971)*100, TRUE, "NA")</f>
        <v>2.5119228817858956</v>
      </c>
      <c r="BD183" t="str" cm="1">
        <f t="array" ref="BD183">_xlfn.IFS(AZ183="NA", "NA",BA183="Direct rLV % whole brain", AY183, BA183="Indirect rLV % whole brain", AY183, BA183="Direct rLV % hemisphere", AY183/2, BA183="Indirect rLV % hemisphere", AY183/2, AND(F183="Mouse", BA183="mm3"), (AY183/508.91)*100, AND(F183="Rat", BA183="mm3"), (AY183/1971)*100, AND(F183="Mouse", BA183="ul"), (AY183/508.91)*100, AND(F183="Rat", BA183="ul"), (AY183/1971)*100,  AND(F183="Mouse", BA183="nl"), (AY183/508910)*100, AND(F183="Rat", BA183="nl"), (AY183/1971000)*100, AND(F183="Mouse", BA183="cm3"), (AY183/0.50891)*100, AND(F183="Rat", BA183="cm3"), (AY183/1.971)*100, AND(F183="Mouse", BA183="mL"), (AY183/0.50891)*100, AND(F183="Rat", BA183="mL"), (AY183/1.971)*100, TRUE, "NA")</f>
        <v>NA</v>
      </c>
      <c r="BE183" cm="1">
        <f t="array" ref="BE183">_xlfn.IFS(AX183="NA", "NA", BB183="NR", "NA", BB183="SD", AX183, BB183="SE", AX183*(SQRT(R183)), BB183="SEM", AX183*(SQRT(R183)), TRUE, "NA")</f>
        <v>30.18</v>
      </c>
      <c r="BF183" cm="1">
        <f t="array" ref="BF183">_xlfn.IFS(BE183="NA", "NA",BA183="Direct rLV % whole brain", BE183, BA183="Indirect rLV % whole brain", BE183, BA183="Direct rLV % hemisphere", BE183/2, BA183="Indirect rLV % hemisphere", BE183/2, AND(F183="Mouse", BA183="mm3"), (BE183/508.91)*100, AND(F183="Rat", BA183="mm3"), (BE183/1971)*100, AND(F183="Mouse", BA183="ul"), (BE183/508.91)*100, AND(F183="Rat", BA183="ul"), (BE183/1971)*100,  AND(F183="Mouse", BA183="nl"), (BE183/508910)*100, AND(F183="Rat", BA183="nl"), (BE183/1971000)*100, AND(F183="Mouse", BA183="cm3"), (BE183/0.50891)*100, AND(F183="Rat", BA183="cm3"), (BE183/1.971)*100, AND(F183="Mouse", BA183="mL"), (BE183/0.50891)*100, AND(F183="Rat", BA183="mL"), (BE183/1.971)*100, TRUE, "NA")</f>
        <v>1.5312024353120244</v>
      </c>
      <c r="BG183" t="str" cm="1">
        <f t="array" ref="BG183">_xlfn.IFS(AZ183="NA", "NA", BB183="NR", "NA", BB183="SD", AZ183, BB183="SE", AZ183*(SQRT(R183)), BB183="SEM", AZ183*(SQRT(R183)), TRUE, "NA")</f>
        <v>NA</v>
      </c>
      <c r="BH183" s="32" t="s">
        <v>154</v>
      </c>
      <c r="BI183" s="31" t="s">
        <v>154</v>
      </c>
      <c r="BJ183" s="31" t="s">
        <v>154</v>
      </c>
    </row>
    <row r="184" spans="1:63" x14ac:dyDescent="0.3">
      <c r="A184" t="s">
        <v>1137</v>
      </c>
      <c r="B184" t="s">
        <v>1136</v>
      </c>
      <c r="C184">
        <v>2015</v>
      </c>
      <c r="D184" t="s">
        <v>1138</v>
      </c>
      <c r="E184" t="s">
        <v>647</v>
      </c>
      <c r="F184" t="s">
        <v>23</v>
      </c>
      <c r="G184" t="s">
        <v>47</v>
      </c>
      <c r="H184" t="s">
        <v>34</v>
      </c>
      <c r="I184" t="s">
        <v>12</v>
      </c>
      <c r="J184" t="s">
        <v>8</v>
      </c>
      <c r="K184" t="s">
        <v>8</v>
      </c>
      <c r="L184">
        <v>22</v>
      </c>
      <c r="M184" t="s">
        <v>8</v>
      </c>
      <c r="N184" t="s">
        <v>9</v>
      </c>
      <c r="O184" t="s">
        <v>9</v>
      </c>
      <c r="P184" t="s">
        <v>9</v>
      </c>
      <c r="Q184">
        <v>2</v>
      </c>
      <c r="R184">
        <v>7</v>
      </c>
      <c r="S184">
        <v>2</v>
      </c>
      <c r="T184">
        <v>7</v>
      </c>
      <c r="U184" s="18" t="s">
        <v>9</v>
      </c>
      <c r="V184" t="s">
        <v>8</v>
      </c>
      <c r="W184" t="s">
        <v>8</v>
      </c>
      <c r="X184" t="s">
        <v>9</v>
      </c>
      <c r="Y184" t="s">
        <v>8</v>
      </c>
      <c r="Z184" t="s">
        <v>8</v>
      </c>
      <c r="AA184" t="s">
        <v>9</v>
      </c>
      <c r="AB184" t="s">
        <v>636</v>
      </c>
      <c r="AC184" t="s">
        <v>9</v>
      </c>
      <c r="AD184" t="s">
        <v>9</v>
      </c>
      <c r="AE184">
        <v>0</v>
      </c>
      <c r="AF184" t="s">
        <v>9</v>
      </c>
      <c r="AG184" t="s">
        <v>8</v>
      </c>
      <c r="AH184" t="s">
        <v>9</v>
      </c>
      <c r="AI184" t="str" cm="1">
        <f t="array" ref="AI184">_xlfn.IFS(AF184="NR", "NA", AG184="NR", "NA", AG184="NA","NA", AND(AG184="mg/ml", AH184&lt;&gt;"NR"), ((AF184/2492)*AH184*1000000), AND(AG184="mol/L", AH184&lt;&gt;"NR"), AF184*AH184*1000000, AG184="nmol", AF184*1000, AND(AG184="nmol/uL", AH184&lt;&gt;"NR"), AF184*AH184*1000, AG184="pg", AF184/2492, AG184="pmol", AF184, AND(AG184="pmol/uL", AH184&lt;&gt;"NR"), AF184*AH184, AG184="ug", AF184/2492*1000000, AND(AG184="ug/mL", AH184&lt;&gt;"NR"), (AF184/1000*AH184)/2492*1000000, AND(AG184="ug/uL", AH184&lt;&gt;"NR"), (AF184*AH184)/2492*1000000, AND(AG184="umol/L", AH184&lt;&gt;"NR"), AH184*AF184, TRUE, "NA")</f>
        <v>NA</v>
      </c>
      <c r="AJ184" t="s">
        <v>9</v>
      </c>
      <c r="AK184" t="s">
        <v>9</v>
      </c>
      <c r="AL184" t="s">
        <v>9</v>
      </c>
      <c r="AM184" t="s">
        <v>8</v>
      </c>
      <c r="AN184" t="s">
        <v>9</v>
      </c>
      <c r="AO184" s="18" t="s">
        <v>773</v>
      </c>
      <c r="AP184" t="s">
        <v>1228</v>
      </c>
      <c r="AQ184">
        <v>144</v>
      </c>
      <c r="AR184" t="s">
        <v>103</v>
      </c>
      <c r="AS184" s="18">
        <v>120</v>
      </c>
      <c r="AT184" t="s">
        <v>271</v>
      </c>
      <c r="AU184" t="s">
        <v>663</v>
      </c>
      <c r="AV184" t="s">
        <v>674</v>
      </c>
      <c r="AW184">
        <v>10.67</v>
      </c>
      <c r="AX184">
        <v>0.88</v>
      </c>
      <c r="AY184">
        <v>10.02</v>
      </c>
      <c r="AZ184">
        <v>1.36</v>
      </c>
      <c r="BA184" t="s">
        <v>656</v>
      </c>
      <c r="BB184" t="s">
        <v>124</v>
      </c>
      <c r="BC184" cm="1">
        <f t="array" ref="BC184">_xlfn.IFS(BA184="Direct rLV % whole brain", AW184, BA184="Indirect rLV % whole brain", AW184, BA184="Direct rLV % hemisphere", AW184/2, BA184="Indirect rLV % hemisphere", AW184/2, AND(F184="Mouse", BA184="mm3"), (AW184/508.91)*100, AND(F184="Rat", BA184="mm3"), (AW184/1971)*100, AND(F184="Mouse", BA184="ul"), (AW184/508.91)*100, AND(F184="Rat", BA184="ul"), (AW184/1971)*100,  AND(F184="Mouse", BA184="nl"), (AW184/508910)*100, AND(F184="Rat", BA184="nl"), (AW184/1971000)*100, AND(F184="Mouse", BA184="cm3"), (AW184/0.50891)*100, AND(F184="Rat", BA184="cm3"), (AW184/1.971)*100, AND(F184="Mouse", BA184="mL"), (AW184/0.50891)*100, AND(F184="Rat", BA184="mL"), (AW184/1.971)*100, TRUE, "NA")</f>
        <v>0.54134956874682905</v>
      </c>
      <c r="BD184" cm="1">
        <f t="array" ref="BD184">_xlfn.IFS(AZ184="NA", "NA",BA184="Direct rLV % whole brain", AY184, BA184="Indirect rLV % whole brain", AY184, BA184="Direct rLV % hemisphere", AY184/2, BA184="Indirect rLV % hemisphere", AY184/2, AND(F184="Mouse", BA184="mm3"), (AY184/508.91)*100, AND(F184="Rat", BA184="mm3"), (AY184/1971)*100, AND(F184="Mouse", BA184="ul"), (AY184/508.91)*100, AND(F184="Rat", BA184="ul"), (AY184/1971)*100,  AND(F184="Mouse", BA184="nl"), (AY184/508910)*100, AND(F184="Rat", BA184="nl"), (AY184/1971000)*100, AND(F184="Mouse", BA184="cm3"), (AY184/0.50891)*100, AND(F184="Rat", BA184="cm3"), (AY184/1.971)*100, AND(F184="Mouse", BA184="mL"), (AY184/0.50891)*100, AND(F184="Rat", BA184="mL"), (AY184/1.971)*100, TRUE, "NA")</f>
        <v>0.50837138508371382</v>
      </c>
      <c r="BE184" cm="1">
        <f t="array" ref="BE184">_xlfn.IFS(AX184="NA", "NA", BB184="NR", "NA", BB184="SD", AX184, BB184="SE", AX184*(SQRT(R184)), BB184="SEM", AX184*(SQRT(R184)), TRUE, "NA")</f>
        <v>2.3282611537368401</v>
      </c>
      <c r="BF184" cm="1">
        <f t="array" ref="BF184">_xlfn.IFS(BE184="NA", "NA",BA184="Direct rLV % whole brain", BE184, BA184="Indirect rLV % whole brain", BE184, BA184="Direct rLV % hemisphere", BE184/2, BA184="Indirect rLV % hemisphere", BE184/2, AND(F184="Mouse", BA184="mm3"), (BE184/508.91)*100, AND(F184="Rat", BA184="mm3"), (BE184/1971)*100, AND(F184="Mouse", BA184="ul"), (BE184/508.91)*100, AND(F184="Rat", BA184="ul"), (BE184/1971)*100,  AND(F184="Mouse", BA184="nl"), (BE184/508910)*100, AND(F184="Rat", BA184="nl"), (BE184/1971000)*100, AND(F184="Mouse", BA184="cm3"), (BE184/0.50891)*100, AND(F184="Rat", BA184="cm3"), (BE184/1.971)*100, AND(F184="Mouse", BA184="mL"), (BE184/0.50891)*100, AND(F184="Rat", BA184="mL"), (BE184/1.971)*100, TRUE, "NA")</f>
        <v>0.11812588299019991</v>
      </c>
      <c r="BG184" cm="1">
        <f t="array" ref="BG184">_xlfn.IFS(AZ184="NA", "NA", BB184="NR", "NA", BB184="SD", AZ184, BB184="SE", AZ184*(SQRT(R184)), BB184="SEM", AZ184*(SQRT(R184)), TRUE, "NA")</f>
        <v>3.5982217830478436</v>
      </c>
      <c r="BH184" s="18" t="s">
        <v>153</v>
      </c>
      <c r="BI184" t="s">
        <v>153</v>
      </c>
      <c r="BJ184" t="s">
        <v>154</v>
      </c>
    </row>
    <row r="185" spans="1:63" s="31" customFormat="1" x14ac:dyDescent="0.3">
      <c r="A185" s="31" t="s">
        <v>1140</v>
      </c>
      <c r="B185" s="31" t="s">
        <v>1139</v>
      </c>
      <c r="C185" s="31">
        <v>2017</v>
      </c>
      <c r="D185" s="31" t="s">
        <v>1141</v>
      </c>
      <c r="E185" s="31" t="s">
        <v>647</v>
      </c>
      <c r="F185" s="31" t="s">
        <v>23</v>
      </c>
      <c r="G185" s="31" t="s">
        <v>10</v>
      </c>
      <c r="H185" s="31" t="s">
        <v>34</v>
      </c>
      <c r="I185" s="31" t="s">
        <v>12</v>
      </c>
      <c r="J185" s="31" t="s">
        <v>8</v>
      </c>
      <c r="K185" s="31" t="s">
        <v>9</v>
      </c>
      <c r="L185" s="31" t="s">
        <v>9</v>
      </c>
      <c r="M185" s="31" t="s">
        <v>9</v>
      </c>
      <c r="N185" s="31">
        <v>375</v>
      </c>
      <c r="O185" s="31">
        <v>383</v>
      </c>
      <c r="P185" s="31">
        <v>391</v>
      </c>
      <c r="Q185" s="31">
        <v>2</v>
      </c>
      <c r="R185" s="31">
        <v>20</v>
      </c>
      <c r="S185" s="31" t="s">
        <v>8</v>
      </c>
      <c r="T185" s="31" t="s">
        <v>8</v>
      </c>
      <c r="U185" s="32" t="s">
        <v>68</v>
      </c>
      <c r="V185" s="31" t="s">
        <v>8</v>
      </c>
      <c r="W185" s="31" t="s">
        <v>8</v>
      </c>
      <c r="X185" s="31" t="s">
        <v>68</v>
      </c>
      <c r="Y185" s="31" t="s">
        <v>8</v>
      </c>
      <c r="Z185" s="31" t="s">
        <v>8</v>
      </c>
      <c r="AA185" s="31" t="s">
        <v>640</v>
      </c>
      <c r="AB185" s="31" t="s">
        <v>636</v>
      </c>
      <c r="AC185" s="31" t="s">
        <v>9</v>
      </c>
      <c r="AD185" s="31" t="s">
        <v>634</v>
      </c>
      <c r="AE185" s="31">
        <v>0</v>
      </c>
      <c r="AF185" s="31">
        <v>800</v>
      </c>
      <c r="AG185" s="31" t="s">
        <v>650</v>
      </c>
      <c r="AH185" s="31">
        <v>4</v>
      </c>
      <c r="AI185" cm="1">
        <f t="array" ref="AI185">_xlfn.IFS(AF185="NR", "NA", AG185="NR", "NA", AG185="NA","NA", AND(AG185="mg/ml", AH185&lt;&gt;"NR"), ((AF185/2492)*AH185*1000000), AND(AG185="mol/L", AH185&lt;&gt;"NR"), AF185*AH185*1000000, AG185="nmol", AF185*1000, AND(AG185="nmol/uL", AH185&lt;&gt;"NR"), AF185*AH185*1000, AG185="pg", AF185/2492, AG185="pmol", AF185, AND(AG185="pmol/uL", AH185&lt;&gt;"NR"), AF185*AH185, AG185="ug", AF185/2492*1000000, AND(AG185="ug/mL", AH185&lt;&gt;"NR"), (AF185/1000*AH185)/2492*1000000, AND(AG185="ug/uL", AH185&lt;&gt;"NR"), (AF185*AH185)/2492*1000000, AND(AG185="umol/L", AH185&lt;&gt;"NR"), AH185*AF185, TRUE, "NA")</f>
        <v>800</v>
      </c>
      <c r="AJ185" s="31">
        <v>4</v>
      </c>
      <c r="AK185" s="31">
        <v>2</v>
      </c>
      <c r="AL185" s="31" t="s">
        <v>859</v>
      </c>
      <c r="AM185" s="31" t="s">
        <v>8</v>
      </c>
      <c r="AN185" s="31" t="s">
        <v>9</v>
      </c>
      <c r="AO185" s="32" t="s">
        <v>12</v>
      </c>
      <c r="AP185" s="31" t="s">
        <v>8</v>
      </c>
      <c r="AQ185" s="31" t="s">
        <v>8</v>
      </c>
      <c r="AR185" s="31" t="s">
        <v>8</v>
      </c>
      <c r="AS185" s="32">
        <v>504</v>
      </c>
      <c r="AT185" s="31" t="s">
        <v>269</v>
      </c>
      <c r="AU185" s="31" t="s">
        <v>8</v>
      </c>
      <c r="AV185" s="31" t="s">
        <v>8</v>
      </c>
      <c r="AW185" s="31">
        <v>101</v>
      </c>
      <c r="AX185" s="31">
        <v>6</v>
      </c>
      <c r="AY185" s="31" t="s">
        <v>8</v>
      </c>
      <c r="AZ185" s="31" t="s">
        <v>8</v>
      </c>
      <c r="BA185" s="31" t="s">
        <v>656</v>
      </c>
      <c r="BB185" s="31" t="s">
        <v>123</v>
      </c>
      <c r="BC185" cm="1">
        <f t="array" ref="BC185">_xlfn.IFS(BA185="Direct rLV % whole brain", AW185, BA185="Indirect rLV % whole brain", AW185, BA185="Direct rLV % hemisphere", AW185/2, BA185="Indirect rLV % hemisphere", AW185/2, AND(F185="Mouse", BA185="mm3"), (AW185/508.91)*100, AND(F185="Rat", BA185="mm3"), (AW185/1971)*100, AND(F185="Mouse", BA185="ul"), (AW185/508.91)*100, AND(F185="Rat", BA185="ul"), (AW185/1971)*100,  AND(F185="Mouse", BA185="nl"), (AW185/508910)*100, AND(F185="Rat", BA185="nl"), (AW185/1971000)*100, AND(F185="Mouse", BA185="cm3"), (AW185/0.50891)*100, AND(F185="Rat", BA185="cm3"), (AW185/1.971)*100, AND(F185="Mouse", BA185="mL"), (AW185/0.50891)*100, AND(F185="Rat", BA185="mL"), (AW185/1.971)*100, TRUE, "NA")</f>
        <v>5.1243023845763567</v>
      </c>
      <c r="BD185" t="str" cm="1">
        <f t="array" ref="BD185">_xlfn.IFS(AZ185="NA", "NA",BA185="Direct rLV % whole brain", AY185, BA185="Indirect rLV % whole brain", AY185, BA185="Direct rLV % hemisphere", AY185/2, BA185="Indirect rLV % hemisphere", AY185/2, AND(F185="Mouse", BA185="mm3"), (AY185/508.91)*100, AND(F185="Rat", BA185="mm3"), (AY185/1971)*100, AND(F185="Mouse", BA185="ul"), (AY185/508.91)*100, AND(F185="Rat", BA185="ul"), (AY185/1971)*100,  AND(F185="Mouse", BA185="nl"), (AY185/508910)*100, AND(F185="Rat", BA185="nl"), (AY185/1971000)*100, AND(F185="Mouse", BA185="cm3"), (AY185/0.50891)*100, AND(F185="Rat", BA185="cm3"), (AY185/1.971)*100, AND(F185="Mouse", BA185="mL"), (AY185/0.50891)*100, AND(F185="Rat", BA185="mL"), (AY185/1.971)*100, TRUE, "NA")</f>
        <v>NA</v>
      </c>
      <c r="BE185" cm="1">
        <f t="array" ref="BE185">_xlfn.IFS(AX185="NA", "NA", BB185="NR", "NA", BB185="SD", AX185, BB185="SE", AX185*(SQRT(R185)), BB185="SEM", AX185*(SQRT(R185)), TRUE, "NA")</f>
        <v>26.832815729997478</v>
      </c>
      <c r="BF185" cm="1">
        <f t="array" ref="BF185">_xlfn.IFS(BE185="NA", "NA",BA185="Direct rLV % whole brain", BE185, BA185="Indirect rLV % whole brain", BE185, BA185="Direct rLV % hemisphere", BE185/2, BA185="Indirect rLV % hemisphere", BE185/2, AND(F185="Mouse", BA185="mm3"), (BE185/508.91)*100, AND(F185="Rat", BA185="mm3"), (BE185/1971)*100, AND(F185="Mouse", BA185="ul"), (BE185/508.91)*100, AND(F185="Rat", BA185="ul"), (BE185/1971)*100,  AND(F185="Mouse", BA185="nl"), (BE185/508910)*100, AND(F185="Rat", BA185="nl"), (BE185/1971000)*100, AND(F185="Mouse", BA185="cm3"), (BE185/0.50891)*100, AND(F185="Rat", BA185="cm3"), (BE185/1.971)*100, AND(F185="Mouse", BA185="mL"), (BE185/0.50891)*100, AND(F185="Rat", BA185="mL"), (BE185/1.971)*100, TRUE, "NA")</f>
        <v>1.3613808082190502</v>
      </c>
      <c r="BG185" t="str" cm="1">
        <f t="array" ref="BG185">_xlfn.IFS(AZ185="NA", "NA", BB185="NR", "NA", BB185="SD", AZ185, BB185="SE", AZ185*(SQRT(R185)), BB185="SEM", AZ185*(SQRT(R185)), TRUE, "NA")</f>
        <v>NA</v>
      </c>
      <c r="BH185" s="32" t="s">
        <v>153</v>
      </c>
      <c r="BI185" s="31" t="s">
        <v>154</v>
      </c>
      <c r="BJ185" s="31" t="s">
        <v>154</v>
      </c>
    </row>
    <row r="186" spans="1:63" x14ac:dyDescent="0.3">
      <c r="A186" t="s">
        <v>1143</v>
      </c>
      <c r="B186" t="s">
        <v>1142</v>
      </c>
      <c r="C186">
        <v>2011</v>
      </c>
      <c r="D186" t="s">
        <v>1144</v>
      </c>
      <c r="E186" t="s">
        <v>647</v>
      </c>
      <c r="F186" t="s">
        <v>23</v>
      </c>
      <c r="G186" t="s">
        <v>10</v>
      </c>
      <c r="H186" t="s">
        <v>34</v>
      </c>
      <c r="I186" t="s">
        <v>12</v>
      </c>
      <c r="J186" t="s">
        <v>8</v>
      </c>
      <c r="K186">
        <v>13</v>
      </c>
      <c r="L186">
        <f>AVERAGE(K186,M186)</f>
        <v>15</v>
      </c>
      <c r="M186">
        <v>17</v>
      </c>
      <c r="N186">
        <v>350</v>
      </c>
      <c r="O186">
        <f>AVERAGE(N186,P186)</f>
        <v>425</v>
      </c>
      <c r="P186">
        <v>500</v>
      </c>
      <c r="Q186">
        <v>1</v>
      </c>
      <c r="R186">
        <v>6</v>
      </c>
      <c r="S186" t="s">
        <v>8</v>
      </c>
      <c r="T186" t="s">
        <v>8</v>
      </c>
      <c r="U186" s="18" t="s">
        <v>68</v>
      </c>
      <c r="V186" t="s">
        <v>8</v>
      </c>
      <c r="W186" t="s">
        <v>8</v>
      </c>
      <c r="X186" t="s">
        <v>68</v>
      </c>
      <c r="Y186" t="s">
        <v>8</v>
      </c>
      <c r="Z186" t="s">
        <v>8</v>
      </c>
      <c r="AA186" t="s">
        <v>640</v>
      </c>
      <c r="AB186" t="s">
        <v>637</v>
      </c>
      <c r="AC186" t="s">
        <v>9</v>
      </c>
      <c r="AD186" t="s">
        <v>634</v>
      </c>
      <c r="AE186">
        <v>0</v>
      </c>
      <c r="AF186">
        <v>400</v>
      </c>
      <c r="AG186" t="s">
        <v>650</v>
      </c>
      <c r="AH186">
        <v>2</v>
      </c>
      <c r="AI186" cm="1">
        <f t="array" ref="AI186">_xlfn.IFS(AF186="NR", "NA", AG186="NR", "NA", AG186="NA","NA", AND(AG186="mg/ml", AH186&lt;&gt;"NR"), ((AF186/2492)*AH186*1000000), AND(AG186="mol/L", AH186&lt;&gt;"NR"), AF186*AH186*1000000, AG186="nmol", AF186*1000, AND(AG186="nmol/uL", AH186&lt;&gt;"NR"), AF186*AH186*1000, AG186="pg", AF186/2492, AG186="pmol", AF186, AND(AG186="pmol/uL", AH186&lt;&gt;"NR"), AF186*AH186, AG186="ug", AF186/2492*1000000, AND(AG186="ug/mL", AH186&lt;&gt;"NR"), (AF186/1000*AH186)/2492*1000000, AND(AG186="ug/uL", AH186&lt;&gt;"NR"), (AF186*AH186)/2492*1000000, AND(AG186="umol/L", AH186&lt;&gt;"NR"), AH186*AF186, TRUE, "NA")</f>
        <v>400</v>
      </c>
      <c r="AJ186">
        <v>4</v>
      </c>
      <c r="AK186">
        <v>1</v>
      </c>
      <c r="AL186" t="s">
        <v>701</v>
      </c>
      <c r="AM186" t="s">
        <v>8</v>
      </c>
      <c r="AN186" t="s">
        <v>9</v>
      </c>
      <c r="AO186" s="18" t="s">
        <v>12</v>
      </c>
      <c r="AP186" t="s">
        <v>8</v>
      </c>
      <c r="AQ186" t="s">
        <v>8</v>
      </c>
      <c r="AR186" t="s">
        <v>8</v>
      </c>
      <c r="AS186" s="18">
        <v>72</v>
      </c>
      <c r="AT186" t="s">
        <v>270</v>
      </c>
      <c r="AU186" t="s">
        <v>8</v>
      </c>
      <c r="AV186" t="s">
        <v>8</v>
      </c>
      <c r="AW186">
        <v>46.6</v>
      </c>
      <c r="AX186">
        <v>2</v>
      </c>
      <c r="AY186" t="s">
        <v>8</v>
      </c>
      <c r="AZ186" t="s">
        <v>8</v>
      </c>
      <c r="BA186" t="s">
        <v>656</v>
      </c>
      <c r="BB186" t="s">
        <v>123</v>
      </c>
      <c r="BC186" cm="1">
        <f t="array" ref="BC186">_xlfn.IFS(BA186="Direct rLV % whole brain", AW186, BA186="Indirect rLV % whole brain", AW186, BA186="Direct rLV % hemisphere", AW186/2, BA186="Indirect rLV % hemisphere", AW186/2, AND(F186="Mouse", BA186="mm3"), (AW186/508.91)*100, AND(F186="Rat", BA186="mm3"), (AW186/1971)*100, AND(F186="Mouse", BA186="ul"), (AW186/508.91)*100, AND(F186="Rat", BA186="ul"), (AW186/1971)*100,  AND(F186="Mouse", BA186="nl"), (AW186/508910)*100, AND(F186="Rat", BA186="nl"), (AW186/1971000)*100, AND(F186="Mouse", BA186="cm3"), (AW186/0.50891)*100, AND(F186="Rat", BA186="cm3"), (AW186/1.971)*100, AND(F186="Mouse", BA186="mL"), (AW186/0.50891)*100, AND(F186="Rat", BA186="mL"), (AW186/1.971)*100, TRUE, "NA")</f>
        <v>2.3642820903094877</v>
      </c>
      <c r="BD186" t="str" cm="1">
        <f t="array" ref="BD186">_xlfn.IFS(AZ186="NA", "NA",BA186="Direct rLV % whole brain", AY186, BA186="Indirect rLV % whole brain", AY186, BA186="Direct rLV % hemisphere", AY186/2, BA186="Indirect rLV % hemisphere", AY186/2, AND(F186="Mouse", BA186="mm3"), (AY186/508.91)*100, AND(F186="Rat", BA186="mm3"), (AY186/1971)*100, AND(F186="Mouse", BA186="ul"), (AY186/508.91)*100, AND(F186="Rat", BA186="ul"), (AY186/1971)*100,  AND(F186="Mouse", BA186="nl"), (AY186/508910)*100, AND(F186="Rat", BA186="nl"), (AY186/1971000)*100, AND(F186="Mouse", BA186="cm3"), (AY186/0.50891)*100, AND(F186="Rat", BA186="cm3"), (AY186/1.971)*100, AND(F186="Mouse", BA186="mL"), (AY186/0.50891)*100, AND(F186="Rat", BA186="mL"), (AY186/1.971)*100, TRUE, "NA")</f>
        <v>NA</v>
      </c>
      <c r="BE186" cm="1">
        <f t="array" ref="BE186">_xlfn.IFS(AX186="NA", "NA", BB186="NR", "NA", BB186="SD", AX186, BB186="SE", AX186*(SQRT(R186)), BB186="SEM", AX186*(SQRT(R186)), TRUE, "NA")</f>
        <v>4.8989794855663558</v>
      </c>
      <c r="BF186" cm="1">
        <f t="array" ref="BF186">_xlfn.IFS(BE186="NA", "NA",BA186="Direct rLV % whole brain", BE186, BA186="Indirect rLV % whole brain", BE186, BA186="Direct rLV % hemisphere", BE186/2, BA186="Indirect rLV % hemisphere", BE186/2, AND(F186="Mouse", BA186="mm3"), (BE186/508.91)*100, AND(F186="Rat", BA186="mm3"), (BE186/1971)*100, AND(F186="Mouse", BA186="ul"), (BE186/508.91)*100, AND(F186="Rat", BA186="ul"), (BE186/1971)*100,  AND(F186="Mouse", BA186="nl"), (BE186/508910)*100, AND(F186="Rat", BA186="nl"), (BE186/1971000)*100, AND(F186="Mouse", BA186="cm3"), (BE186/0.50891)*100, AND(F186="Rat", BA186="cm3"), (BE186/1.971)*100, AND(F186="Mouse", BA186="mL"), (BE186/0.50891)*100, AND(F186="Rat", BA186="mL"), (BE186/1.971)*100, TRUE, "NA")</f>
        <v>0.24855299267206271</v>
      </c>
      <c r="BG186" t="str" cm="1">
        <f t="array" ref="BG186">_xlfn.IFS(AZ186="NA", "NA", BB186="NR", "NA", BB186="SD", AZ186, BB186="SE", AZ186*(SQRT(R186)), BB186="SEM", AZ186*(SQRT(R186)), TRUE, "NA")</f>
        <v>NA</v>
      </c>
      <c r="BH186" s="18" t="s">
        <v>154</v>
      </c>
      <c r="BI186" t="s">
        <v>154</v>
      </c>
      <c r="BJ186" t="s">
        <v>154</v>
      </c>
      <c r="BK186" t="s">
        <v>1145</v>
      </c>
    </row>
    <row r="187" spans="1:63" s="31" customFormat="1" x14ac:dyDescent="0.3">
      <c r="A187" s="31" t="s">
        <v>1146</v>
      </c>
      <c r="B187" s="31" t="s">
        <v>883</v>
      </c>
      <c r="C187" s="31">
        <v>2015</v>
      </c>
      <c r="D187" s="31" t="s">
        <v>1147</v>
      </c>
      <c r="E187" s="31" t="s">
        <v>647</v>
      </c>
      <c r="F187" s="31" t="s">
        <v>23</v>
      </c>
      <c r="G187" s="31" t="s">
        <v>10</v>
      </c>
      <c r="H187" s="31" t="s">
        <v>34</v>
      </c>
      <c r="I187" s="31" t="s">
        <v>12</v>
      </c>
      <c r="J187" s="31" t="s">
        <v>8</v>
      </c>
      <c r="K187" s="31" t="s">
        <v>9</v>
      </c>
      <c r="L187" s="31" t="s">
        <v>9</v>
      </c>
      <c r="M187" s="31" t="s">
        <v>9</v>
      </c>
      <c r="N187" s="31">
        <v>250</v>
      </c>
      <c r="O187" s="31">
        <f t="shared" ref="O187:O192" si="33">AVERAGE(N187,P187)</f>
        <v>275</v>
      </c>
      <c r="P187" s="31">
        <v>300</v>
      </c>
      <c r="Q187" s="31">
        <v>1</v>
      </c>
      <c r="R187" s="31">
        <v>11</v>
      </c>
      <c r="S187" s="31" t="s">
        <v>8</v>
      </c>
      <c r="T187" s="31" t="s">
        <v>8</v>
      </c>
      <c r="U187" s="32" t="s">
        <v>68</v>
      </c>
      <c r="V187" s="31" t="s">
        <v>8</v>
      </c>
      <c r="W187" s="31" t="s">
        <v>8</v>
      </c>
      <c r="X187" s="31" t="s">
        <v>68</v>
      </c>
      <c r="Y187" s="31" t="s">
        <v>8</v>
      </c>
      <c r="Z187" s="31" t="s">
        <v>8</v>
      </c>
      <c r="AA187" s="31" t="s">
        <v>640</v>
      </c>
      <c r="AB187" s="31" t="s">
        <v>636</v>
      </c>
      <c r="AC187" s="31" t="s">
        <v>154</v>
      </c>
      <c r="AD187" s="31" t="s">
        <v>634</v>
      </c>
      <c r="AE187" s="31">
        <v>0</v>
      </c>
      <c r="AF187" s="31">
        <v>400</v>
      </c>
      <c r="AG187" s="31" t="s">
        <v>745</v>
      </c>
      <c r="AH187" s="31">
        <f>0.8*2</f>
        <v>1.6</v>
      </c>
      <c r="AI187" cm="1">
        <f t="array" ref="AI187">_xlfn.IFS(AF187="NR", "NA", AG187="NR", "NA", AG187="NA","NA", AND(AG187="mg/ml", AH187&lt;&gt;"NR"), ((AF187/2492)*AH187*1000000), AND(AG187="mol/L", AH187&lt;&gt;"NR"), AF187*AH187*1000000, AG187="nmol", AF187*1000, AND(AG187="nmol/uL", AH187&lt;&gt;"NR"), AF187*AH187*1000, AG187="pg", AF187/2492, AG187="pmol", AF187, AND(AG187="pmol/uL", AH187&lt;&gt;"NR"), AF187*AH187, AG187="ug", AF187/2492*1000000, AND(AG187="ug/mL", AH187&lt;&gt;"NR"), (AF187/1000*AH187)/2492*1000000, AND(AG187="ug/uL", AH187&lt;&gt;"NR"), (AF187*AH187)/2492*1000000, AND(AG187="umol/L", AH187&lt;&gt;"NR"), AH187*AF187, TRUE, "NA")</f>
        <v>640</v>
      </c>
      <c r="AJ187" s="31">
        <f>1.6/0.4</f>
        <v>4</v>
      </c>
      <c r="AK187" s="31">
        <v>2</v>
      </c>
      <c r="AL187" s="31" t="s">
        <v>859</v>
      </c>
      <c r="AM187" s="31" t="s">
        <v>8</v>
      </c>
      <c r="AN187" s="31" t="s">
        <v>9</v>
      </c>
      <c r="AO187" s="32" t="s">
        <v>12</v>
      </c>
      <c r="AP187" s="31" t="s">
        <v>8</v>
      </c>
      <c r="AQ187" s="31" t="s">
        <v>8</v>
      </c>
      <c r="AR187" s="31" t="s">
        <v>8</v>
      </c>
      <c r="AS187" s="32">
        <v>3192</v>
      </c>
      <c r="AT187" s="31" t="s">
        <v>271</v>
      </c>
      <c r="AU187" s="31" t="s">
        <v>652</v>
      </c>
      <c r="AV187" s="31" t="s">
        <v>8</v>
      </c>
      <c r="AW187" s="31">
        <v>8.52</v>
      </c>
      <c r="AX187" s="31">
        <v>1.39</v>
      </c>
      <c r="AY187" s="31" t="s">
        <v>8</v>
      </c>
      <c r="AZ187" s="31" t="s">
        <v>8</v>
      </c>
      <c r="BA187" s="31" t="s">
        <v>656</v>
      </c>
      <c r="BB187" s="31" t="s">
        <v>123</v>
      </c>
      <c r="BC187" cm="1">
        <f t="array" ref="BC187">_xlfn.IFS(BA187="Direct rLV % whole brain", AW187, BA187="Indirect rLV % whole brain", AW187, BA187="Direct rLV % hemisphere", AW187/2, BA187="Indirect rLV % hemisphere", AW187/2, AND(F187="Mouse", BA187="mm3"), (AW187/508.91)*100, AND(F187="Rat", BA187="mm3"), (AW187/1971)*100, AND(F187="Mouse", BA187="ul"), (AW187/508.91)*100, AND(F187="Rat", BA187="ul"), (AW187/1971)*100,  AND(F187="Mouse", BA187="nl"), (AW187/508910)*100, AND(F187="Rat", BA187="nl"), (AW187/1971000)*100, AND(F187="Mouse", BA187="cm3"), (AW187/0.50891)*100, AND(F187="Rat", BA187="cm3"), (AW187/1.971)*100, AND(F187="Mouse", BA187="mL"), (AW187/0.50891)*100, AND(F187="Rat", BA187="mL"), (AW187/1.971)*100, TRUE, "NA")</f>
        <v>0.43226788432267876</v>
      </c>
      <c r="BD187" t="str" cm="1">
        <f t="array" ref="BD187">_xlfn.IFS(AZ187="NA", "NA",BA187="Direct rLV % whole brain", AY187, BA187="Indirect rLV % whole brain", AY187, BA187="Direct rLV % hemisphere", AY187/2, BA187="Indirect rLV % hemisphere", AY187/2, AND(F187="Mouse", BA187="mm3"), (AY187/508.91)*100, AND(F187="Rat", BA187="mm3"), (AY187/1971)*100, AND(F187="Mouse", BA187="ul"), (AY187/508.91)*100, AND(F187="Rat", BA187="ul"), (AY187/1971)*100,  AND(F187="Mouse", BA187="nl"), (AY187/508910)*100, AND(F187="Rat", BA187="nl"), (AY187/1971000)*100, AND(F187="Mouse", BA187="cm3"), (AY187/0.50891)*100, AND(F187="Rat", BA187="cm3"), (AY187/1.971)*100, AND(F187="Mouse", BA187="mL"), (AY187/0.50891)*100, AND(F187="Rat", BA187="mL"), (AY187/1.971)*100, TRUE, "NA")</f>
        <v>NA</v>
      </c>
      <c r="BE187" cm="1">
        <f t="array" ref="BE187">_xlfn.IFS(AX187="NA", "NA", BB187="NR", "NA", BB187="SD", AX187, BB187="SE", AX187*(SQRT(R187)), BB187="SEM", AX187*(SQRT(R187)), TRUE, "NA")</f>
        <v>4.6101084585940058</v>
      </c>
      <c r="BF187" cm="1">
        <f t="array" ref="BF187">_xlfn.IFS(BE187="NA", "NA",BA187="Direct rLV % whole brain", BE187, BA187="Indirect rLV % whole brain", BE187, BA187="Direct rLV % hemisphere", BE187/2, BA187="Indirect rLV % hemisphere", BE187/2, AND(F187="Mouse", BA187="mm3"), (BE187/508.91)*100, AND(F187="Rat", BA187="mm3"), (BE187/1971)*100, AND(F187="Mouse", BA187="ul"), (BE187/508.91)*100, AND(F187="Rat", BA187="ul"), (BE187/1971)*100,  AND(F187="Mouse", BA187="nl"), (BE187/508910)*100, AND(F187="Rat", BA187="nl"), (BE187/1971000)*100, AND(F187="Mouse", BA187="cm3"), (BE187/0.50891)*100, AND(F187="Rat", BA187="cm3"), (BE187/1.971)*100, AND(F187="Mouse", BA187="mL"), (BE187/0.50891)*100, AND(F187="Rat", BA187="mL"), (BE187/1.971)*100, TRUE, "NA")</f>
        <v>0.23389692839137521</v>
      </c>
      <c r="BG187" t="str" cm="1">
        <f t="array" ref="BG187">_xlfn.IFS(AZ187="NA", "NA", BB187="NR", "NA", BB187="SD", AZ187, BB187="SE", AZ187*(SQRT(R187)), BB187="SEM", AZ187*(SQRT(R187)), TRUE, "NA")</f>
        <v>NA</v>
      </c>
      <c r="BH187" s="32" t="s">
        <v>154</v>
      </c>
      <c r="BI187" s="31" t="s">
        <v>154</v>
      </c>
      <c r="BJ187" s="31" t="s">
        <v>154</v>
      </c>
    </row>
    <row r="188" spans="1:63" x14ac:dyDescent="0.3">
      <c r="A188" t="s">
        <v>1149</v>
      </c>
      <c r="B188" t="s">
        <v>1148</v>
      </c>
      <c r="C188">
        <v>1993</v>
      </c>
      <c r="D188" t="s">
        <v>1150</v>
      </c>
      <c r="E188" t="s">
        <v>647</v>
      </c>
      <c r="F188" t="s">
        <v>23</v>
      </c>
      <c r="G188" t="s">
        <v>10</v>
      </c>
      <c r="H188" t="s">
        <v>34</v>
      </c>
      <c r="I188" t="s">
        <v>12</v>
      </c>
      <c r="J188" t="s">
        <v>8</v>
      </c>
      <c r="K188" t="s">
        <v>9</v>
      </c>
      <c r="L188" t="s">
        <v>9</v>
      </c>
      <c r="M188" t="s">
        <v>9</v>
      </c>
      <c r="N188">
        <v>350</v>
      </c>
      <c r="O188">
        <f t="shared" si="33"/>
        <v>400</v>
      </c>
      <c r="P188">
        <v>450</v>
      </c>
      <c r="Q188">
        <v>4</v>
      </c>
      <c r="R188">
        <v>7</v>
      </c>
      <c r="S188" t="s">
        <v>8</v>
      </c>
      <c r="T188" t="s">
        <v>8</v>
      </c>
      <c r="U188" s="18" t="s">
        <v>66</v>
      </c>
      <c r="V188" t="s">
        <v>96</v>
      </c>
      <c r="W188" t="s">
        <v>8</v>
      </c>
      <c r="X188" t="s">
        <v>66</v>
      </c>
      <c r="Y188" t="s">
        <v>96</v>
      </c>
      <c r="Z188" t="s">
        <v>8</v>
      </c>
      <c r="AA188" t="s">
        <v>639</v>
      </c>
      <c r="AB188" t="s">
        <v>636</v>
      </c>
      <c r="AC188" t="s">
        <v>153</v>
      </c>
      <c r="AD188" t="s">
        <v>634</v>
      </c>
      <c r="AE188">
        <v>0</v>
      </c>
      <c r="AF188">
        <v>2.5000000000000001E-3</v>
      </c>
      <c r="AG188" t="s">
        <v>115</v>
      </c>
      <c r="AH188">
        <v>25</v>
      </c>
      <c r="AI188" cm="1">
        <f t="array" ref="AI188">_xlfn.IFS(AF188="NR", "NA", AG188="NR", "NA", AG188="NA","NA", AND(AG188="mg/ml", AH188&lt;&gt;"NR"), ((AF188/2492)*AH188*1000000), AND(AG188="mol/L", AH188&lt;&gt;"NR"), AF188*AH188*1000000, AG188="nmol", AF188*1000, AND(AG188="nmol/uL", AH188&lt;&gt;"NR"), AF188*AH188*1000, AG188="pg", AF188/2492, AG188="pmol", AF188, AND(AG188="pmol/uL", AH188&lt;&gt;"NR"), AF188*AH188, AG188="ug", AF188/2492*1000000, AND(AG188="ug/mL", AH188&lt;&gt;"NR"), (AF188/1000*AH188)/2492*1000000, AND(AG188="ug/uL", AH188&lt;&gt;"NR"), (AF188*AH188)/2492*1000000, AND(AG188="umol/L", AH188&lt;&gt;"NR"), AH188*AF188, TRUE, "NA")</f>
        <v>2.5</v>
      </c>
      <c r="AJ188" t="s">
        <v>9</v>
      </c>
      <c r="AK188">
        <v>1</v>
      </c>
      <c r="AL188" t="s">
        <v>9</v>
      </c>
      <c r="AM188" t="s">
        <v>8</v>
      </c>
      <c r="AN188" t="s">
        <v>9</v>
      </c>
      <c r="AO188" s="18" t="s">
        <v>12</v>
      </c>
      <c r="AP188" t="s">
        <v>8</v>
      </c>
      <c r="AQ188" t="s">
        <v>8</v>
      </c>
      <c r="AR188" t="s">
        <v>8</v>
      </c>
      <c r="AS188" s="18">
        <v>4</v>
      </c>
      <c r="AT188" t="s">
        <v>271</v>
      </c>
      <c r="AU188" t="s">
        <v>653</v>
      </c>
      <c r="AV188" t="s">
        <v>8</v>
      </c>
      <c r="AW188">
        <v>5.6</v>
      </c>
      <c r="AX188">
        <v>7.3</v>
      </c>
      <c r="AY188" t="s">
        <v>8</v>
      </c>
      <c r="AZ188" t="s">
        <v>8</v>
      </c>
      <c r="BA188" t="s">
        <v>656</v>
      </c>
      <c r="BB188" t="s">
        <v>122</v>
      </c>
      <c r="BC188" cm="1">
        <f t="array" ref="BC188">_xlfn.IFS(BA188="Direct rLV % whole brain", AW188, BA188="Indirect rLV % whole brain", AW188, BA188="Direct rLV % hemisphere", AW188/2, BA188="Indirect rLV % hemisphere", AW188/2, AND(F188="Mouse", BA188="mm3"), (AW188/508.91)*100, AND(F188="Rat", BA188="mm3"), (AW188/1971)*100, AND(F188="Mouse", BA188="ul"), (AW188/508.91)*100, AND(F188="Rat", BA188="ul"), (AW188/1971)*100,  AND(F188="Mouse", BA188="nl"), (AW188/508910)*100, AND(F188="Rat", BA188="nl"), (AW188/1971000)*100, AND(F188="Mouse", BA188="cm3"), (AW188/0.50891)*100, AND(F188="Rat", BA188="cm3"), (AW188/1.971)*100, AND(F188="Mouse", BA188="mL"), (AW188/0.50891)*100, AND(F188="Rat", BA188="mL"), (AW188/1.971)*100, TRUE, "NA")</f>
        <v>0.28411973617453068</v>
      </c>
      <c r="BD188" t="str" cm="1">
        <f t="array" ref="BD188">_xlfn.IFS(AZ188="NA", "NA",BA188="Direct rLV % whole brain", AY188, BA188="Indirect rLV % whole brain", AY188, BA188="Direct rLV % hemisphere", AY188/2, BA188="Indirect rLV % hemisphere", AY188/2, AND(F188="Mouse", BA188="mm3"), (AY188/508.91)*100, AND(F188="Rat", BA188="mm3"), (AY188/1971)*100, AND(F188="Mouse", BA188="ul"), (AY188/508.91)*100, AND(F188="Rat", BA188="ul"), (AY188/1971)*100,  AND(F188="Mouse", BA188="nl"), (AY188/508910)*100, AND(F188="Rat", BA188="nl"), (AY188/1971000)*100, AND(F188="Mouse", BA188="cm3"), (AY188/0.50891)*100, AND(F188="Rat", BA188="cm3"), (AY188/1.971)*100, AND(F188="Mouse", BA188="mL"), (AY188/0.50891)*100, AND(F188="Rat", BA188="mL"), (AY188/1.971)*100, TRUE, "NA")</f>
        <v>NA</v>
      </c>
      <c r="BE188" cm="1">
        <f t="array" ref="BE188">_xlfn.IFS(AX188="NA", "NA", BB188="NR", "NA", BB188="SD", AX188, BB188="SE", AX188*(SQRT(R188)), BB188="SEM", AX188*(SQRT(R188)), TRUE, "NA")</f>
        <v>7.3</v>
      </c>
      <c r="BF188" cm="1">
        <f t="array" ref="BF188">_xlfn.IFS(BE188="NA", "NA",BA188="Direct rLV % whole brain", BE188, BA188="Indirect rLV % whole brain", BE188, BA188="Direct rLV % hemisphere", BE188/2, BA188="Indirect rLV % hemisphere", BE188/2, AND(F188="Mouse", BA188="mm3"), (BE188/508.91)*100, AND(F188="Rat", BA188="mm3"), (BE188/1971)*100, AND(F188="Mouse", BA188="ul"), (BE188/508.91)*100, AND(F188="Rat", BA188="ul"), (BE188/1971)*100,  AND(F188="Mouse", BA188="nl"), (BE188/508910)*100, AND(F188="Rat", BA188="nl"), (BE188/1971000)*100, AND(F188="Mouse", BA188="cm3"), (BE188/0.50891)*100, AND(F188="Rat", BA188="cm3"), (BE188/1.971)*100, AND(F188="Mouse", BA188="mL"), (BE188/0.50891)*100, AND(F188="Rat", BA188="mL"), (BE188/1.971)*100, TRUE, "NA")</f>
        <v>0.37037037037037035</v>
      </c>
      <c r="BG188" t="str" cm="1">
        <f t="array" ref="BG188">_xlfn.IFS(AZ188="NA", "NA", BB188="NR", "NA", BB188="SD", AZ188, BB188="SE", AZ188*(SQRT(R188)), BB188="SEM", AZ188*(SQRT(R188)), TRUE, "NA")</f>
        <v>NA</v>
      </c>
      <c r="BH188" s="18" t="s">
        <v>154</v>
      </c>
      <c r="BI188" t="s">
        <v>153</v>
      </c>
      <c r="BJ188" t="s">
        <v>154</v>
      </c>
    </row>
    <row r="189" spans="1:63" x14ac:dyDescent="0.3">
      <c r="A189" t="s">
        <v>1149</v>
      </c>
      <c r="B189" t="s">
        <v>1148</v>
      </c>
      <c r="C189">
        <v>1993</v>
      </c>
      <c r="D189" t="s">
        <v>1150</v>
      </c>
      <c r="E189" t="s">
        <v>678</v>
      </c>
      <c r="F189" t="s">
        <v>23</v>
      </c>
      <c r="G189" t="s">
        <v>10</v>
      </c>
      <c r="H189" t="s">
        <v>34</v>
      </c>
      <c r="I189" t="s">
        <v>12</v>
      </c>
      <c r="J189" t="s">
        <v>8</v>
      </c>
      <c r="K189" t="s">
        <v>9</v>
      </c>
      <c r="L189" t="s">
        <v>9</v>
      </c>
      <c r="M189" t="s">
        <v>9</v>
      </c>
      <c r="N189">
        <v>350</v>
      </c>
      <c r="O189">
        <f t="shared" si="33"/>
        <v>400</v>
      </c>
      <c r="P189">
        <v>450</v>
      </c>
      <c r="Q189">
        <v>4</v>
      </c>
      <c r="R189">
        <v>5</v>
      </c>
      <c r="S189" t="s">
        <v>8</v>
      </c>
      <c r="T189" t="s">
        <v>8</v>
      </c>
      <c r="U189" s="18" t="s">
        <v>66</v>
      </c>
      <c r="V189" t="s">
        <v>96</v>
      </c>
      <c r="W189" t="s">
        <v>8</v>
      </c>
      <c r="X189" t="s">
        <v>66</v>
      </c>
      <c r="Y189" t="s">
        <v>96</v>
      </c>
      <c r="Z189" t="s">
        <v>8</v>
      </c>
      <c r="AA189" t="s">
        <v>639</v>
      </c>
      <c r="AB189" t="s">
        <v>636</v>
      </c>
      <c r="AC189" t="s">
        <v>153</v>
      </c>
      <c r="AD189" t="s">
        <v>634</v>
      </c>
      <c r="AE189">
        <v>0</v>
      </c>
      <c r="AF189">
        <v>2.5000000000000001E-2</v>
      </c>
      <c r="AG189" t="s">
        <v>115</v>
      </c>
      <c r="AH189">
        <v>25</v>
      </c>
      <c r="AI189" cm="1">
        <f t="array" ref="AI189">_xlfn.IFS(AF189="NR", "NA", AG189="NR", "NA", AG189="NA","NA", AND(AG189="mg/ml", AH189&lt;&gt;"NR"), ((AF189/2492)*AH189*1000000), AND(AG189="mol/L", AH189&lt;&gt;"NR"), AF189*AH189*1000000, AG189="nmol", AF189*1000, AND(AG189="nmol/uL", AH189&lt;&gt;"NR"), AF189*AH189*1000, AG189="pg", AF189/2492, AG189="pmol", AF189, AND(AG189="pmol/uL", AH189&lt;&gt;"NR"), AF189*AH189, AG189="ug", AF189/2492*1000000, AND(AG189="ug/mL", AH189&lt;&gt;"NR"), (AF189/1000*AH189)/2492*1000000, AND(AG189="ug/uL", AH189&lt;&gt;"NR"), (AF189*AH189)/2492*1000000, AND(AG189="umol/L", AH189&lt;&gt;"NR"), AH189*AF189, TRUE, "NA")</f>
        <v>25</v>
      </c>
      <c r="AJ189" t="s">
        <v>9</v>
      </c>
      <c r="AK189">
        <v>1</v>
      </c>
      <c r="AL189" t="s">
        <v>9</v>
      </c>
      <c r="AM189" t="s">
        <v>8</v>
      </c>
      <c r="AN189" t="s">
        <v>9</v>
      </c>
      <c r="AO189" s="18" t="s">
        <v>12</v>
      </c>
      <c r="AP189" t="s">
        <v>8</v>
      </c>
      <c r="AQ189" t="s">
        <v>8</v>
      </c>
      <c r="AR189" t="s">
        <v>8</v>
      </c>
      <c r="AS189" s="18">
        <v>4</v>
      </c>
      <c r="AT189" t="s">
        <v>271</v>
      </c>
      <c r="AU189" t="s">
        <v>653</v>
      </c>
      <c r="AV189" t="s">
        <v>8</v>
      </c>
      <c r="AW189">
        <v>36.799999999999997</v>
      </c>
      <c r="AX189">
        <v>44.9</v>
      </c>
      <c r="AY189" t="s">
        <v>8</v>
      </c>
      <c r="AZ189" t="s">
        <v>8</v>
      </c>
      <c r="BA189" t="s">
        <v>656</v>
      </c>
      <c r="BB189" t="s">
        <v>122</v>
      </c>
      <c r="BC189" cm="1">
        <f t="array" ref="BC189">_xlfn.IFS(BA189="Direct rLV % whole brain", AW189, BA189="Indirect rLV % whole brain", AW189, BA189="Direct rLV % hemisphere", AW189/2, BA189="Indirect rLV % hemisphere", AW189/2, AND(F189="Mouse", BA189="mm3"), (AW189/508.91)*100, AND(F189="Rat", BA189="mm3"), (AW189/1971)*100, AND(F189="Mouse", BA189="ul"), (AW189/508.91)*100, AND(F189="Rat", BA189="ul"), (AW189/1971)*100,  AND(F189="Mouse", BA189="nl"), (AW189/508910)*100, AND(F189="Rat", BA189="nl"), (AW189/1971000)*100, AND(F189="Mouse", BA189="cm3"), (AW189/0.50891)*100, AND(F189="Rat", BA189="cm3"), (AW189/1.971)*100, AND(F189="Mouse", BA189="mL"), (AW189/0.50891)*100, AND(F189="Rat", BA189="mL"), (AW189/1.971)*100, TRUE, "NA")</f>
        <v>1.8670725520040585</v>
      </c>
      <c r="BD189" t="str" cm="1">
        <f t="array" ref="BD189">_xlfn.IFS(AZ189="NA", "NA",BA189="Direct rLV % whole brain", AY189, BA189="Indirect rLV % whole brain", AY189, BA189="Direct rLV % hemisphere", AY189/2, BA189="Indirect rLV % hemisphere", AY189/2, AND(F189="Mouse", BA189="mm3"), (AY189/508.91)*100, AND(F189="Rat", BA189="mm3"), (AY189/1971)*100, AND(F189="Mouse", BA189="ul"), (AY189/508.91)*100, AND(F189="Rat", BA189="ul"), (AY189/1971)*100,  AND(F189="Mouse", BA189="nl"), (AY189/508910)*100, AND(F189="Rat", BA189="nl"), (AY189/1971000)*100, AND(F189="Mouse", BA189="cm3"), (AY189/0.50891)*100, AND(F189="Rat", BA189="cm3"), (AY189/1.971)*100, AND(F189="Mouse", BA189="mL"), (AY189/0.50891)*100, AND(F189="Rat", BA189="mL"), (AY189/1.971)*100, TRUE, "NA")</f>
        <v>NA</v>
      </c>
      <c r="BE189" cm="1">
        <f t="array" ref="BE189">_xlfn.IFS(AX189="NA", "NA", BB189="NR", "NA", BB189="SD", AX189, BB189="SE", AX189*(SQRT(R189)), BB189="SEM", AX189*(SQRT(R189)), TRUE, "NA")</f>
        <v>44.9</v>
      </c>
      <c r="BF189" cm="1">
        <f t="array" ref="BF189">_xlfn.IFS(BE189="NA", "NA",BA189="Direct rLV % whole brain", BE189, BA189="Indirect rLV % whole brain", BE189, BA189="Direct rLV % hemisphere", BE189/2, BA189="Indirect rLV % hemisphere", BE189/2, AND(F189="Mouse", BA189="mm3"), (BE189/508.91)*100, AND(F189="Rat", BA189="mm3"), (BE189/1971)*100, AND(F189="Mouse", BA189="ul"), (BE189/508.91)*100, AND(F189="Rat", BA189="ul"), (BE189/1971)*100,  AND(F189="Mouse", BA189="nl"), (BE189/508910)*100, AND(F189="Rat", BA189="nl"), (BE189/1971000)*100, AND(F189="Mouse", BA189="cm3"), (BE189/0.50891)*100, AND(F189="Rat", BA189="cm3"), (BE189/1.971)*100, AND(F189="Mouse", BA189="mL"), (BE189/0.50891)*100, AND(F189="Rat", BA189="mL"), (BE189/1.971)*100, TRUE, "NA")</f>
        <v>2.2780314561136477</v>
      </c>
      <c r="BG189" t="str" cm="1">
        <f t="array" ref="BG189">_xlfn.IFS(AZ189="NA", "NA", BB189="NR", "NA", BB189="SD", AZ189, BB189="SE", AZ189*(SQRT(R189)), BB189="SEM", AZ189*(SQRT(R189)), TRUE, "NA")</f>
        <v>NA</v>
      </c>
      <c r="BH189" s="18" t="s">
        <v>154</v>
      </c>
      <c r="BI189" t="s">
        <v>153</v>
      </c>
      <c r="BJ189" t="s">
        <v>154</v>
      </c>
    </row>
    <row r="190" spans="1:63" x14ac:dyDescent="0.3">
      <c r="A190" t="s">
        <v>1149</v>
      </c>
      <c r="B190" t="s">
        <v>1148</v>
      </c>
      <c r="C190">
        <v>1993</v>
      </c>
      <c r="D190" t="s">
        <v>1150</v>
      </c>
      <c r="E190" t="s">
        <v>699</v>
      </c>
      <c r="F190" t="s">
        <v>23</v>
      </c>
      <c r="G190" t="s">
        <v>10</v>
      </c>
      <c r="H190" t="s">
        <v>34</v>
      </c>
      <c r="I190" t="s">
        <v>12</v>
      </c>
      <c r="J190" t="s">
        <v>8</v>
      </c>
      <c r="K190" t="s">
        <v>9</v>
      </c>
      <c r="L190" t="s">
        <v>9</v>
      </c>
      <c r="M190" t="s">
        <v>9</v>
      </c>
      <c r="N190">
        <v>350</v>
      </c>
      <c r="O190">
        <f t="shared" si="33"/>
        <v>400</v>
      </c>
      <c r="P190">
        <v>450</v>
      </c>
      <c r="Q190">
        <v>4</v>
      </c>
      <c r="R190">
        <v>6</v>
      </c>
      <c r="S190" t="s">
        <v>8</v>
      </c>
      <c r="T190" t="s">
        <v>8</v>
      </c>
      <c r="U190" s="18" t="s">
        <v>66</v>
      </c>
      <c r="V190" t="s">
        <v>96</v>
      </c>
      <c r="W190" t="s">
        <v>8</v>
      </c>
      <c r="X190" t="s">
        <v>66</v>
      </c>
      <c r="Y190" t="s">
        <v>96</v>
      </c>
      <c r="Z190" t="s">
        <v>8</v>
      </c>
      <c r="AA190" t="s">
        <v>639</v>
      </c>
      <c r="AB190" t="s">
        <v>636</v>
      </c>
      <c r="AC190" t="s">
        <v>153</v>
      </c>
      <c r="AD190" t="s">
        <v>634</v>
      </c>
      <c r="AE190">
        <v>0</v>
      </c>
      <c r="AF190">
        <v>0.25</v>
      </c>
      <c r="AG190" t="s">
        <v>115</v>
      </c>
      <c r="AH190">
        <v>25</v>
      </c>
      <c r="AI190" cm="1">
        <f t="array" ref="AI190">_xlfn.IFS(AF190="NR", "NA", AG190="NR", "NA", AG190="NA","NA", AND(AG190="mg/ml", AH190&lt;&gt;"NR"), ((AF190/2492)*AH190*1000000), AND(AG190="mol/L", AH190&lt;&gt;"NR"), AF190*AH190*1000000, AG190="nmol", AF190*1000, AND(AG190="nmol/uL", AH190&lt;&gt;"NR"), AF190*AH190*1000, AG190="pg", AF190/2492, AG190="pmol", AF190, AND(AG190="pmol/uL", AH190&lt;&gt;"NR"), AF190*AH190, AG190="ug", AF190/2492*1000000, AND(AG190="ug/mL", AH190&lt;&gt;"NR"), (AF190/1000*AH190)/2492*1000000, AND(AG190="ug/uL", AH190&lt;&gt;"NR"), (AF190*AH190)/2492*1000000, AND(AG190="umol/L", AH190&lt;&gt;"NR"), AH190*AF190, TRUE, "NA")</f>
        <v>250</v>
      </c>
      <c r="AJ190" t="s">
        <v>9</v>
      </c>
      <c r="AK190">
        <v>1</v>
      </c>
      <c r="AL190" t="s">
        <v>9</v>
      </c>
      <c r="AM190" t="s">
        <v>8</v>
      </c>
      <c r="AN190" t="s">
        <v>9</v>
      </c>
      <c r="AO190" s="18" t="s">
        <v>12</v>
      </c>
      <c r="AP190" t="s">
        <v>8</v>
      </c>
      <c r="AQ190" t="s">
        <v>8</v>
      </c>
      <c r="AR190" t="s">
        <v>8</v>
      </c>
      <c r="AS190" s="18">
        <v>4</v>
      </c>
      <c r="AT190" t="s">
        <v>271</v>
      </c>
      <c r="AU190" t="s">
        <v>653</v>
      </c>
      <c r="AV190" t="s">
        <v>8</v>
      </c>
      <c r="AW190">
        <v>65.3</v>
      </c>
      <c r="AX190">
        <v>33.9</v>
      </c>
      <c r="AY190" t="s">
        <v>8</v>
      </c>
      <c r="AZ190" t="s">
        <v>8</v>
      </c>
      <c r="BA190" t="s">
        <v>656</v>
      </c>
      <c r="BB190" t="s">
        <v>122</v>
      </c>
      <c r="BC190" cm="1">
        <f t="array" ref="BC190">_xlfn.IFS(BA190="Direct rLV % whole brain", AW190, BA190="Indirect rLV % whole brain", AW190, BA190="Direct rLV % hemisphere", AW190/2, BA190="Indirect rLV % hemisphere", AW190/2, AND(F190="Mouse", BA190="mm3"), (AW190/508.91)*100, AND(F190="Rat", BA190="mm3"), (AW190/1971)*100, AND(F190="Mouse", BA190="ul"), (AW190/508.91)*100, AND(F190="Rat", BA190="ul"), (AW190/1971)*100,  AND(F190="Mouse", BA190="nl"), (AW190/508910)*100, AND(F190="Rat", BA190="nl"), (AW190/1971000)*100, AND(F190="Mouse", BA190="cm3"), (AW190/0.50891)*100, AND(F190="Rat", BA190="cm3"), (AW190/1.971)*100, AND(F190="Mouse", BA190="mL"), (AW190/0.50891)*100, AND(F190="Rat", BA190="mL"), (AW190/1.971)*100, TRUE, "NA")</f>
        <v>3.3130390664637237</v>
      </c>
      <c r="BD190" t="str" cm="1">
        <f t="array" ref="BD190">_xlfn.IFS(AZ190="NA", "NA",BA190="Direct rLV % whole brain", AY190, BA190="Indirect rLV % whole brain", AY190, BA190="Direct rLV % hemisphere", AY190/2, BA190="Indirect rLV % hemisphere", AY190/2, AND(F190="Mouse", BA190="mm3"), (AY190/508.91)*100, AND(F190="Rat", BA190="mm3"), (AY190/1971)*100, AND(F190="Mouse", BA190="ul"), (AY190/508.91)*100, AND(F190="Rat", BA190="ul"), (AY190/1971)*100,  AND(F190="Mouse", BA190="nl"), (AY190/508910)*100, AND(F190="Rat", BA190="nl"), (AY190/1971000)*100, AND(F190="Mouse", BA190="cm3"), (AY190/0.50891)*100, AND(F190="Rat", BA190="cm3"), (AY190/1.971)*100, AND(F190="Mouse", BA190="mL"), (AY190/0.50891)*100, AND(F190="Rat", BA190="mL"), (AY190/1.971)*100, TRUE, "NA")</f>
        <v>NA</v>
      </c>
      <c r="BE190" cm="1">
        <f t="array" ref="BE190">_xlfn.IFS(AX190="NA", "NA", BB190="NR", "NA", BB190="SD", AX190, BB190="SE", AX190*(SQRT(R190)), BB190="SEM", AX190*(SQRT(R190)), TRUE, "NA")</f>
        <v>33.9</v>
      </c>
      <c r="BF190" cm="1">
        <f t="array" ref="BF190">_xlfn.IFS(BE190="NA", "NA",BA190="Direct rLV % whole brain", BE190, BA190="Indirect rLV % whole brain", BE190, BA190="Direct rLV % hemisphere", BE190/2, BA190="Indirect rLV % hemisphere", BE190/2, AND(F190="Mouse", BA190="mm3"), (BE190/508.91)*100, AND(F190="Rat", BA190="mm3"), (BE190/1971)*100, AND(F190="Mouse", BA190="ul"), (BE190/508.91)*100, AND(F190="Rat", BA190="ul"), (BE190/1971)*100,  AND(F190="Mouse", BA190="nl"), (BE190/508910)*100, AND(F190="Rat", BA190="nl"), (BE190/1971000)*100, AND(F190="Mouse", BA190="cm3"), (BE190/0.50891)*100, AND(F190="Rat", BA190="cm3"), (BE190/1.971)*100, AND(F190="Mouse", BA190="mL"), (BE190/0.50891)*100, AND(F190="Rat", BA190="mL"), (BE190/1.971)*100, TRUE, "NA")</f>
        <v>1.719939117199391</v>
      </c>
      <c r="BG190" t="str" cm="1">
        <f t="array" ref="BG190">_xlfn.IFS(AZ190="NA", "NA", BB190="NR", "NA", BB190="SD", AZ190, BB190="SE", AZ190*(SQRT(R190)), BB190="SEM", AZ190*(SQRT(R190)), TRUE, "NA")</f>
        <v>NA</v>
      </c>
      <c r="BH190" s="18" t="s">
        <v>154</v>
      </c>
      <c r="BI190" t="s">
        <v>153</v>
      </c>
      <c r="BJ190" t="s">
        <v>154</v>
      </c>
    </row>
    <row r="191" spans="1:63" x14ac:dyDescent="0.3">
      <c r="A191" t="s">
        <v>1149</v>
      </c>
      <c r="B191" t="s">
        <v>1148</v>
      </c>
      <c r="C191">
        <v>1993</v>
      </c>
      <c r="D191" t="s">
        <v>1150</v>
      </c>
      <c r="E191" t="s">
        <v>760</v>
      </c>
      <c r="F191" t="s">
        <v>23</v>
      </c>
      <c r="G191" t="s">
        <v>10</v>
      </c>
      <c r="H191" t="s">
        <v>34</v>
      </c>
      <c r="I191" t="s">
        <v>12</v>
      </c>
      <c r="J191" t="s">
        <v>8</v>
      </c>
      <c r="K191" t="s">
        <v>9</v>
      </c>
      <c r="L191" t="s">
        <v>9</v>
      </c>
      <c r="M191" t="s">
        <v>9</v>
      </c>
      <c r="N191">
        <v>350</v>
      </c>
      <c r="O191">
        <f t="shared" si="33"/>
        <v>400</v>
      </c>
      <c r="P191">
        <v>450</v>
      </c>
      <c r="Q191">
        <v>4</v>
      </c>
      <c r="R191">
        <v>6</v>
      </c>
      <c r="S191" t="s">
        <v>8</v>
      </c>
      <c r="T191" t="s">
        <v>8</v>
      </c>
      <c r="U191" s="18" t="s">
        <v>66</v>
      </c>
      <c r="V191" t="s">
        <v>96</v>
      </c>
      <c r="W191" t="s">
        <v>8</v>
      </c>
      <c r="X191" t="s">
        <v>66</v>
      </c>
      <c r="Y191" t="s">
        <v>96</v>
      </c>
      <c r="Z191" t="s">
        <v>8</v>
      </c>
      <c r="AA191" t="s">
        <v>639</v>
      </c>
      <c r="AB191" t="s">
        <v>636</v>
      </c>
      <c r="AC191" t="s">
        <v>153</v>
      </c>
      <c r="AD191" t="s">
        <v>634</v>
      </c>
      <c r="AE191">
        <v>0</v>
      </c>
      <c r="AF191">
        <v>2.5</v>
      </c>
      <c r="AG191" t="s">
        <v>115</v>
      </c>
      <c r="AH191">
        <v>25</v>
      </c>
      <c r="AI191" cm="1">
        <f t="array" ref="AI191">_xlfn.IFS(AF191="NR", "NA", AG191="NR", "NA", AG191="NA","NA", AND(AG191="mg/ml", AH191&lt;&gt;"NR"), ((AF191/2492)*AH191*1000000), AND(AG191="mol/L", AH191&lt;&gt;"NR"), AF191*AH191*1000000, AG191="nmol", AF191*1000, AND(AG191="nmol/uL", AH191&lt;&gt;"NR"), AF191*AH191*1000, AG191="pg", AF191/2492, AG191="pmol", AF191, AND(AG191="pmol/uL", AH191&lt;&gt;"NR"), AF191*AH191, AG191="ug", AF191/2492*1000000, AND(AG191="ug/mL", AH191&lt;&gt;"NR"), (AF191/1000*AH191)/2492*1000000, AND(AG191="ug/uL", AH191&lt;&gt;"NR"), (AF191*AH191)/2492*1000000, AND(AG191="umol/L", AH191&lt;&gt;"NR"), AH191*AF191, TRUE, "NA")</f>
        <v>2500</v>
      </c>
      <c r="AJ191" t="s">
        <v>9</v>
      </c>
      <c r="AK191">
        <v>1</v>
      </c>
      <c r="AL191" t="s">
        <v>9</v>
      </c>
      <c r="AM191" t="s">
        <v>8</v>
      </c>
      <c r="AN191" t="s">
        <v>9</v>
      </c>
      <c r="AO191" s="18" t="s">
        <v>12</v>
      </c>
      <c r="AP191" t="s">
        <v>8</v>
      </c>
      <c r="AQ191" t="s">
        <v>8</v>
      </c>
      <c r="AR191" t="s">
        <v>8</v>
      </c>
      <c r="AS191" s="18">
        <v>4</v>
      </c>
      <c r="AT191" t="s">
        <v>271</v>
      </c>
      <c r="AU191" t="s">
        <v>653</v>
      </c>
      <c r="AV191" t="s">
        <v>8</v>
      </c>
      <c r="AW191">
        <v>102</v>
      </c>
      <c r="AX191">
        <v>76.900000000000006</v>
      </c>
      <c r="AY191" t="s">
        <v>8</v>
      </c>
      <c r="AZ191" t="s">
        <v>8</v>
      </c>
      <c r="BA191" t="s">
        <v>656</v>
      </c>
      <c r="BB191" t="s">
        <v>122</v>
      </c>
      <c r="BC191" cm="1">
        <f t="array" ref="BC191">_xlfn.IFS(BA191="Direct rLV % whole brain", AW191, BA191="Indirect rLV % whole brain", AW191, BA191="Direct rLV % hemisphere", AW191/2, BA191="Indirect rLV % hemisphere", AW191/2, AND(F191="Mouse", BA191="mm3"), (AW191/508.91)*100, AND(F191="Rat", BA191="mm3"), (AW191/1971)*100, AND(F191="Mouse", BA191="ul"), (AW191/508.91)*100, AND(F191="Rat", BA191="ul"), (AW191/1971)*100,  AND(F191="Mouse", BA191="nl"), (AW191/508910)*100, AND(F191="Rat", BA191="nl"), (AW191/1971000)*100, AND(F191="Mouse", BA191="cm3"), (AW191/0.50891)*100, AND(F191="Rat", BA191="cm3"), (AW191/1.971)*100, AND(F191="Mouse", BA191="mL"), (AW191/0.50891)*100, AND(F191="Rat", BA191="mL"), (AW191/1.971)*100, TRUE, "NA")</f>
        <v>5.1750380517503807</v>
      </c>
      <c r="BD191" t="str" cm="1">
        <f t="array" ref="BD191">_xlfn.IFS(AZ191="NA", "NA",BA191="Direct rLV % whole brain", AY191, BA191="Indirect rLV % whole brain", AY191, BA191="Direct rLV % hemisphere", AY191/2, BA191="Indirect rLV % hemisphere", AY191/2, AND(F191="Mouse", BA191="mm3"), (AY191/508.91)*100, AND(F191="Rat", BA191="mm3"), (AY191/1971)*100, AND(F191="Mouse", BA191="ul"), (AY191/508.91)*100, AND(F191="Rat", BA191="ul"), (AY191/1971)*100,  AND(F191="Mouse", BA191="nl"), (AY191/508910)*100, AND(F191="Rat", BA191="nl"), (AY191/1971000)*100, AND(F191="Mouse", BA191="cm3"), (AY191/0.50891)*100, AND(F191="Rat", BA191="cm3"), (AY191/1.971)*100, AND(F191="Mouse", BA191="mL"), (AY191/0.50891)*100, AND(F191="Rat", BA191="mL"), (AY191/1.971)*100, TRUE, "NA")</f>
        <v>NA</v>
      </c>
      <c r="BE191" cm="1">
        <f t="array" ref="BE191">_xlfn.IFS(AX191="NA", "NA", BB191="NR", "NA", BB191="SD", AX191, BB191="SE", AX191*(SQRT(R191)), BB191="SEM", AX191*(SQRT(R191)), TRUE, "NA")</f>
        <v>76.900000000000006</v>
      </c>
      <c r="BF191" cm="1">
        <f t="array" ref="BF191">_xlfn.IFS(BE191="NA", "NA",BA191="Direct rLV % whole brain", BE191, BA191="Indirect rLV % whole brain", BE191, BA191="Direct rLV % hemisphere", BE191/2, BA191="Indirect rLV % hemisphere", BE191/2, AND(F191="Mouse", BA191="mm3"), (BE191/508.91)*100, AND(F191="Rat", BA191="mm3"), (BE191/1971)*100, AND(F191="Mouse", BA191="ul"), (BE191/508.91)*100, AND(F191="Rat", BA191="ul"), (BE191/1971)*100,  AND(F191="Mouse", BA191="nl"), (BE191/508910)*100, AND(F191="Rat", BA191="nl"), (BE191/1971000)*100, AND(F191="Mouse", BA191="cm3"), (BE191/0.50891)*100, AND(F191="Rat", BA191="cm3"), (BE191/1.971)*100, AND(F191="Mouse", BA191="mL"), (BE191/0.50891)*100, AND(F191="Rat", BA191="mL"), (BE191/1.971)*100, TRUE, "NA")</f>
        <v>3.9015728056823948</v>
      </c>
      <c r="BG191" t="str" cm="1">
        <f t="array" ref="BG191">_xlfn.IFS(AZ191="NA", "NA", BB191="NR", "NA", BB191="SD", AZ191, BB191="SE", AZ191*(SQRT(R191)), BB191="SEM", AZ191*(SQRT(R191)), TRUE, "NA")</f>
        <v>NA</v>
      </c>
      <c r="BH191" s="18" t="s">
        <v>154</v>
      </c>
      <c r="BI191" t="s">
        <v>153</v>
      </c>
      <c r="BJ191" t="s">
        <v>154</v>
      </c>
    </row>
    <row r="192" spans="1:63" s="31" customFormat="1" x14ac:dyDescent="0.3">
      <c r="A192" s="39" t="s">
        <v>1152</v>
      </c>
      <c r="B192" s="31" t="s">
        <v>1151</v>
      </c>
      <c r="C192" s="31">
        <v>1995</v>
      </c>
      <c r="D192" s="31" t="s">
        <v>1153</v>
      </c>
      <c r="E192" s="31" t="s">
        <v>647</v>
      </c>
      <c r="F192" s="31" t="s">
        <v>23</v>
      </c>
      <c r="G192" s="31" t="s">
        <v>11</v>
      </c>
      <c r="H192" s="31" t="s">
        <v>34</v>
      </c>
      <c r="I192" s="31" t="s">
        <v>12</v>
      </c>
      <c r="J192" s="31" t="s">
        <v>8</v>
      </c>
      <c r="K192" s="31" t="s">
        <v>9</v>
      </c>
      <c r="L192" s="31" t="s">
        <v>9</v>
      </c>
      <c r="M192" s="31" t="s">
        <v>9</v>
      </c>
      <c r="N192" s="31">
        <v>230</v>
      </c>
      <c r="O192" s="31">
        <f t="shared" si="33"/>
        <v>245</v>
      </c>
      <c r="P192" s="31">
        <v>260</v>
      </c>
      <c r="Q192" s="31">
        <v>1</v>
      </c>
      <c r="R192" s="31">
        <v>6</v>
      </c>
      <c r="S192" s="31" t="s">
        <v>8</v>
      </c>
      <c r="T192" s="31" t="s">
        <v>8</v>
      </c>
      <c r="U192" s="32" t="s">
        <v>66</v>
      </c>
      <c r="V192" s="31" t="s">
        <v>96</v>
      </c>
      <c r="W192" s="31" t="s">
        <v>8</v>
      </c>
      <c r="X192" s="31" t="s">
        <v>66</v>
      </c>
      <c r="Y192" s="31" t="s">
        <v>96</v>
      </c>
      <c r="Z192" s="31" t="s">
        <v>8</v>
      </c>
      <c r="AA192" s="31" t="s">
        <v>640</v>
      </c>
      <c r="AB192" s="31" t="s">
        <v>636</v>
      </c>
      <c r="AC192" s="31" t="s">
        <v>153</v>
      </c>
      <c r="AD192" s="31" t="s">
        <v>634</v>
      </c>
      <c r="AE192" s="31">
        <v>0</v>
      </c>
      <c r="AF192" s="31">
        <v>60</v>
      </c>
      <c r="AG192" s="31" t="s">
        <v>650</v>
      </c>
      <c r="AH192" s="31">
        <v>3</v>
      </c>
      <c r="AI192" cm="1">
        <f t="array" ref="AI192">_xlfn.IFS(AF192="NR", "NA", AG192="NR", "NA", AG192="NA","NA", AND(AG192="mg/ml", AH192&lt;&gt;"NR"), ((AF192/2492)*AH192*1000000), AND(AG192="mol/L", AH192&lt;&gt;"NR"), AF192*AH192*1000000, AG192="nmol", AF192*1000, AND(AG192="nmol/uL", AH192&lt;&gt;"NR"), AF192*AH192*1000, AG192="pg", AF192/2492, AG192="pmol", AF192, AND(AG192="pmol/uL", AH192&lt;&gt;"NR"), AF192*AH192, AG192="ug", AF192/2492*1000000, AND(AG192="ug/mL", AH192&lt;&gt;"NR"), (AF192/1000*AH192)/2492*1000000, AND(AG192="ug/uL", AH192&lt;&gt;"NR"), (AF192*AH192)/2492*1000000, AND(AG192="umol/L", AH192&lt;&gt;"NR"), AH192*AF192, TRUE, "NA")</f>
        <v>60</v>
      </c>
      <c r="AJ192" s="31">
        <v>2</v>
      </c>
      <c r="AK192" s="31">
        <v>1</v>
      </c>
      <c r="AL192" s="31" t="s">
        <v>9</v>
      </c>
      <c r="AM192" s="31" t="s">
        <v>8</v>
      </c>
      <c r="AN192" s="31" t="s">
        <v>9</v>
      </c>
      <c r="AO192" s="32" t="s">
        <v>12</v>
      </c>
      <c r="AP192" s="31" t="s">
        <v>8</v>
      </c>
      <c r="AQ192" s="31" t="s">
        <v>8</v>
      </c>
      <c r="AR192" s="31" t="s">
        <v>8</v>
      </c>
      <c r="AS192" s="32">
        <v>336</v>
      </c>
      <c r="AT192" s="31" t="s">
        <v>271</v>
      </c>
      <c r="AU192" s="31" t="s">
        <v>652</v>
      </c>
      <c r="AV192" s="31" t="s">
        <v>8</v>
      </c>
      <c r="AW192" s="31">
        <f>143+30.8</f>
        <v>173.8</v>
      </c>
      <c r="AX192" s="31">
        <f>SQRT((7*SQRT(R192))^2 + (2.6*SQRT(R192))^2)</f>
        <v>18.290981384277881</v>
      </c>
      <c r="AY192" s="31" t="s">
        <v>8</v>
      </c>
      <c r="AZ192" s="31" t="s">
        <v>8</v>
      </c>
      <c r="BA192" s="31" t="s">
        <v>656</v>
      </c>
      <c r="BB192" s="31" t="s">
        <v>122</v>
      </c>
      <c r="BC192" cm="1">
        <f t="array" ref="BC192">_xlfn.IFS(BA192="Direct rLV % whole brain", AW192, BA192="Indirect rLV % whole brain", AW192, BA192="Direct rLV % hemisphere", AW192/2, BA192="Indirect rLV % hemisphere", AW192/2, AND(F192="Mouse", BA192="mm3"), (AW192/508.91)*100, AND(F192="Rat", BA192="mm3"), (AW192/1971)*100, AND(F192="Mouse", BA192="ul"), (AW192/508.91)*100, AND(F192="Rat", BA192="ul"), (AW192/1971)*100,  AND(F192="Mouse", BA192="nl"), (AW192/508910)*100, AND(F192="Rat", BA192="nl"), (AW192/1971000)*100, AND(F192="Mouse", BA192="cm3"), (AW192/0.50891)*100, AND(F192="Rat", BA192="cm3"), (AW192/1.971)*100, AND(F192="Mouse", BA192="mL"), (AW192/0.50891)*100, AND(F192="Rat", BA192="mL"), (AW192/1.971)*100, TRUE, "NA")</f>
        <v>8.8178589548452564</v>
      </c>
      <c r="BD192" t="str" cm="1">
        <f t="array" ref="BD192">_xlfn.IFS(AZ192="NA", "NA",BA192="Direct rLV % whole brain", AY192, BA192="Indirect rLV % whole brain", AY192, BA192="Direct rLV % hemisphere", AY192/2, BA192="Indirect rLV % hemisphere", AY192/2, AND(F192="Mouse", BA192="mm3"), (AY192/508.91)*100, AND(F192="Rat", BA192="mm3"), (AY192/1971)*100, AND(F192="Mouse", BA192="ul"), (AY192/508.91)*100, AND(F192="Rat", BA192="ul"), (AY192/1971)*100,  AND(F192="Mouse", BA192="nl"), (AY192/508910)*100, AND(F192="Rat", BA192="nl"), (AY192/1971000)*100, AND(F192="Mouse", BA192="cm3"), (AY192/0.50891)*100, AND(F192="Rat", BA192="cm3"), (AY192/1.971)*100, AND(F192="Mouse", BA192="mL"), (AY192/0.50891)*100, AND(F192="Rat", BA192="mL"), (AY192/1.971)*100, TRUE, "NA")</f>
        <v>NA</v>
      </c>
      <c r="BE192" cm="1">
        <f t="array" ref="BE192">_xlfn.IFS(AX192="NA", "NA", BB192="NR", "NA", BB192="SD", AX192, BB192="SE", AX192*(SQRT(R192)), BB192="SEM", AX192*(SQRT(R192)), TRUE, "NA")</f>
        <v>18.290981384277881</v>
      </c>
      <c r="BF192" cm="1">
        <f t="array" ref="BF192">_xlfn.IFS(BE192="NA", "NA",BA192="Direct rLV % whole brain", BE192, BA192="Indirect rLV % whole brain", BE192, BA192="Direct rLV % hemisphere", BE192/2, BA192="Indirect rLV % hemisphere", BE192/2, AND(F192="Mouse", BA192="mm3"), (BE192/508.91)*100, AND(F192="Rat", BA192="mm3"), (BE192/1971)*100, AND(F192="Mouse", BA192="ul"), (BE192/508.91)*100, AND(F192="Rat", BA192="ul"), (BE192/1971)*100,  AND(F192="Mouse", BA192="nl"), (BE192/508910)*100, AND(F192="Rat", BA192="nl"), (BE192/1971000)*100, AND(F192="Mouse", BA192="cm3"), (BE192/0.50891)*100, AND(F192="Rat", BA192="cm3"), (BE192/1.971)*100, AND(F192="Mouse", BA192="mL"), (BE192/0.50891)*100, AND(F192="Rat", BA192="mL"), (BE192/1.971)*100, TRUE, "NA")</f>
        <v>0.92800514379897925</v>
      </c>
      <c r="BG192" t="str" cm="1">
        <f t="array" ref="BG192">_xlfn.IFS(AZ192="NA", "NA", BB192="NR", "NA", BB192="SD", AZ192, BB192="SE", AZ192*(SQRT(R192)), BB192="SEM", AZ192*(SQRT(R192)), TRUE, "NA")</f>
        <v>NA</v>
      </c>
      <c r="BH192" s="32" t="s">
        <v>154</v>
      </c>
      <c r="BI192" s="31" t="s">
        <v>154</v>
      </c>
      <c r="BJ192" s="31" t="s">
        <v>154</v>
      </c>
    </row>
    <row r="193" spans="1:63" x14ac:dyDescent="0.3">
      <c r="A193" t="s">
        <v>1155</v>
      </c>
      <c r="B193" t="s">
        <v>1154</v>
      </c>
      <c r="C193">
        <v>2013</v>
      </c>
      <c r="D193" t="s">
        <v>1156</v>
      </c>
      <c r="E193" t="s">
        <v>647</v>
      </c>
      <c r="F193" t="s">
        <v>23</v>
      </c>
      <c r="G193" t="s">
        <v>11</v>
      </c>
      <c r="H193" t="s">
        <v>34</v>
      </c>
      <c r="I193" t="s">
        <v>12</v>
      </c>
      <c r="J193" t="s">
        <v>8</v>
      </c>
      <c r="K193" t="s">
        <v>8</v>
      </c>
      <c r="L193">
        <v>13</v>
      </c>
      <c r="M193" t="s">
        <v>8</v>
      </c>
      <c r="N193">
        <v>300</v>
      </c>
      <c r="O193">
        <f t="shared" ref="O193" si="34">AVERAGE(N193,P193)</f>
        <v>325</v>
      </c>
      <c r="P193">
        <v>350</v>
      </c>
      <c r="Q193">
        <v>1</v>
      </c>
      <c r="R193">
        <v>10</v>
      </c>
      <c r="S193" t="s">
        <v>8</v>
      </c>
      <c r="T193" t="s">
        <v>8</v>
      </c>
      <c r="U193" s="18" t="s">
        <v>66</v>
      </c>
      <c r="V193" t="s">
        <v>96</v>
      </c>
      <c r="W193" t="s">
        <v>8</v>
      </c>
      <c r="X193" t="s">
        <v>66</v>
      </c>
      <c r="Y193" t="s">
        <v>96</v>
      </c>
      <c r="Z193" t="s">
        <v>8</v>
      </c>
      <c r="AA193" t="s">
        <v>640</v>
      </c>
      <c r="AB193" t="s">
        <v>746</v>
      </c>
      <c r="AC193" t="s">
        <v>9</v>
      </c>
      <c r="AD193" t="s">
        <v>634</v>
      </c>
      <c r="AE193">
        <v>0</v>
      </c>
      <c r="AF193">
        <f>800*2</f>
        <v>1600</v>
      </c>
      <c r="AG193" t="s">
        <v>650</v>
      </c>
      <c r="AH193">
        <v>2</v>
      </c>
      <c r="AI193" cm="1">
        <f t="array" ref="AI193">_xlfn.IFS(AF193="NR", "NA", AG193="NR", "NA", AG193="NA","NA", AND(AG193="mg/ml", AH193&lt;&gt;"NR"), ((AF193/2492)*AH193*1000000), AND(AG193="mol/L", AH193&lt;&gt;"NR"), AF193*AH193*1000000, AG193="nmol", AF193*1000, AND(AG193="nmol/uL", AH193&lt;&gt;"NR"), AF193*AH193*1000, AG193="pg", AF193/2492, AG193="pmol", AF193, AND(AG193="pmol/uL", AH193&lt;&gt;"NR"), AF193*AH193, AG193="ug", AF193/2492*1000000, AND(AG193="ug/mL", AH193&lt;&gt;"NR"), (AF193/1000*AH193)/2492*1000000, AND(AG193="ug/uL", AH193&lt;&gt;"NR"), (AF193*AH193)/2492*1000000, AND(AG193="umol/L", AH193&lt;&gt;"NR"), AH193*AF193, TRUE, "NA")</f>
        <v>1600</v>
      </c>
      <c r="AJ193">
        <v>5</v>
      </c>
      <c r="AK193">
        <v>2</v>
      </c>
      <c r="AL193" t="s">
        <v>701</v>
      </c>
      <c r="AM193" t="s">
        <v>8</v>
      </c>
      <c r="AN193" t="s">
        <v>9</v>
      </c>
      <c r="AO193" s="18" t="s">
        <v>12</v>
      </c>
      <c r="AP193" t="s">
        <v>8</v>
      </c>
      <c r="AQ193" t="s">
        <v>8</v>
      </c>
      <c r="AR193" t="s">
        <v>8</v>
      </c>
      <c r="AS193" s="18">
        <v>720</v>
      </c>
      <c r="AT193" t="s">
        <v>271</v>
      </c>
      <c r="AU193" t="s">
        <v>1243</v>
      </c>
      <c r="AV193" t="s">
        <v>8</v>
      </c>
      <c r="AW193">
        <f>AVERAGE(38.62,48.55,50.54,67.58,69.29,72.12,90.02,92.57,92.57,110.46)</f>
        <v>73.231999999999999</v>
      </c>
      <c r="AX193">
        <f>_xlfn.STDEV.S(38.62,48.55,50.54,67.58,69.29,72.12,90.02,92.57,92.57,110.46)</f>
        <v>23.061552804999447</v>
      </c>
      <c r="AY193" t="s">
        <v>8</v>
      </c>
      <c r="AZ193" t="s">
        <v>8</v>
      </c>
      <c r="BA193" t="s">
        <v>656</v>
      </c>
      <c r="BB193" t="s">
        <v>122</v>
      </c>
      <c r="BC193" cm="1">
        <f t="array" ref="BC193">_xlfn.IFS(BA193="Direct rLV % whole brain", AW193, BA193="Indirect rLV % whole brain", AW193, BA193="Direct rLV % hemisphere", AW193/2, BA193="Indirect rLV % hemisphere", AW193/2, AND(F193="Mouse", BA193="mm3"), (AW193/508.91)*100, AND(F193="Rat", BA193="mm3"), (AW193/1971)*100, AND(F193="Mouse", BA193="ul"), (AW193/508.91)*100, AND(F193="Rat", BA193="ul"), (AW193/1971)*100,  AND(F193="Mouse", BA193="nl"), (AW193/508910)*100, AND(F193="Rat", BA193="nl"), (AW193/1971000)*100, AND(F193="Mouse", BA193="cm3"), (AW193/0.50891)*100, AND(F193="Rat", BA193="cm3"), (AW193/1.971)*100, AND(F193="Mouse", BA193="mL"), (AW193/0.50891)*100, AND(F193="Rat", BA193="mL"), (AW193/1.971)*100, TRUE, "NA")</f>
        <v>3.7154743784880768</v>
      </c>
      <c r="BD193" t="str" cm="1">
        <f t="array" ref="BD193">_xlfn.IFS(AZ193="NA", "NA",BA193="Direct rLV % whole brain", AY193, BA193="Indirect rLV % whole brain", AY193, BA193="Direct rLV % hemisphere", AY193/2, BA193="Indirect rLV % hemisphere", AY193/2, AND(F193="Mouse", BA193="mm3"), (AY193/508.91)*100, AND(F193="Rat", BA193="mm3"), (AY193/1971)*100, AND(F193="Mouse", BA193="ul"), (AY193/508.91)*100, AND(F193="Rat", BA193="ul"), (AY193/1971)*100,  AND(F193="Mouse", BA193="nl"), (AY193/508910)*100, AND(F193="Rat", BA193="nl"), (AY193/1971000)*100, AND(F193="Mouse", BA193="cm3"), (AY193/0.50891)*100, AND(F193="Rat", BA193="cm3"), (AY193/1.971)*100, AND(F193="Mouse", BA193="mL"), (AY193/0.50891)*100, AND(F193="Rat", BA193="mL"), (AY193/1.971)*100, TRUE, "NA")</f>
        <v>NA</v>
      </c>
      <c r="BE193" cm="1">
        <f t="array" ref="BE193">_xlfn.IFS(AX193="NA", "NA", BB193="NR", "NA", BB193="SD", AX193, BB193="SE", AX193*(SQRT(R193)), BB193="SEM", AX193*(SQRT(R193)), TRUE, "NA")</f>
        <v>23.061552804999447</v>
      </c>
      <c r="BF193" cm="1">
        <f t="array" ref="BF193">_xlfn.IFS(BE193="NA", "NA",BA193="Direct rLV % whole brain", BE193, BA193="Indirect rLV % whole brain", BE193, BA193="Direct rLV % hemisphere", BE193/2, BA193="Indirect rLV % hemisphere", BE193/2, AND(F193="Mouse", BA193="mm3"), (BE193/508.91)*100, AND(F193="Rat", BA193="mm3"), (BE193/1971)*100, AND(F193="Mouse", BA193="ul"), (BE193/508.91)*100, AND(F193="Rat", BA193="ul"), (BE193/1971)*100,  AND(F193="Mouse", BA193="nl"), (BE193/508910)*100, AND(F193="Rat", BA193="nl"), (BE193/1971000)*100, AND(F193="Mouse", BA193="cm3"), (BE193/0.50891)*100, AND(F193="Rat", BA193="cm3"), (BE193/1.971)*100, AND(F193="Mouse", BA193="mL"), (BE193/0.50891)*100, AND(F193="Rat", BA193="mL"), (BE193/1.971)*100, TRUE, "NA")</f>
        <v>1.1700432676306163</v>
      </c>
      <c r="BG193" t="str" cm="1">
        <f t="array" ref="BG193">_xlfn.IFS(AZ193="NA", "NA", BB193="NR", "NA", BB193="SD", AZ193, BB193="SE", AZ193*(SQRT(R193)), BB193="SEM", AZ193*(SQRT(R193)), TRUE, "NA")</f>
        <v>NA</v>
      </c>
      <c r="BH193" s="18" t="s">
        <v>154</v>
      </c>
      <c r="BI193" t="s">
        <v>154</v>
      </c>
      <c r="BJ193" t="s">
        <v>154</v>
      </c>
      <c r="BK193" t="s">
        <v>1157</v>
      </c>
    </row>
    <row r="194" spans="1:63" s="31" customFormat="1" x14ac:dyDescent="0.3">
      <c r="A194" s="39" t="s">
        <v>1159</v>
      </c>
      <c r="B194" s="31" t="s">
        <v>1158</v>
      </c>
      <c r="C194" s="31">
        <v>2015</v>
      </c>
      <c r="D194" s="31" t="s">
        <v>1160</v>
      </c>
      <c r="E194" s="31" t="s">
        <v>647</v>
      </c>
      <c r="F194" s="31" t="s">
        <v>23</v>
      </c>
      <c r="G194" s="31" t="s">
        <v>10</v>
      </c>
      <c r="H194" s="31" t="s">
        <v>34</v>
      </c>
      <c r="I194" s="31" t="s">
        <v>12</v>
      </c>
      <c r="J194" s="31" t="s">
        <v>8</v>
      </c>
      <c r="K194" s="31" t="s">
        <v>9</v>
      </c>
      <c r="L194" s="31" t="s">
        <v>9</v>
      </c>
      <c r="M194" s="31" t="s">
        <v>9</v>
      </c>
      <c r="N194" s="31">
        <v>350</v>
      </c>
      <c r="O194" s="31">
        <f t="shared" ref="O194" si="35">AVERAGE(N194,P194)</f>
        <v>375</v>
      </c>
      <c r="P194" s="31">
        <v>400</v>
      </c>
      <c r="Q194" s="31">
        <v>4</v>
      </c>
      <c r="R194" s="31">
        <v>8</v>
      </c>
      <c r="S194" s="31" t="s">
        <v>8</v>
      </c>
      <c r="T194" s="31" t="s">
        <v>8</v>
      </c>
      <c r="U194" s="32" t="s">
        <v>68</v>
      </c>
      <c r="V194" s="31" t="s">
        <v>8</v>
      </c>
      <c r="W194" s="31" t="s">
        <v>8</v>
      </c>
      <c r="X194" s="31" t="s">
        <v>68</v>
      </c>
      <c r="Y194" s="31" t="s">
        <v>8</v>
      </c>
      <c r="Z194" s="31" t="s">
        <v>8</v>
      </c>
      <c r="AA194" s="31" t="s">
        <v>640</v>
      </c>
      <c r="AB194" s="31" t="s">
        <v>636</v>
      </c>
      <c r="AC194" s="31" t="s">
        <v>9</v>
      </c>
      <c r="AD194" s="31" t="s">
        <v>634</v>
      </c>
      <c r="AE194" s="31">
        <v>0</v>
      </c>
      <c r="AF194" s="31">
        <v>400</v>
      </c>
      <c r="AG194" s="31" t="s">
        <v>745</v>
      </c>
      <c r="AH194" s="31">
        <v>4</v>
      </c>
      <c r="AI194" cm="1">
        <f t="array" ref="AI194">_xlfn.IFS(AF194="NR", "NA", AG194="NR", "NA", AG194="NA","NA", AND(AG194="mg/ml", AH194&lt;&gt;"NR"), ((AF194/2492)*AH194*1000000), AND(AG194="mol/L", AH194&lt;&gt;"NR"), AF194*AH194*1000000, AG194="nmol", AF194*1000, AND(AG194="nmol/uL", AH194&lt;&gt;"NR"), AF194*AH194*1000, AG194="pg", AF194/2492, AG194="pmol", AF194, AND(AG194="pmol/uL", AH194&lt;&gt;"NR"), AF194*AH194, AG194="ug", AF194/2492*1000000, AND(AG194="ug/mL", AH194&lt;&gt;"NR"), (AF194/1000*AH194)/2492*1000000, AND(AG194="ug/uL", AH194&lt;&gt;"NR"), (AF194*AH194)/2492*1000000, AND(AG194="umol/L", AH194&lt;&gt;"NR"), AH194*AF194, TRUE, "NA")</f>
        <v>1600</v>
      </c>
      <c r="AJ194" s="31">
        <f>4/0.25</f>
        <v>16</v>
      </c>
      <c r="AK194" s="31">
        <v>2</v>
      </c>
      <c r="AL194" s="31" t="s">
        <v>859</v>
      </c>
      <c r="AM194" s="31" t="s">
        <v>665</v>
      </c>
      <c r="AN194" s="31" t="s">
        <v>9</v>
      </c>
      <c r="AO194" s="32" t="s">
        <v>12</v>
      </c>
      <c r="AP194" s="31" t="s">
        <v>8</v>
      </c>
      <c r="AQ194" s="31" t="s">
        <v>8</v>
      </c>
      <c r="AR194" s="31" t="s">
        <v>8</v>
      </c>
      <c r="AS194" s="32">
        <v>24</v>
      </c>
      <c r="AT194" s="31" t="s">
        <v>271</v>
      </c>
      <c r="AU194" s="31" t="s">
        <v>653</v>
      </c>
      <c r="AV194" s="31" t="s">
        <v>8</v>
      </c>
      <c r="AW194" s="31">
        <f>31+5.25</f>
        <v>36.25</v>
      </c>
      <c r="AX194" s="31">
        <f>SQRT((5.4*SQRT(R194))^2 + (2.26*SQRT(R194))^2)</f>
        <v>16.557197830550919</v>
      </c>
      <c r="AY194" s="31" t="s">
        <v>8</v>
      </c>
      <c r="AZ194" s="31" t="s">
        <v>8</v>
      </c>
      <c r="BA194" s="31" t="s">
        <v>656</v>
      </c>
      <c r="BB194" s="31" t="s">
        <v>122</v>
      </c>
      <c r="BC194" cm="1">
        <f t="array" ref="BC194">_xlfn.IFS(BA194="Direct rLV % whole brain", AW194, BA194="Indirect rLV % whole brain", AW194, BA194="Direct rLV % hemisphere", AW194/2, BA194="Indirect rLV % hemisphere", AW194/2, AND(F194="Mouse", BA194="mm3"), (AW194/508.91)*100, AND(F194="Rat", BA194="mm3"), (AW194/1971)*100, AND(F194="Mouse", BA194="ul"), (AW194/508.91)*100, AND(F194="Rat", BA194="ul"), (AW194/1971)*100,  AND(F194="Mouse", BA194="nl"), (AW194/508910)*100, AND(F194="Rat", BA194="nl"), (AW194/1971000)*100, AND(F194="Mouse", BA194="cm3"), (AW194/0.50891)*100, AND(F194="Rat", BA194="cm3"), (AW194/1.971)*100, AND(F194="Mouse", BA194="mL"), (AW194/0.50891)*100, AND(F194="Rat", BA194="mL"), (AW194/1.971)*100, TRUE, "NA")</f>
        <v>1.8391679350583459</v>
      </c>
      <c r="BD194" t="str" cm="1">
        <f t="array" ref="BD194">_xlfn.IFS(AZ194="NA", "NA",BA194="Direct rLV % whole brain", AY194, BA194="Indirect rLV % whole brain", AY194, BA194="Direct rLV % hemisphere", AY194/2, BA194="Indirect rLV % hemisphere", AY194/2, AND(F194="Mouse", BA194="mm3"), (AY194/508.91)*100, AND(F194="Rat", BA194="mm3"), (AY194/1971)*100, AND(F194="Mouse", BA194="ul"), (AY194/508.91)*100, AND(F194="Rat", BA194="ul"), (AY194/1971)*100,  AND(F194="Mouse", BA194="nl"), (AY194/508910)*100, AND(F194="Rat", BA194="nl"), (AY194/1971000)*100, AND(F194="Mouse", BA194="cm3"), (AY194/0.50891)*100, AND(F194="Rat", BA194="cm3"), (AY194/1.971)*100, AND(F194="Mouse", BA194="mL"), (AY194/0.50891)*100, AND(F194="Rat", BA194="mL"), (AY194/1.971)*100, TRUE, "NA")</f>
        <v>NA</v>
      </c>
      <c r="BE194" cm="1">
        <f t="array" ref="BE194">_xlfn.IFS(AX194="NA", "NA", BB194="NR", "NA", BB194="SD", AX194, BB194="SE", AX194*(SQRT(R194)), BB194="SEM", AX194*(SQRT(R194)), TRUE, "NA")</f>
        <v>16.557197830550919</v>
      </c>
      <c r="BF194" cm="1">
        <f t="array" ref="BF194">_xlfn.IFS(BE194="NA", "NA",BA194="Direct rLV % whole brain", BE194, BA194="Indirect rLV % whole brain", BE194, BA194="Direct rLV % hemisphere", BE194/2, BA194="Indirect rLV % hemisphere", BE194/2, AND(F194="Mouse", BA194="mm3"), (BE194/508.91)*100, AND(F194="Rat", BA194="mm3"), (BE194/1971)*100, AND(F194="Mouse", BA194="ul"), (BE194/508.91)*100, AND(F194="Rat", BA194="ul"), (BE194/1971)*100,  AND(F194="Mouse", BA194="nl"), (BE194/508910)*100, AND(F194="Rat", BA194="nl"), (BE194/1971000)*100, AND(F194="Mouse", BA194="cm3"), (BE194/0.50891)*100, AND(F194="Rat", BA194="cm3"), (BE194/1.971)*100, AND(F194="Mouse", BA194="mL"), (BE194/0.50891)*100, AND(F194="Rat", BA194="mL"), (BE194/1.971)*100, TRUE, "NA")</f>
        <v>0.84004047846529262</v>
      </c>
      <c r="BG194" t="str" cm="1">
        <f t="array" ref="BG194">_xlfn.IFS(AZ194="NA", "NA", BB194="NR", "NA", BB194="SD", AZ194, BB194="SE", AZ194*(SQRT(R194)), BB194="SEM", AZ194*(SQRT(R194)), TRUE, "NA")</f>
        <v>NA</v>
      </c>
      <c r="BH194" s="32" t="s">
        <v>153</v>
      </c>
      <c r="BI194" s="31" t="s">
        <v>154</v>
      </c>
      <c r="BJ194" s="31" t="s">
        <v>154</v>
      </c>
      <c r="BK194" s="31" t="s">
        <v>1161</v>
      </c>
    </row>
    <row r="195" spans="1:63" x14ac:dyDescent="0.3">
      <c r="A195" t="s">
        <v>1163</v>
      </c>
      <c r="B195" t="s">
        <v>1162</v>
      </c>
      <c r="C195">
        <v>2007</v>
      </c>
      <c r="D195" t="s">
        <v>1164</v>
      </c>
      <c r="E195" t="s">
        <v>647</v>
      </c>
      <c r="F195" t="s">
        <v>23</v>
      </c>
      <c r="G195" t="s">
        <v>47</v>
      </c>
      <c r="H195" t="s">
        <v>34</v>
      </c>
      <c r="I195" t="s">
        <v>12</v>
      </c>
      <c r="J195" t="s">
        <v>8</v>
      </c>
      <c r="K195" t="s">
        <v>8</v>
      </c>
      <c r="L195">
        <v>14</v>
      </c>
      <c r="M195" t="s">
        <v>8</v>
      </c>
      <c r="N195" t="s">
        <v>9</v>
      </c>
      <c r="O195" t="s">
        <v>9</v>
      </c>
      <c r="P195" t="s">
        <v>9</v>
      </c>
      <c r="Q195">
        <v>1</v>
      </c>
      <c r="R195">
        <v>17</v>
      </c>
      <c r="S195" t="s">
        <v>8</v>
      </c>
      <c r="T195" t="s">
        <v>8</v>
      </c>
      <c r="U195" s="18" t="s">
        <v>70</v>
      </c>
      <c r="V195" t="s">
        <v>111</v>
      </c>
      <c r="W195" t="s">
        <v>294</v>
      </c>
      <c r="X195" t="s">
        <v>70</v>
      </c>
      <c r="Y195" t="s">
        <v>111</v>
      </c>
      <c r="Z195" t="s">
        <v>294</v>
      </c>
      <c r="AA195" t="s">
        <v>639</v>
      </c>
      <c r="AB195" t="s">
        <v>636</v>
      </c>
      <c r="AC195" t="s">
        <v>9</v>
      </c>
      <c r="AD195" t="s">
        <v>634</v>
      </c>
      <c r="AE195">
        <v>0</v>
      </c>
      <c r="AF195">
        <v>80</v>
      </c>
      <c r="AG195" t="s">
        <v>692</v>
      </c>
      <c r="AH195">
        <v>4</v>
      </c>
      <c r="AI195" cm="1">
        <f t="array" ref="AI195">_xlfn.IFS(AF195="NR", "NA", AG195="NR", "NA", AG195="NA","NA", AND(AG195="mg/ml", AH195&lt;&gt;"NR"), ((AF195/2492)*AH195*1000000), AND(AG195="mol/L", AH195&lt;&gt;"NR"), AF195*AH195*1000000, AG195="nmol", AF195*1000, AND(AG195="nmol/uL", AH195&lt;&gt;"NR"), AF195*AH195*1000, AG195="pg", AF195/2492, AG195="pmol", AF195, AND(AG195="pmol/uL", AH195&lt;&gt;"NR"), AF195*AH195, AG195="ug", AF195/2492*1000000, AND(AG195="ug/mL", AH195&lt;&gt;"NR"), (AF195/1000*AH195)/2492*1000000, AND(AG195="ug/uL", AH195&lt;&gt;"NR"), (AF195*AH195)/2492*1000000, AND(AG195="umol/L", AH195&lt;&gt;"NR"), AH195*AF195, TRUE, "NA")</f>
        <v>320</v>
      </c>
      <c r="AJ195">
        <v>2</v>
      </c>
      <c r="AK195">
        <v>1</v>
      </c>
      <c r="AL195" t="s">
        <v>9</v>
      </c>
      <c r="AM195" t="s">
        <v>8</v>
      </c>
      <c r="AN195" t="s">
        <v>9</v>
      </c>
      <c r="AO195" s="18" t="s">
        <v>12</v>
      </c>
      <c r="AP195" t="s">
        <v>8</v>
      </c>
      <c r="AQ195" t="s">
        <v>8</v>
      </c>
      <c r="AR195" t="s">
        <v>8</v>
      </c>
      <c r="AS195" s="18">
        <v>1164</v>
      </c>
      <c r="AT195" t="s">
        <v>271</v>
      </c>
      <c r="AU195" t="s">
        <v>663</v>
      </c>
      <c r="AV195" t="s">
        <v>8</v>
      </c>
      <c r="AW195">
        <v>90.6</v>
      </c>
      <c r="AX195">
        <v>1.96</v>
      </c>
      <c r="AY195" t="s">
        <v>8</v>
      </c>
      <c r="AZ195" t="s">
        <v>8</v>
      </c>
      <c r="BA195" t="s">
        <v>656</v>
      </c>
      <c r="BB195" t="s">
        <v>123</v>
      </c>
      <c r="BC195" cm="1">
        <f t="array" ref="BC195">_xlfn.IFS(BA195="Direct rLV % whole brain", AW195, BA195="Indirect rLV % whole brain", AW195, BA195="Direct rLV % hemisphere", AW195/2, BA195="Indirect rLV % hemisphere", AW195/2, AND(F195="Mouse", BA195="mm3"), (AW195/508.91)*100, AND(F195="Rat", BA195="mm3"), (AW195/1971)*100, AND(F195="Mouse", BA195="ul"), (AW195/508.91)*100, AND(F195="Rat", BA195="ul"), (AW195/1971)*100,  AND(F195="Mouse", BA195="nl"), (AW195/508910)*100, AND(F195="Rat", BA195="nl"), (AW195/1971000)*100, AND(F195="Mouse", BA195="cm3"), (AW195/0.50891)*100, AND(F195="Rat", BA195="cm3"), (AW195/1.971)*100, AND(F195="Mouse", BA195="mL"), (AW195/0.50891)*100, AND(F195="Rat", BA195="mL"), (AW195/1.971)*100, TRUE, "NA")</f>
        <v>4.596651445966514</v>
      </c>
      <c r="BD195" t="str" cm="1">
        <f t="array" ref="BD195">_xlfn.IFS(AZ195="NA", "NA",BA195="Direct rLV % whole brain", AY195, BA195="Indirect rLV % whole brain", AY195, BA195="Direct rLV % hemisphere", AY195/2, BA195="Indirect rLV % hemisphere", AY195/2, AND(F195="Mouse", BA195="mm3"), (AY195/508.91)*100, AND(F195="Rat", BA195="mm3"), (AY195/1971)*100, AND(F195="Mouse", BA195="ul"), (AY195/508.91)*100, AND(F195="Rat", BA195="ul"), (AY195/1971)*100,  AND(F195="Mouse", BA195="nl"), (AY195/508910)*100, AND(F195="Rat", BA195="nl"), (AY195/1971000)*100, AND(F195="Mouse", BA195="cm3"), (AY195/0.50891)*100, AND(F195="Rat", BA195="cm3"), (AY195/1.971)*100, AND(F195="Mouse", BA195="mL"), (AY195/0.50891)*100, AND(F195="Rat", BA195="mL"), (AY195/1.971)*100, TRUE, "NA")</f>
        <v>NA</v>
      </c>
      <c r="BE195" cm="1">
        <f t="array" ref="BE195">_xlfn.IFS(AX195="NA", "NA", BB195="NR", "NA", BB195="SD", AX195, BB195="SE", AX195*(SQRT(R195)), BB195="SEM", AX195*(SQRT(R195)), TRUE, "NA")</f>
        <v>8.0812870262106138</v>
      </c>
      <c r="BF195" cm="1">
        <f t="array" ref="BF195">_xlfn.IFS(BE195="NA", "NA",BA195="Direct rLV % whole brain", BE195, BA195="Indirect rLV % whole brain", BE195, BA195="Direct rLV % hemisphere", BE195/2, BA195="Indirect rLV % hemisphere", BE195/2, AND(F195="Mouse", BA195="mm3"), (BE195/508.91)*100, AND(F195="Rat", BA195="mm3"), (BE195/1971)*100, AND(F195="Mouse", BA195="ul"), (BE195/508.91)*100, AND(F195="Rat", BA195="ul"), (BE195/1971)*100,  AND(F195="Mouse", BA195="nl"), (BE195/508910)*100, AND(F195="Rat", BA195="nl"), (BE195/1971000)*100, AND(F195="Mouse", BA195="cm3"), (BE195/0.50891)*100, AND(F195="Rat", BA195="cm3"), (BE195/1.971)*100, AND(F195="Mouse", BA195="mL"), (BE195/0.50891)*100, AND(F195="Rat", BA195="mL"), (BE195/1.971)*100, TRUE, "NA")</f>
        <v>0.41000948889957456</v>
      </c>
      <c r="BG195" t="str" cm="1">
        <f t="array" ref="BG195">_xlfn.IFS(AZ195="NA", "NA", BB195="NR", "NA", BB195="SD", AZ195, BB195="SE", AZ195*(SQRT(R195)), BB195="SEM", AZ195*(SQRT(R195)), TRUE, "NA")</f>
        <v>NA</v>
      </c>
      <c r="BH195" s="18" t="s">
        <v>154</v>
      </c>
      <c r="BI195" t="s">
        <v>154</v>
      </c>
      <c r="BJ195" t="s">
        <v>153</v>
      </c>
    </row>
    <row r="196" spans="1:63" s="31" customFormat="1" x14ac:dyDescent="0.3">
      <c r="A196" s="31" t="s">
        <v>1165</v>
      </c>
      <c r="B196" s="31" t="s">
        <v>942</v>
      </c>
      <c r="C196" s="31">
        <v>2001</v>
      </c>
      <c r="D196" s="31" t="s">
        <v>1166</v>
      </c>
      <c r="E196" s="31" t="s">
        <v>647</v>
      </c>
      <c r="F196" s="31" t="s">
        <v>23</v>
      </c>
      <c r="G196" s="31" t="s">
        <v>11</v>
      </c>
      <c r="H196" s="31" t="s">
        <v>34</v>
      </c>
      <c r="I196" s="31" t="s">
        <v>12</v>
      </c>
      <c r="J196" s="31" t="s">
        <v>8</v>
      </c>
      <c r="K196" s="31" t="s">
        <v>9</v>
      </c>
      <c r="L196" s="31" t="s">
        <v>9</v>
      </c>
      <c r="M196" s="31" t="s">
        <v>9</v>
      </c>
      <c r="N196" s="31">
        <v>100</v>
      </c>
      <c r="O196" s="31">
        <v>150</v>
      </c>
      <c r="P196" s="31">
        <v>200</v>
      </c>
      <c r="Q196" s="31">
        <v>1</v>
      </c>
      <c r="R196" s="31">
        <v>12.5</v>
      </c>
      <c r="S196" s="31">
        <v>2</v>
      </c>
      <c r="T196" s="31">
        <v>12.5</v>
      </c>
      <c r="U196" s="32" t="s">
        <v>9</v>
      </c>
      <c r="V196" s="31" t="s">
        <v>8</v>
      </c>
      <c r="W196" s="31" t="s">
        <v>8</v>
      </c>
      <c r="X196" s="31" t="s">
        <v>9</v>
      </c>
      <c r="Y196" s="31" t="s">
        <v>8</v>
      </c>
      <c r="Z196" s="31" t="s">
        <v>8</v>
      </c>
      <c r="AA196" s="31" t="s">
        <v>648</v>
      </c>
      <c r="AB196" s="31" t="s">
        <v>636</v>
      </c>
      <c r="AC196" s="31" t="s">
        <v>153</v>
      </c>
      <c r="AD196" s="31" t="s">
        <v>634</v>
      </c>
      <c r="AE196" s="31">
        <v>0</v>
      </c>
      <c r="AF196" s="31">
        <v>200</v>
      </c>
      <c r="AG196" s="31" t="s">
        <v>650</v>
      </c>
      <c r="AH196" s="31">
        <v>3</v>
      </c>
      <c r="AI196" cm="1">
        <f t="array" ref="AI196">_xlfn.IFS(AF196="NR", "NA", AG196="NR", "NA", AG196="NA","NA", AND(AG196="mg/ml", AH196&lt;&gt;"NR"), ((AF196/2492)*AH196*1000000), AND(AG196="mol/L", AH196&lt;&gt;"NR"), AF196*AH196*1000000, AG196="nmol", AF196*1000, AND(AG196="nmol/uL", AH196&lt;&gt;"NR"), AF196*AH196*1000, AG196="pg", AF196/2492, AG196="pmol", AF196, AND(AG196="pmol/uL", AH196&lt;&gt;"NR"), AF196*AH196, AG196="ug", AF196/2492*1000000, AND(AG196="ug/mL", AH196&lt;&gt;"NR"), (AF196/1000*AH196)/2492*1000000, AND(AG196="ug/uL", AH196&lt;&gt;"NR"), (AF196*AH196)/2492*1000000, AND(AG196="umol/L", AH196&lt;&gt;"NR"), AH196*AF196, TRUE, "NA")</f>
        <v>200</v>
      </c>
      <c r="AJ196" s="31">
        <v>3</v>
      </c>
      <c r="AK196" s="31">
        <v>1</v>
      </c>
      <c r="AL196" s="31" t="s">
        <v>9</v>
      </c>
      <c r="AM196" s="31" t="s">
        <v>8</v>
      </c>
      <c r="AN196" s="31" t="s">
        <v>9</v>
      </c>
      <c r="AO196" s="32" t="s">
        <v>819</v>
      </c>
      <c r="AP196" t="s">
        <v>1228</v>
      </c>
      <c r="AQ196" s="31">
        <v>0</v>
      </c>
      <c r="AR196" s="31" t="s">
        <v>102</v>
      </c>
      <c r="AS196" s="32">
        <v>72</v>
      </c>
      <c r="AT196" s="31" t="s">
        <v>271</v>
      </c>
      <c r="AU196" s="31" t="s">
        <v>652</v>
      </c>
      <c r="AV196" s="31" t="s">
        <v>728</v>
      </c>
      <c r="AW196" s="31">
        <v>174.12</v>
      </c>
      <c r="AX196" s="31">
        <v>14.07</v>
      </c>
      <c r="AY196" s="31">
        <v>105.28</v>
      </c>
      <c r="AZ196" s="31">
        <v>13.82</v>
      </c>
      <c r="BA196" s="31" t="s">
        <v>656</v>
      </c>
      <c r="BB196" s="31" t="s">
        <v>123</v>
      </c>
      <c r="BC196" cm="1">
        <f t="array" ref="BC196">_xlfn.IFS(BA196="Direct rLV % whole brain", AW196, BA196="Indirect rLV % whole brain", AW196, BA196="Direct rLV % hemisphere", AW196/2, BA196="Indirect rLV % hemisphere", AW196/2, AND(F196="Mouse", BA196="mm3"), (AW196/508.91)*100, AND(F196="Rat", BA196="mm3"), (AW196/1971)*100, AND(F196="Mouse", BA196="ul"), (AW196/508.91)*100, AND(F196="Rat", BA196="ul"), (AW196/1971)*100,  AND(F196="Mouse", BA196="nl"), (AW196/508910)*100, AND(F196="Rat", BA196="nl"), (AW196/1971000)*100, AND(F196="Mouse", BA196="cm3"), (AW196/0.50891)*100, AND(F196="Rat", BA196="cm3"), (AW196/1.971)*100, AND(F196="Mouse", BA196="mL"), (AW196/0.50891)*100, AND(F196="Rat", BA196="mL"), (AW196/1.971)*100, TRUE, "NA")</f>
        <v>8.8340943683409439</v>
      </c>
      <c r="BD196" cm="1">
        <f t="array" ref="BD196">_xlfn.IFS(AZ196="NA", "NA",BA196="Direct rLV % whole brain", AY196, BA196="Indirect rLV % whole brain", AY196, BA196="Direct rLV % hemisphere", AY196/2, BA196="Indirect rLV % hemisphere", AY196/2, AND(F196="Mouse", BA196="mm3"), (AY196/508.91)*100, AND(F196="Rat", BA196="mm3"), (AY196/1971)*100, AND(F196="Mouse", BA196="ul"), (AY196/508.91)*100, AND(F196="Rat", BA196="ul"), (AY196/1971)*100,  AND(F196="Mouse", BA196="nl"), (AY196/508910)*100, AND(F196="Rat", BA196="nl"), (AY196/1971000)*100, AND(F196="Mouse", BA196="cm3"), (AY196/0.50891)*100, AND(F196="Rat", BA196="cm3"), (AY196/1.971)*100, AND(F196="Mouse", BA196="mL"), (AY196/0.50891)*100, AND(F196="Rat", BA196="mL"), (AY196/1.971)*100, TRUE, "NA")</f>
        <v>5.3414510400811768</v>
      </c>
      <c r="BE196" cm="1">
        <f t="array" ref="BE196">_xlfn.IFS(AX196="NA", "NA", BB196="NR", "NA", BB196="SD", AX196, BB196="SE", AX196*(SQRT(R196)), BB196="SEM", AX196*(SQRT(R196)), TRUE, "NA")</f>
        <v>49.744962056473618</v>
      </c>
      <c r="BF196" cm="1">
        <f t="array" ref="BF196">_xlfn.IFS(BE196="NA", "NA",BA196="Direct rLV % whole brain", BE196, BA196="Indirect rLV % whole brain", BE196, BA196="Direct rLV % hemisphere", BE196/2, BA196="Indirect rLV % hemisphere", BE196/2, AND(F196="Mouse", BA196="mm3"), (BE196/508.91)*100, AND(F196="Rat", BA196="mm3"), (BE196/1971)*100, AND(F196="Mouse", BA196="ul"), (BE196/508.91)*100, AND(F196="Rat", BA196="ul"), (BE196/1971)*100,  AND(F196="Mouse", BA196="nl"), (BE196/508910)*100, AND(F196="Rat", BA196="nl"), (BE196/1971000)*100, AND(F196="Mouse", BA196="cm3"), (BE196/0.50891)*100, AND(F196="Rat", BA196="cm3"), (BE196/1.971)*100, AND(F196="Mouse", BA196="mL"), (BE196/0.50891)*100, AND(F196="Rat", BA196="mL"), (BE196/1.971)*100, TRUE, "NA")</f>
        <v>2.5238438384816648</v>
      </c>
      <c r="BG196" cm="1">
        <f t="array" ref="BG196">_xlfn.IFS(AZ196="NA", "NA", BB196="NR", "NA", BB196="SD", AZ196, BB196="SE", AZ196*(SQRT(R196)), BB196="SEM", AZ196*(SQRT(R196)), TRUE, "NA")</f>
        <v>48.861078579990433</v>
      </c>
      <c r="BH196" s="32" t="s">
        <v>154</v>
      </c>
      <c r="BI196" s="31" t="s">
        <v>153</v>
      </c>
      <c r="BJ196" s="31" t="s">
        <v>154</v>
      </c>
    </row>
    <row r="197" spans="1:63" x14ac:dyDescent="0.3">
      <c r="A197" t="s">
        <v>1167</v>
      </c>
      <c r="B197" t="s">
        <v>981</v>
      </c>
      <c r="C197">
        <v>2004</v>
      </c>
      <c r="D197" t="s">
        <v>1168</v>
      </c>
      <c r="E197" t="s">
        <v>647</v>
      </c>
      <c r="F197" t="s">
        <v>23</v>
      </c>
      <c r="G197" t="s">
        <v>10</v>
      </c>
      <c r="H197" t="s">
        <v>34</v>
      </c>
      <c r="I197" t="s">
        <v>12</v>
      </c>
      <c r="J197" t="s">
        <v>8</v>
      </c>
      <c r="K197" t="s">
        <v>8</v>
      </c>
      <c r="L197">
        <v>8</v>
      </c>
      <c r="M197" t="s">
        <v>8</v>
      </c>
      <c r="N197" t="s">
        <v>9</v>
      </c>
      <c r="O197" t="s">
        <v>9</v>
      </c>
      <c r="P197" t="s">
        <v>9</v>
      </c>
      <c r="Q197">
        <v>2</v>
      </c>
      <c r="R197">
        <v>5</v>
      </c>
      <c r="S197" t="s">
        <v>8</v>
      </c>
      <c r="T197" t="s">
        <v>8</v>
      </c>
      <c r="U197" s="18" t="s">
        <v>111</v>
      </c>
      <c r="V197" t="s">
        <v>8</v>
      </c>
      <c r="W197" t="s">
        <v>8</v>
      </c>
      <c r="X197" t="s">
        <v>12</v>
      </c>
      <c r="Y197" t="s">
        <v>8</v>
      </c>
      <c r="Z197" t="s">
        <v>8</v>
      </c>
      <c r="AA197" t="s">
        <v>648</v>
      </c>
      <c r="AB197" t="s">
        <v>636</v>
      </c>
      <c r="AC197" t="s">
        <v>153</v>
      </c>
      <c r="AD197" t="s">
        <v>610</v>
      </c>
      <c r="AE197">
        <v>168</v>
      </c>
      <c r="AF197">
        <v>375</v>
      </c>
      <c r="AG197" t="s">
        <v>650</v>
      </c>
      <c r="AH197">
        <v>3</v>
      </c>
      <c r="AI197" cm="1">
        <f t="array" ref="AI197">_xlfn.IFS(AF197="NR", "NA", AG197="NR", "NA", AG197="NA","NA", AND(AG197="mg/ml", AH197&lt;&gt;"NR"), ((AF197/2492)*AH197*1000000), AND(AG197="mol/L", AH197&lt;&gt;"NR"), AF197*AH197*1000000, AG197="nmol", AF197*1000, AND(AG197="nmol/uL", AH197&lt;&gt;"NR"), AF197*AH197*1000, AG197="pg", AF197/2492, AG197="pmol", AF197, AND(AG197="pmol/uL", AH197&lt;&gt;"NR"), AF197*AH197, AG197="ug", AF197/2492*1000000, AND(AG197="ug/mL", AH197&lt;&gt;"NR"), (AF197/1000*AH197)/2492*1000000, AND(AG197="ug/uL", AH197&lt;&gt;"NR"), (AF197*AH197)/2492*1000000, AND(AG197="umol/L", AH197&lt;&gt;"NR"), AH197*AF197, TRUE, "NA")</f>
        <v>375</v>
      </c>
      <c r="AJ197">
        <v>5</v>
      </c>
      <c r="AK197">
        <v>1</v>
      </c>
      <c r="AL197" t="s">
        <v>9</v>
      </c>
      <c r="AM197" t="s">
        <v>8</v>
      </c>
      <c r="AN197" t="s">
        <v>9</v>
      </c>
      <c r="AO197" s="18" t="s">
        <v>12</v>
      </c>
      <c r="AP197" t="s">
        <v>8</v>
      </c>
      <c r="AQ197" t="s">
        <v>8</v>
      </c>
      <c r="AR197" t="s">
        <v>8</v>
      </c>
      <c r="AS197" s="18">
        <v>672</v>
      </c>
      <c r="AT197" t="s">
        <v>271</v>
      </c>
      <c r="AU197" t="s">
        <v>663</v>
      </c>
      <c r="AV197" t="s">
        <v>674</v>
      </c>
      <c r="AW197">
        <v>15.25</v>
      </c>
      <c r="AX197">
        <v>3.77</v>
      </c>
      <c r="AY197" t="s">
        <v>8</v>
      </c>
      <c r="AZ197" t="s">
        <v>8</v>
      </c>
      <c r="BA197" t="s">
        <v>656</v>
      </c>
      <c r="BB197" t="s">
        <v>123</v>
      </c>
      <c r="BC197" cm="1">
        <f t="array" ref="BC197">_xlfn.IFS(BA197="Direct rLV % whole brain", AW197, BA197="Indirect rLV % whole brain", AW197, BA197="Direct rLV % hemisphere", AW197/2, BA197="Indirect rLV % hemisphere", AW197/2, AND(F197="Mouse", BA197="mm3"), (AW197/508.91)*100, AND(F197="Rat", BA197="mm3"), (AW197/1971)*100, AND(F197="Mouse", BA197="ul"), (AW197/508.91)*100, AND(F197="Rat", BA197="ul"), (AW197/1971)*100,  AND(F197="Mouse", BA197="nl"), (AW197/508910)*100, AND(F197="Rat", BA197="nl"), (AW197/1971000)*100, AND(F197="Mouse", BA197="cm3"), (AW197/0.50891)*100, AND(F197="Rat", BA197="cm3"), (AW197/1.971)*100, AND(F197="Mouse", BA197="mL"), (AW197/0.50891)*100, AND(F197="Rat", BA197="mL"), (AW197/1.971)*100, TRUE, "NA")</f>
        <v>0.77371892440385581</v>
      </c>
      <c r="BD197" t="str" cm="1">
        <f t="array" ref="BD197">_xlfn.IFS(AZ197="NA", "NA",BA197="Direct rLV % whole brain", AY197, BA197="Indirect rLV % whole brain", AY197, BA197="Direct rLV % hemisphere", AY197/2, BA197="Indirect rLV % hemisphere", AY197/2, AND(F197="Mouse", BA197="mm3"), (AY197/508.91)*100, AND(F197="Rat", BA197="mm3"), (AY197/1971)*100, AND(F197="Mouse", BA197="ul"), (AY197/508.91)*100, AND(F197="Rat", BA197="ul"), (AY197/1971)*100,  AND(F197="Mouse", BA197="nl"), (AY197/508910)*100, AND(F197="Rat", BA197="nl"), (AY197/1971000)*100, AND(F197="Mouse", BA197="cm3"), (AY197/0.50891)*100, AND(F197="Rat", BA197="cm3"), (AY197/1.971)*100, AND(F197="Mouse", BA197="mL"), (AY197/0.50891)*100, AND(F197="Rat", BA197="mL"), (AY197/1.971)*100, TRUE, "NA")</f>
        <v>NA</v>
      </c>
      <c r="BE197" cm="1">
        <f t="array" ref="BE197">_xlfn.IFS(AX197="NA", "NA", BB197="NR", "NA", BB197="SD", AX197, BB197="SE", AX197*(SQRT(R197)), BB197="SEM", AX197*(SQRT(R197)), TRUE, "NA")</f>
        <v>8.4299762751742069</v>
      </c>
      <c r="BF197" cm="1">
        <f t="array" ref="BF197">_xlfn.IFS(BE197="NA", "NA",BA197="Direct rLV % whole brain", BE197, BA197="Indirect rLV % whole brain", BE197, BA197="Direct rLV % hemisphere", BE197/2, BA197="Indirect rLV % hemisphere", BE197/2, AND(F197="Mouse", BA197="mm3"), (BE197/508.91)*100, AND(F197="Rat", BA197="mm3"), (BE197/1971)*100, AND(F197="Mouse", BA197="ul"), (BE197/508.91)*100, AND(F197="Rat", BA197="ul"), (BE197/1971)*100,  AND(F197="Mouse", BA197="nl"), (BE197/508910)*100, AND(F197="Rat", BA197="nl"), (BE197/1971000)*100, AND(F197="Mouse", BA197="cm3"), (BE197/0.50891)*100, AND(F197="Rat", BA197="cm3"), (BE197/1.971)*100, AND(F197="Mouse", BA197="mL"), (BE197/0.50891)*100, AND(F197="Rat", BA197="mL"), (BE197/1.971)*100, TRUE, "NA")</f>
        <v>0.42770047058215149</v>
      </c>
      <c r="BG197" t="str" cm="1">
        <f t="array" ref="BG197">_xlfn.IFS(AZ197="NA", "NA", BB197="NR", "NA", BB197="SD", AZ197, BB197="SE", AZ197*(SQRT(R197)), BB197="SEM", AZ197*(SQRT(R197)), TRUE, "NA")</f>
        <v>NA</v>
      </c>
      <c r="BH197" s="18" t="s">
        <v>154</v>
      </c>
      <c r="BI197" t="s">
        <v>154</v>
      </c>
      <c r="BJ197" t="s">
        <v>154</v>
      </c>
    </row>
    <row r="198" spans="1:63" x14ac:dyDescent="0.3">
      <c r="A198" t="s">
        <v>1167</v>
      </c>
      <c r="B198" t="s">
        <v>981</v>
      </c>
      <c r="C198">
        <v>2004</v>
      </c>
      <c r="D198" t="s">
        <v>1168</v>
      </c>
      <c r="E198" t="s">
        <v>678</v>
      </c>
      <c r="F198" t="s">
        <v>23</v>
      </c>
      <c r="G198" t="s">
        <v>10</v>
      </c>
      <c r="H198" t="s">
        <v>34</v>
      </c>
      <c r="I198" t="s">
        <v>12</v>
      </c>
      <c r="J198" t="s">
        <v>8</v>
      </c>
      <c r="K198" t="s">
        <v>8</v>
      </c>
      <c r="L198">
        <v>8</v>
      </c>
      <c r="M198" t="s">
        <v>8</v>
      </c>
      <c r="N198" t="s">
        <v>9</v>
      </c>
      <c r="O198" t="s">
        <v>9</v>
      </c>
      <c r="P198" t="s">
        <v>9</v>
      </c>
      <c r="Q198">
        <v>2</v>
      </c>
      <c r="R198">
        <v>5</v>
      </c>
      <c r="S198" t="s">
        <v>8</v>
      </c>
      <c r="T198" t="s">
        <v>8</v>
      </c>
      <c r="U198" s="18" t="s">
        <v>66</v>
      </c>
      <c r="V198" t="s">
        <v>96</v>
      </c>
      <c r="W198" t="s">
        <v>8</v>
      </c>
      <c r="X198" t="s">
        <v>66</v>
      </c>
      <c r="Y198" t="s">
        <v>96</v>
      </c>
      <c r="Z198" t="s">
        <v>8</v>
      </c>
      <c r="AA198" t="s">
        <v>648</v>
      </c>
      <c r="AB198" t="s">
        <v>636</v>
      </c>
      <c r="AC198" t="s">
        <v>153</v>
      </c>
      <c r="AD198" t="s">
        <v>634</v>
      </c>
      <c r="AE198">
        <v>0</v>
      </c>
      <c r="AF198">
        <v>375</v>
      </c>
      <c r="AG198" t="s">
        <v>650</v>
      </c>
      <c r="AH198">
        <v>3</v>
      </c>
      <c r="AI198" cm="1">
        <f t="array" ref="AI198">_xlfn.IFS(AF198="NR", "NA", AG198="NR", "NA", AG198="NA","NA", AND(AG198="mg/ml", AH198&lt;&gt;"NR"), ((AF198/2492)*AH198*1000000), AND(AG198="mol/L", AH198&lt;&gt;"NR"), AF198*AH198*1000000, AG198="nmol", AF198*1000, AND(AG198="nmol/uL", AH198&lt;&gt;"NR"), AF198*AH198*1000, AG198="pg", AF198/2492, AG198="pmol", AF198, AND(AG198="pmol/uL", AH198&lt;&gt;"NR"), AF198*AH198, AG198="ug", AF198/2492*1000000, AND(AG198="ug/mL", AH198&lt;&gt;"NR"), (AF198/1000*AH198)/2492*1000000, AND(AG198="ug/uL", AH198&lt;&gt;"NR"), (AF198*AH198)/2492*1000000, AND(AG198="umol/L", AH198&lt;&gt;"NR"), AH198*AF198, TRUE, "NA")</f>
        <v>375</v>
      </c>
      <c r="AJ198">
        <v>5</v>
      </c>
      <c r="AK198">
        <v>1</v>
      </c>
      <c r="AL198" t="s">
        <v>9</v>
      </c>
      <c r="AM198" t="s">
        <v>8</v>
      </c>
      <c r="AN198" t="s">
        <v>9</v>
      </c>
      <c r="AO198" s="18" t="s">
        <v>12</v>
      </c>
      <c r="AP198" t="s">
        <v>8</v>
      </c>
      <c r="AQ198" t="s">
        <v>8</v>
      </c>
      <c r="AR198" t="s">
        <v>8</v>
      </c>
      <c r="AS198" s="18">
        <v>672</v>
      </c>
      <c r="AT198" t="s">
        <v>271</v>
      </c>
      <c r="AU198" t="s">
        <v>663</v>
      </c>
      <c r="AV198" t="s">
        <v>674</v>
      </c>
      <c r="AW198">
        <v>50.54</v>
      </c>
      <c r="AX198">
        <v>11.47</v>
      </c>
      <c r="AY198" t="s">
        <v>8</v>
      </c>
      <c r="AZ198" t="s">
        <v>8</v>
      </c>
      <c r="BA198" t="s">
        <v>656</v>
      </c>
      <c r="BB198" t="s">
        <v>123</v>
      </c>
      <c r="BC198" cm="1">
        <f t="array" ref="BC198">_xlfn.IFS(BA198="Direct rLV % whole brain", AW198, BA198="Indirect rLV % whole brain", AW198, BA198="Direct rLV % hemisphere", AW198/2, BA198="Indirect rLV % hemisphere", AW198/2, AND(F198="Mouse", BA198="mm3"), (AW198/508.91)*100, AND(F198="Rat", BA198="mm3"), (AW198/1971)*100, AND(F198="Mouse", BA198="ul"), (AW198/508.91)*100, AND(F198="Rat", BA198="ul"), (AW198/1971)*100,  AND(F198="Mouse", BA198="nl"), (AW198/508910)*100, AND(F198="Rat", BA198="nl"), (AW198/1971000)*100, AND(F198="Mouse", BA198="cm3"), (AW198/0.50891)*100, AND(F198="Rat", BA198="cm3"), (AW198/1.971)*100, AND(F198="Mouse", BA198="mL"), (AW198/0.50891)*100, AND(F198="Rat", BA198="mL"), (AW198/1.971)*100, TRUE, "NA")</f>
        <v>2.5641806189751395</v>
      </c>
      <c r="BD198" t="str" cm="1">
        <f t="array" ref="BD198">_xlfn.IFS(AZ198="NA", "NA",BA198="Direct rLV % whole brain", AY198, BA198="Indirect rLV % whole brain", AY198, BA198="Direct rLV % hemisphere", AY198/2, BA198="Indirect rLV % hemisphere", AY198/2, AND(F198="Mouse", BA198="mm3"), (AY198/508.91)*100, AND(F198="Rat", BA198="mm3"), (AY198/1971)*100, AND(F198="Mouse", BA198="ul"), (AY198/508.91)*100, AND(F198="Rat", BA198="ul"), (AY198/1971)*100,  AND(F198="Mouse", BA198="nl"), (AY198/508910)*100, AND(F198="Rat", BA198="nl"), (AY198/1971000)*100, AND(F198="Mouse", BA198="cm3"), (AY198/0.50891)*100, AND(F198="Rat", BA198="cm3"), (AY198/1.971)*100, AND(F198="Mouse", BA198="mL"), (AY198/0.50891)*100, AND(F198="Rat", BA198="mL"), (AY198/1.971)*100, TRUE, "NA")</f>
        <v>NA</v>
      </c>
      <c r="BE198" cm="1">
        <f t="array" ref="BE198">_xlfn.IFS(AX198="NA", "NA", BB198="NR", "NA", BB198="SD", AX198, BB198="SE", AX198*(SQRT(R198)), BB198="SEM", AX198*(SQRT(R198)), TRUE, "NA")</f>
        <v>25.647699701922591</v>
      </c>
      <c r="BF198" cm="1">
        <f t="array" ref="BF198">_xlfn.IFS(BE198="NA", "NA",BA198="Direct rLV % whole brain", BE198, BA198="Indirect rLV % whole brain", BE198, BA198="Direct rLV % hemisphere", BE198/2, BA198="Indirect rLV % hemisphere", BE198/2, AND(F198="Mouse", BA198="mm3"), (BE198/508.91)*100, AND(F198="Rat", BA198="mm3"), (BE198/1971)*100, AND(F198="Mouse", BA198="ul"), (BE198/508.91)*100, AND(F198="Rat", BA198="ul"), (BE198/1971)*100,  AND(F198="Mouse", BA198="nl"), (BE198/508910)*100, AND(F198="Rat", BA198="nl"), (BE198/1971000)*100, AND(F198="Mouse", BA198="cm3"), (BE198/0.50891)*100, AND(F198="Rat", BA198="cm3"), (BE198/1.971)*100, AND(F198="Mouse", BA198="mL"), (BE198/0.50891)*100, AND(F198="Rat", BA198="mL"), (BE198/1.971)*100, TRUE, "NA")</f>
        <v>1.3012531558560421</v>
      </c>
      <c r="BG198" t="str" cm="1">
        <f t="array" ref="BG198">_xlfn.IFS(AZ198="NA", "NA", BB198="NR", "NA", BB198="SD", AZ198, BB198="SE", AZ198*(SQRT(R198)), BB198="SEM", AZ198*(SQRT(R198)), TRUE, "NA")</f>
        <v>NA</v>
      </c>
      <c r="BH198" s="18" t="s">
        <v>154</v>
      </c>
      <c r="BI198" t="s">
        <v>154</v>
      </c>
      <c r="BJ198" t="s">
        <v>154</v>
      </c>
    </row>
    <row r="199" spans="1:63" s="31" customFormat="1" x14ac:dyDescent="0.3">
      <c r="A199" s="31" t="s">
        <v>1170</v>
      </c>
      <c r="B199" s="31" t="s">
        <v>1169</v>
      </c>
      <c r="C199" s="31">
        <v>2014</v>
      </c>
      <c r="D199" s="31" t="s">
        <v>1171</v>
      </c>
      <c r="E199" s="31" t="s">
        <v>647</v>
      </c>
      <c r="F199" s="31" t="s">
        <v>24</v>
      </c>
      <c r="G199" s="31" t="s">
        <v>1172</v>
      </c>
      <c r="H199" s="31" t="s">
        <v>34</v>
      </c>
      <c r="I199" s="31" t="s">
        <v>12</v>
      </c>
      <c r="J199" s="31" t="s">
        <v>8</v>
      </c>
      <c r="K199" s="31">
        <v>9</v>
      </c>
      <c r="L199" s="31">
        <f t="shared" ref="L199:L200" si="36">AVERAGE(K199,M199)</f>
        <v>13</v>
      </c>
      <c r="M199" s="31">
        <v>17</v>
      </c>
      <c r="N199" s="31" t="s">
        <v>9</v>
      </c>
      <c r="O199" s="31" t="s">
        <v>9</v>
      </c>
      <c r="P199" s="31" t="s">
        <v>9</v>
      </c>
      <c r="Q199" s="31">
        <v>2</v>
      </c>
      <c r="R199" s="31">
        <v>19</v>
      </c>
      <c r="S199" s="31" t="s">
        <v>8</v>
      </c>
      <c r="T199" s="31" t="s">
        <v>8</v>
      </c>
      <c r="U199" s="32" t="s">
        <v>68</v>
      </c>
      <c r="V199" s="31" t="s">
        <v>8</v>
      </c>
      <c r="W199" s="31" t="s">
        <v>8</v>
      </c>
      <c r="X199" s="31" t="s">
        <v>68</v>
      </c>
      <c r="Y199" s="31" t="s">
        <v>8</v>
      </c>
      <c r="Z199" s="31" t="s">
        <v>8</v>
      </c>
      <c r="AA199" s="31" t="s">
        <v>640</v>
      </c>
      <c r="AB199" s="31" t="s">
        <v>636</v>
      </c>
      <c r="AC199" s="31" t="s">
        <v>9</v>
      </c>
      <c r="AD199" s="31" t="s">
        <v>634</v>
      </c>
      <c r="AE199" s="31">
        <v>0</v>
      </c>
      <c r="AF199" s="31">
        <v>2</v>
      </c>
      <c r="AG199" s="31" t="s">
        <v>580</v>
      </c>
      <c r="AH199" s="31">
        <v>2</v>
      </c>
      <c r="AI199" cm="1">
        <f t="array" ref="AI199">_xlfn.IFS(AF199="NR", "NA", AG199="NR", "NA", AG199="NA","NA", AND(AG199="mg/ml", AH199&lt;&gt;"NR"), ((AF199/2492)*AH199*1000000), AND(AG199="mol/L", AH199&lt;&gt;"NR"), AF199*AH199*1000000, AG199="nmol", AF199*1000, AND(AG199="nmol/uL", AH199&lt;&gt;"NR"), AF199*AH199*1000, AG199="pg", AF199/2492, AG199="pmol", AF199, AND(AG199="pmol/uL", AH199&lt;&gt;"NR"), AF199*AH199, AG199="ug", AF199/2492*1000000, AND(AG199="ug/mL", AH199&lt;&gt;"NR"), (AF199/1000*AH199)/2492*1000000, AND(AG199="ug/uL", AH199&lt;&gt;"NR"), (AF199*AH199)/2492*1000000, AND(AG199="umol/L", AH199&lt;&gt;"NR"), AH199*AF199, TRUE, "NA")</f>
        <v>1605.1364365971108</v>
      </c>
      <c r="AJ199" s="31">
        <v>20</v>
      </c>
      <c r="AK199" s="31">
        <v>2</v>
      </c>
      <c r="AL199" s="31" t="s">
        <v>665</v>
      </c>
      <c r="AM199" s="31" t="s">
        <v>8</v>
      </c>
      <c r="AN199" s="31" t="s">
        <v>9</v>
      </c>
      <c r="AO199" s="32" t="s">
        <v>12</v>
      </c>
      <c r="AP199" s="31" t="s">
        <v>8</v>
      </c>
      <c r="AQ199" s="31" t="s">
        <v>8</v>
      </c>
      <c r="AR199" s="31" t="s">
        <v>8</v>
      </c>
      <c r="AS199" s="32">
        <v>336</v>
      </c>
      <c r="AT199" s="31" t="s">
        <v>271</v>
      </c>
      <c r="AU199" s="31" t="s">
        <v>652</v>
      </c>
      <c r="AV199" s="31" t="s">
        <v>719</v>
      </c>
      <c r="AW199" s="31">
        <v>0.92</v>
      </c>
      <c r="AX199" s="31">
        <v>0.13</v>
      </c>
      <c r="AY199" s="31" t="s">
        <v>8</v>
      </c>
      <c r="AZ199" s="31" t="s">
        <v>8</v>
      </c>
      <c r="BA199" s="31" t="s">
        <v>656</v>
      </c>
      <c r="BB199" s="31" t="s">
        <v>123</v>
      </c>
      <c r="BC199" cm="1">
        <f t="array" ref="BC199">_xlfn.IFS(BA199="Direct rLV % whole brain", AW199, BA199="Indirect rLV % whole brain", AW199, BA199="Direct rLV % hemisphere", AW199/2, BA199="Indirect rLV % hemisphere", AW199/2, AND(F199="Mouse", BA199="mm3"), (AW199/508.91)*100, AND(F199="Rat", BA199="mm3"), (AW199/1971)*100, AND(F199="Mouse", BA199="ul"), (AW199/508.91)*100, AND(F199="Rat", BA199="ul"), (AW199/1971)*100,  AND(F199="Mouse", BA199="nl"), (AW199/508910)*100, AND(F199="Rat", BA199="nl"), (AW199/1971000)*100, AND(F199="Mouse", BA199="cm3"), (AW199/0.50891)*100, AND(F199="Rat", BA199="cm3"), (AW199/1.971)*100, AND(F199="Mouse", BA199="mL"), (AW199/0.50891)*100, AND(F199="Rat", BA199="mL"), (AW199/1.971)*100, TRUE, "NA")</f>
        <v>0.18077852665500777</v>
      </c>
      <c r="BD199" t="str" cm="1">
        <f t="array" ref="BD199">_xlfn.IFS(AZ199="NA", "NA",BA199="Direct rLV % whole brain", AY199, BA199="Indirect rLV % whole brain", AY199, BA199="Direct rLV % hemisphere", AY199/2, BA199="Indirect rLV % hemisphere", AY199/2, AND(F199="Mouse", BA199="mm3"), (AY199/508.91)*100, AND(F199="Rat", BA199="mm3"), (AY199/1971)*100, AND(F199="Mouse", BA199="ul"), (AY199/508.91)*100, AND(F199="Rat", BA199="ul"), (AY199/1971)*100,  AND(F199="Mouse", BA199="nl"), (AY199/508910)*100, AND(F199="Rat", BA199="nl"), (AY199/1971000)*100, AND(F199="Mouse", BA199="cm3"), (AY199/0.50891)*100, AND(F199="Rat", BA199="cm3"), (AY199/1.971)*100, AND(F199="Mouse", BA199="mL"), (AY199/0.50891)*100, AND(F199="Rat", BA199="mL"), (AY199/1.971)*100, TRUE, "NA")</f>
        <v>NA</v>
      </c>
      <c r="BE199" cm="1">
        <f t="array" ref="BE199">_xlfn.IFS(AX199="NA", "NA", BB199="NR", "NA", BB199="SD", AX199, BB199="SE", AX199*(SQRT(R199)), BB199="SEM", AX199*(SQRT(R199)), TRUE, "NA")</f>
        <v>0.56665686266028759</v>
      </c>
      <c r="BF199" cm="1">
        <f t="array" ref="BF199">_xlfn.IFS(BE199="NA", "NA",BA199="Direct rLV % whole brain", BE199, BA199="Indirect rLV % whole brain", BE199, BA199="Direct rLV % hemisphere", BE199/2, BA199="Indirect rLV % hemisphere", BE199/2, AND(F199="Mouse", BA199="mm3"), (BE199/508.91)*100, AND(F199="Rat", BA199="mm3"), (BE199/1971)*100, AND(F199="Mouse", BA199="ul"), (BE199/508.91)*100, AND(F199="Rat", BA199="ul"), (BE199/1971)*100,  AND(F199="Mouse", BA199="nl"), (BE199/508910)*100, AND(F199="Rat", BA199="nl"), (BE199/1971000)*100, AND(F199="Mouse", BA199="cm3"), (BE199/0.50891)*100, AND(F199="Rat", BA199="cm3"), (BE199/1.971)*100, AND(F199="Mouse", BA199="mL"), (BE199/0.50891)*100, AND(F199="Rat", BA199="mL"), (BE199/1.971)*100, TRUE, "NA")</f>
        <v>0.11134716603334333</v>
      </c>
      <c r="BG199" t="str" cm="1">
        <f t="array" ref="BG199">_xlfn.IFS(AZ199="NA", "NA", BB199="NR", "NA", BB199="SD", AZ199, BB199="SE", AZ199*(SQRT(R199)), BB199="SEM", AZ199*(SQRT(R199)), TRUE, "NA")</f>
        <v>NA</v>
      </c>
      <c r="BH199" s="32" t="s">
        <v>154</v>
      </c>
      <c r="BI199" s="31" t="s">
        <v>153</v>
      </c>
      <c r="BJ199" s="31" t="s">
        <v>154</v>
      </c>
    </row>
    <row r="200" spans="1:63" s="31" customFormat="1" x14ac:dyDescent="0.3">
      <c r="A200" s="31" t="s">
        <v>1170</v>
      </c>
      <c r="B200" s="31" t="s">
        <v>1169</v>
      </c>
      <c r="C200" s="31">
        <v>2014</v>
      </c>
      <c r="D200" s="31" t="s">
        <v>1171</v>
      </c>
      <c r="E200" s="31" t="s">
        <v>678</v>
      </c>
      <c r="F200" s="31" t="s">
        <v>24</v>
      </c>
      <c r="G200" s="31" t="s">
        <v>1172</v>
      </c>
      <c r="H200" s="31" t="s">
        <v>34</v>
      </c>
      <c r="I200" s="31" t="s">
        <v>12</v>
      </c>
      <c r="J200" s="31" t="s">
        <v>8</v>
      </c>
      <c r="K200" s="31">
        <v>9</v>
      </c>
      <c r="L200" s="31">
        <f t="shared" si="36"/>
        <v>13</v>
      </c>
      <c r="M200" s="31">
        <v>17</v>
      </c>
      <c r="N200" s="31" t="s">
        <v>9</v>
      </c>
      <c r="O200" s="31" t="s">
        <v>9</v>
      </c>
      <c r="P200" s="31" t="s">
        <v>9</v>
      </c>
      <c r="Q200" s="31">
        <v>2</v>
      </c>
      <c r="R200" s="31">
        <v>16</v>
      </c>
      <c r="S200" s="31" t="s">
        <v>8</v>
      </c>
      <c r="T200" s="31" t="s">
        <v>8</v>
      </c>
      <c r="U200" s="32" t="s">
        <v>68</v>
      </c>
      <c r="V200" s="31" t="s">
        <v>8</v>
      </c>
      <c r="W200" s="31" t="s">
        <v>8</v>
      </c>
      <c r="X200" s="31" t="s">
        <v>68</v>
      </c>
      <c r="Y200" s="31" t="s">
        <v>8</v>
      </c>
      <c r="Z200" s="31" t="s">
        <v>8</v>
      </c>
      <c r="AA200" s="31" t="s">
        <v>640</v>
      </c>
      <c r="AB200" s="31" t="s">
        <v>636</v>
      </c>
      <c r="AC200" s="31" t="s">
        <v>9</v>
      </c>
      <c r="AD200" s="31" t="s">
        <v>634</v>
      </c>
      <c r="AE200" s="31">
        <v>0</v>
      </c>
      <c r="AF200" s="31">
        <v>2</v>
      </c>
      <c r="AG200" s="31" t="s">
        <v>580</v>
      </c>
      <c r="AH200" s="31">
        <v>3</v>
      </c>
      <c r="AI200" cm="1">
        <f t="array" ref="AI200">_xlfn.IFS(AF200="NR", "NA", AG200="NR", "NA", AG200="NA","NA", AND(AG200="mg/ml", AH200&lt;&gt;"NR"), ((AF200/2492)*AH200*1000000), AND(AG200="mol/L", AH200&lt;&gt;"NR"), AF200*AH200*1000000, AG200="nmol", AF200*1000, AND(AG200="nmol/uL", AH200&lt;&gt;"NR"), AF200*AH200*1000, AG200="pg", AF200/2492, AG200="pmol", AF200, AND(AG200="pmol/uL", AH200&lt;&gt;"NR"), AF200*AH200, AG200="ug", AF200/2492*1000000, AND(AG200="ug/mL", AH200&lt;&gt;"NR"), (AF200/1000*AH200)/2492*1000000, AND(AG200="ug/uL", AH200&lt;&gt;"NR"), (AF200*AH200)/2492*1000000, AND(AG200="umol/L", AH200&lt;&gt;"NR"), AH200*AF200, TRUE, "NA")</f>
        <v>2407.704654895666</v>
      </c>
      <c r="AJ200" s="31">
        <v>30</v>
      </c>
      <c r="AK200" s="31">
        <v>3</v>
      </c>
      <c r="AL200" s="31" t="s">
        <v>665</v>
      </c>
      <c r="AM200" s="31" t="s">
        <v>8</v>
      </c>
      <c r="AN200" s="31" t="s">
        <v>9</v>
      </c>
      <c r="AO200" s="32" t="s">
        <v>12</v>
      </c>
      <c r="AP200" s="31" t="s">
        <v>8</v>
      </c>
      <c r="AQ200" s="31" t="s">
        <v>8</v>
      </c>
      <c r="AR200" s="31" t="s">
        <v>8</v>
      </c>
      <c r="AS200" s="32">
        <v>336</v>
      </c>
      <c r="AT200" s="31" t="s">
        <v>271</v>
      </c>
      <c r="AU200" s="31" t="s">
        <v>652</v>
      </c>
      <c r="AV200" s="31" t="s">
        <v>719</v>
      </c>
      <c r="AW200" s="31">
        <v>1.89</v>
      </c>
      <c r="AX200" s="31">
        <v>0.19</v>
      </c>
      <c r="AY200" s="31" t="s">
        <v>8</v>
      </c>
      <c r="AZ200" s="31" t="s">
        <v>8</v>
      </c>
      <c r="BA200" s="31" t="s">
        <v>656</v>
      </c>
      <c r="BB200" s="31" t="s">
        <v>123</v>
      </c>
      <c r="BC200" cm="1">
        <f t="array" ref="BC200">_xlfn.IFS(BA200="Direct rLV % whole brain", AW200, BA200="Indirect rLV % whole brain", AW200, BA200="Direct rLV % hemisphere", AW200/2, BA200="Indirect rLV % hemisphere", AW200/2, AND(F200="Mouse", BA200="mm3"), (AW200/508.91)*100, AND(F200="Rat", BA200="mm3"), (AW200/1971)*100, AND(F200="Mouse", BA200="ul"), (AW200/508.91)*100, AND(F200="Rat", BA200="ul"), (AW200/1971)*100,  AND(F200="Mouse", BA200="nl"), (AW200/508910)*100, AND(F200="Rat", BA200="nl"), (AW200/1971000)*100, AND(F200="Mouse", BA200="cm3"), (AW200/0.50891)*100, AND(F200="Rat", BA200="cm3"), (AW200/1.971)*100, AND(F200="Mouse", BA200="mL"), (AW200/0.50891)*100, AND(F200="Rat", BA200="mL"), (AW200/1.971)*100, TRUE, "NA")</f>
        <v>0.37138197323691807</v>
      </c>
      <c r="BD200" t="str" cm="1">
        <f t="array" ref="BD200">_xlfn.IFS(AZ200="NA", "NA",BA200="Direct rLV % whole brain", AY200, BA200="Indirect rLV % whole brain", AY200, BA200="Direct rLV % hemisphere", AY200/2, BA200="Indirect rLV % hemisphere", AY200/2, AND(F200="Mouse", BA200="mm3"), (AY200/508.91)*100, AND(F200="Rat", BA200="mm3"), (AY200/1971)*100, AND(F200="Mouse", BA200="ul"), (AY200/508.91)*100, AND(F200="Rat", BA200="ul"), (AY200/1971)*100,  AND(F200="Mouse", BA200="nl"), (AY200/508910)*100, AND(F200="Rat", BA200="nl"), (AY200/1971000)*100, AND(F200="Mouse", BA200="cm3"), (AY200/0.50891)*100, AND(F200="Rat", BA200="cm3"), (AY200/1.971)*100, AND(F200="Mouse", BA200="mL"), (AY200/0.50891)*100, AND(F200="Rat", BA200="mL"), (AY200/1.971)*100, TRUE, "NA")</f>
        <v>NA</v>
      </c>
      <c r="BE200" cm="1">
        <f t="array" ref="BE200">_xlfn.IFS(AX200="NA", "NA", BB200="NR", "NA", BB200="SD", AX200, BB200="SE", AX200*(SQRT(R200)), BB200="SEM", AX200*(SQRT(R200)), TRUE, "NA")</f>
        <v>0.76</v>
      </c>
      <c r="BF200" cm="1">
        <f t="array" ref="BF200">_xlfn.IFS(BE200="NA", "NA",BA200="Direct rLV % whole brain", BE200, BA200="Indirect rLV % whole brain", BE200, BA200="Direct rLV % hemisphere", BE200/2, BA200="Indirect rLV % hemisphere", BE200/2, AND(F200="Mouse", BA200="mm3"), (BE200/508.91)*100, AND(F200="Rat", BA200="mm3"), (BE200/1971)*100, AND(F200="Mouse", BA200="ul"), (BE200/508.91)*100, AND(F200="Rat", BA200="ul"), (BE200/1971)*100,  AND(F200="Mouse", BA200="nl"), (BE200/508910)*100, AND(F200="Rat", BA200="nl"), (BE200/1971000)*100, AND(F200="Mouse", BA200="cm3"), (BE200/0.50891)*100, AND(F200="Rat", BA200="cm3"), (BE200/1.971)*100, AND(F200="Mouse", BA200="mL"), (BE200/0.50891)*100, AND(F200="Rat", BA200="mL"), (BE200/1.971)*100, TRUE, "NA")</f>
        <v>0.14933878288891947</v>
      </c>
      <c r="BG200" t="str" cm="1">
        <f t="array" ref="BG200">_xlfn.IFS(AZ200="NA", "NA", BB200="NR", "NA", BB200="SD", AZ200, BB200="SE", AZ200*(SQRT(R200)), BB200="SEM", AZ200*(SQRT(R200)), TRUE, "NA")</f>
        <v>NA</v>
      </c>
      <c r="BH200" s="32" t="s">
        <v>154</v>
      </c>
      <c r="BI200" s="31" t="s">
        <v>153</v>
      </c>
      <c r="BJ200" s="31" t="s">
        <v>154</v>
      </c>
    </row>
    <row r="201" spans="1:63" x14ac:dyDescent="0.3">
      <c r="A201" t="s">
        <v>1174</v>
      </c>
      <c r="B201" t="s">
        <v>1173</v>
      </c>
      <c r="C201">
        <v>2016</v>
      </c>
      <c r="D201" t="s">
        <v>1175</v>
      </c>
      <c r="E201" t="s">
        <v>647</v>
      </c>
      <c r="F201" t="s">
        <v>23</v>
      </c>
      <c r="G201" t="s">
        <v>10</v>
      </c>
      <c r="H201" t="s">
        <v>34</v>
      </c>
      <c r="I201" t="s">
        <v>12</v>
      </c>
      <c r="J201" t="s">
        <v>8</v>
      </c>
      <c r="K201" t="s">
        <v>8</v>
      </c>
      <c r="L201">
        <v>13</v>
      </c>
      <c r="M201" t="s">
        <v>8</v>
      </c>
      <c r="N201">
        <v>240</v>
      </c>
      <c r="O201">
        <f t="shared" ref="O201:O203" si="37">AVERAGE(N201,P201)</f>
        <v>290</v>
      </c>
      <c r="P201">
        <v>340</v>
      </c>
      <c r="Q201">
        <v>2</v>
      </c>
      <c r="R201">
        <v>3</v>
      </c>
      <c r="S201" t="s">
        <v>8</v>
      </c>
      <c r="T201" t="s">
        <v>8</v>
      </c>
      <c r="U201" s="18" t="s">
        <v>9</v>
      </c>
      <c r="V201" t="s">
        <v>8</v>
      </c>
      <c r="W201" t="s">
        <v>8</v>
      </c>
      <c r="X201" t="s">
        <v>9</v>
      </c>
      <c r="Y201" t="s">
        <v>8</v>
      </c>
      <c r="Z201" t="s">
        <v>8</v>
      </c>
      <c r="AA201" t="s">
        <v>9</v>
      </c>
      <c r="AB201" t="s">
        <v>636</v>
      </c>
      <c r="AC201" t="s">
        <v>9</v>
      </c>
      <c r="AD201" t="s">
        <v>9</v>
      </c>
      <c r="AE201" t="s">
        <v>9</v>
      </c>
      <c r="AF201" t="s">
        <v>9</v>
      </c>
      <c r="AG201" t="s">
        <v>8</v>
      </c>
      <c r="AH201" t="s">
        <v>9</v>
      </c>
      <c r="AI201" t="str" cm="1">
        <f t="array" ref="AI201">_xlfn.IFS(AF201="NR", "NA", AG201="NR", "NA", AG201="NA","NA", AND(AG201="mg/ml", AH201&lt;&gt;"NR"), ((AF201/2492)*AH201*1000000), AND(AG201="mol/L", AH201&lt;&gt;"NR"), AF201*AH201*1000000, AG201="nmol", AF201*1000, AND(AG201="nmol/uL", AH201&lt;&gt;"NR"), AF201*AH201*1000, AG201="pg", AF201/2492, AG201="pmol", AF201, AND(AG201="pmol/uL", AH201&lt;&gt;"NR"), AF201*AH201, AG201="ug", AF201/2492*1000000, AND(AG201="ug/mL", AH201&lt;&gt;"NR"), (AF201/1000*AH201)/2492*1000000, AND(AG201="ug/uL", AH201&lt;&gt;"NR"), (AF201*AH201)/2492*1000000, AND(AG201="umol/L", AH201&lt;&gt;"NR"), AH201*AF201, TRUE, "NA")</f>
        <v>NA</v>
      </c>
      <c r="AJ201" t="s">
        <v>9</v>
      </c>
      <c r="AK201" t="s">
        <v>9</v>
      </c>
      <c r="AL201" t="s">
        <v>9</v>
      </c>
      <c r="AM201" t="s">
        <v>8</v>
      </c>
      <c r="AN201" t="s">
        <v>9</v>
      </c>
      <c r="AO201" s="18" t="s">
        <v>12</v>
      </c>
      <c r="AP201" t="s">
        <v>8</v>
      </c>
      <c r="AQ201" t="s">
        <v>8</v>
      </c>
      <c r="AR201" t="s">
        <v>8</v>
      </c>
      <c r="AS201" s="18">
        <v>23</v>
      </c>
      <c r="AT201" t="s">
        <v>349</v>
      </c>
      <c r="AU201" t="s">
        <v>8</v>
      </c>
      <c r="AV201" t="s">
        <v>8</v>
      </c>
      <c r="AW201">
        <v>23.6</v>
      </c>
      <c r="AX201">
        <v>4.93</v>
      </c>
      <c r="AY201" t="s">
        <v>8</v>
      </c>
      <c r="AZ201" t="s">
        <v>8</v>
      </c>
      <c r="BA201" t="s">
        <v>656</v>
      </c>
      <c r="BB201" t="s">
        <v>122</v>
      </c>
      <c r="BC201" cm="1">
        <f t="array" ref="BC201">_xlfn.IFS(BA201="Direct rLV % whole brain", AW201, BA201="Indirect rLV % whole brain", AW201, BA201="Direct rLV % hemisphere", AW201/2, BA201="Indirect rLV % hemisphere", AW201/2, AND(F201="Mouse", BA201="mm3"), (AW201/508.91)*100, AND(F201="Rat", BA201="mm3"), (AW201/1971)*100, AND(F201="Mouse", BA201="ul"), (AW201/508.91)*100, AND(F201="Rat", BA201="ul"), (AW201/1971)*100,  AND(F201="Mouse", BA201="nl"), (AW201/508910)*100, AND(F201="Rat", BA201="nl"), (AW201/1971000)*100, AND(F201="Mouse", BA201="cm3"), (AW201/0.50891)*100, AND(F201="Rat", BA201="cm3"), (AW201/1.971)*100, AND(F201="Mouse", BA201="mL"), (AW201/0.50891)*100, AND(F201="Rat", BA201="mL"), (AW201/1.971)*100, TRUE, "NA")</f>
        <v>1.1973617453069507</v>
      </c>
      <c r="BD201" t="str" cm="1">
        <f t="array" ref="BD201">_xlfn.IFS(AZ201="NA", "NA",BA201="Direct rLV % whole brain", AY201, BA201="Indirect rLV % whole brain", AY201, BA201="Direct rLV % hemisphere", AY201/2, BA201="Indirect rLV % hemisphere", AY201/2, AND(F201="Mouse", BA201="mm3"), (AY201/508.91)*100, AND(F201="Rat", BA201="mm3"), (AY201/1971)*100, AND(F201="Mouse", BA201="ul"), (AY201/508.91)*100, AND(F201="Rat", BA201="ul"), (AY201/1971)*100,  AND(F201="Mouse", BA201="nl"), (AY201/508910)*100, AND(F201="Rat", BA201="nl"), (AY201/1971000)*100, AND(F201="Mouse", BA201="cm3"), (AY201/0.50891)*100, AND(F201="Rat", BA201="cm3"), (AY201/1.971)*100, AND(F201="Mouse", BA201="mL"), (AY201/0.50891)*100, AND(F201="Rat", BA201="mL"), (AY201/1.971)*100, TRUE, "NA")</f>
        <v>NA</v>
      </c>
      <c r="BE201" cm="1">
        <f t="array" ref="BE201">_xlfn.IFS(AX201="NA", "NA", BB201="NR", "NA", BB201="SD", AX201, BB201="SE", AX201*(SQRT(R201)), BB201="SEM", AX201*(SQRT(R201)), TRUE, "NA")</f>
        <v>4.93</v>
      </c>
      <c r="BF201" cm="1">
        <f t="array" ref="BF201">_xlfn.IFS(BE201="NA", "NA",BA201="Direct rLV % whole brain", BE201, BA201="Indirect rLV % whole brain", BE201, BA201="Direct rLV % hemisphere", BE201/2, BA201="Indirect rLV % hemisphere", BE201/2, AND(F201="Mouse", BA201="mm3"), (BE201/508.91)*100, AND(F201="Rat", BA201="mm3"), (BE201/1971)*100, AND(F201="Mouse", BA201="ul"), (BE201/508.91)*100, AND(F201="Rat", BA201="ul"), (BE201/1971)*100,  AND(F201="Mouse", BA201="nl"), (BE201/508910)*100, AND(F201="Rat", BA201="nl"), (BE201/1971000)*100, AND(F201="Mouse", BA201="cm3"), (BE201/0.50891)*100, AND(F201="Rat", BA201="cm3"), (BE201/1.971)*100, AND(F201="Mouse", BA201="mL"), (BE201/0.50891)*100, AND(F201="Rat", BA201="mL"), (BE201/1.971)*100, TRUE, "NA")</f>
        <v>0.25012683916793504</v>
      </c>
      <c r="BG201" t="str" cm="1">
        <f t="array" ref="BG201">_xlfn.IFS(AZ201="NA", "NA", BB201="NR", "NA", BB201="SD", AZ201, BB201="SE", AZ201*(SQRT(R201)), BB201="SEM", AZ201*(SQRT(R201)), TRUE, "NA")</f>
        <v>NA</v>
      </c>
      <c r="BH201" s="18" t="s">
        <v>153</v>
      </c>
      <c r="BI201" t="s">
        <v>154</v>
      </c>
      <c r="BJ201" t="s">
        <v>154</v>
      </c>
      <c r="BK201" t="s">
        <v>1176</v>
      </c>
    </row>
    <row r="202" spans="1:63" s="31" customFormat="1" x14ac:dyDescent="0.3">
      <c r="A202" s="31" t="s">
        <v>1178</v>
      </c>
      <c r="B202" s="31" t="s">
        <v>1177</v>
      </c>
      <c r="C202" s="31">
        <v>2010</v>
      </c>
      <c r="D202" s="31" t="s">
        <v>1179</v>
      </c>
      <c r="E202" s="31" t="s">
        <v>647</v>
      </c>
      <c r="F202" s="31" t="s">
        <v>23</v>
      </c>
      <c r="G202" s="31" t="s">
        <v>11</v>
      </c>
      <c r="H202" s="31" t="s">
        <v>34</v>
      </c>
      <c r="I202" s="31" t="s">
        <v>168</v>
      </c>
      <c r="J202" s="31" t="s">
        <v>8</v>
      </c>
      <c r="K202" s="31">
        <v>87</v>
      </c>
      <c r="L202" s="31">
        <f>AVERAGE(K202,M202)</f>
        <v>93.5</v>
      </c>
      <c r="M202" s="31">
        <v>100</v>
      </c>
      <c r="N202" s="31">
        <v>480</v>
      </c>
      <c r="O202" s="31">
        <f t="shared" si="37"/>
        <v>580</v>
      </c>
      <c r="P202" s="31">
        <v>680</v>
      </c>
      <c r="Q202" s="31">
        <v>1</v>
      </c>
      <c r="R202" s="31">
        <v>15</v>
      </c>
      <c r="S202" s="31" t="s">
        <v>8</v>
      </c>
      <c r="T202" s="31" t="s">
        <v>8</v>
      </c>
      <c r="U202" s="32" t="s">
        <v>68</v>
      </c>
      <c r="V202" s="31" t="s">
        <v>8</v>
      </c>
      <c r="W202" s="31" t="s">
        <v>8</v>
      </c>
      <c r="X202" s="31" t="s">
        <v>68</v>
      </c>
      <c r="Y202" s="31" t="s">
        <v>8</v>
      </c>
      <c r="Z202" s="31" t="s">
        <v>8</v>
      </c>
      <c r="AA202" s="31" t="s">
        <v>640</v>
      </c>
      <c r="AB202" s="31" t="s">
        <v>636</v>
      </c>
      <c r="AC202" s="31" t="s">
        <v>9</v>
      </c>
      <c r="AD202" s="31" t="s">
        <v>634</v>
      </c>
      <c r="AE202" s="31">
        <v>0</v>
      </c>
      <c r="AF202" s="31">
        <v>200</v>
      </c>
      <c r="AG202" s="31" t="s">
        <v>745</v>
      </c>
      <c r="AH202" s="31">
        <v>8</v>
      </c>
      <c r="AI202" cm="1">
        <f t="array" ref="AI202">_xlfn.IFS(AF202="NR", "NA", AG202="NR", "NA", AG202="NA","NA", AND(AG202="mg/ml", AH202&lt;&gt;"NR"), ((AF202/2492)*AH202*1000000), AND(AG202="mol/L", AH202&lt;&gt;"NR"), AF202*AH202*1000000, AG202="nmol", AF202*1000, AND(AG202="nmol/uL", AH202&lt;&gt;"NR"), AF202*AH202*1000, AG202="pg", AF202/2492, AG202="pmol", AF202, AND(AG202="pmol/uL", AH202&lt;&gt;"NR"), AF202*AH202, AG202="ug", AF202/2492*1000000, AND(AG202="ug/mL", AH202&lt;&gt;"NR"), (AF202/1000*AH202)/2492*1000000, AND(AG202="ug/uL", AH202&lt;&gt;"NR"), (AF202*AH202)/2492*1000000, AND(AG202="umol/L", AH202&lt;&gt;"NR"), AH202*AF202, TRUE, "NA")</f>
        <v>1600</v>
      </c>
      <c r="AJ202" s="31">
        <v>16</v>
      </c>
      <c r="AK202" s="31">
        <v>4</v>
      </c>
      <c r="AL202" s="31" t="s">
        <v>665</v>
      </c>
      <c r="AM202" s="31" t="s">
        <v>8</v>
      </c>
      <c r="AN202" s="31" t="s">
        <v>9</v>
      </c>
      <c r="AO202" s="32" t="s">
        <v>12</v>
      </c>
      <c r="AP202" s="31" t="s">
        <v>8</v>
      </c>
      <c r="AQ202" s="31" t="s">
        <v>8</v>
      </c>
      <c r="AR202" s="31" t="s">
        <v>8</v>
      </c>
      <c r="AS202" s="32">
        <v>840</v>
      </c>
      <c r="AT202" s="31" t="s">
        <v>271</v>
      </c>
      <c r="AU202" s="31" t="s">
        <v>732</v>
      </c>
      <c r="AV202" s="31" t="s">
        <v>8</v>
      </c>
      <c r="AW202" s="31">
        <v>97.4</v>
      </c>
      <c r="AX202" s="31">
        <v>17</v>
      </c>
      <c r="AY202" s="31" t="s">
        <v>8</v>
      </c>
      <c r="AZ202" s="31" t="s">
        <v>8</v>
      </c>
      <c r="BA202" s="31" t="s">
        <v>656</v>
      </c>
      <c r="BB202" s="31" t="s">
        <v>123</v>
      </c>
      <c r="BC202" cm="1">
        <f t="array" ref="BC202">_xlfn.IFS(BA202="Direct rLV % whole brain", AW202, BA202="Indirect rLV % whole brain", AW202, BA202="Direct rLV % hemisphere", AW202/2, BA202="Indirect rLV % hemisphere", AW202/2, AND(F202="Mouse", BA202="mm3"), (AW202/508.91)*100, AND(F202="Rat", BA202="mm3"), (AW202/1971)*100, AND(F202="Mouse", BA202="ul"), (AW202/508.91)*100, AND(F202="Rat", BA202="ul"), (AW202/1971)*100,  AND(F202="Mouse", BA202="nl"), (AW202/508910)*100, AND(F202="Rat", BA202="nl"), (AW202/1971000)*100, AND(F202="Mouse", BA202="cm3"), (AW202/0.50891)*100, AND(F202="Rat", BA202="cm3"), (AW202/1.971)*100, AND(F202="Mouse", BA202="mL"), (AW202/0.50891)*100, AND(F202="Rat", BA202="mL"), (AW202/1.971)*100, TRUE, "NA")</f>
        <v>4.9416539827498731</v>
      </c>
      <c r="BD202" t="str" cm="1">
        <f t="array" ref="BD202">_xlfn.IFS(AZ202="NA", "NA",BA202="Direct rLV % whole brain", AY202, BA202="Indirect rLV % whole brain", AY202, BA202="Direct rLV % hemisphere", AY202/2, BA202="Indirect rLV % hemisphere", AY202/2, AND(F202="Mouse", BA202="mm3"), (AY202/508.91)*100, AND(F202="Rat", BA202="mm3"), (AY202/1971)*100, AND(F202="Mouse", BA202="ul"), (AY202/508.91)*100, AND(F202="Rat", BA202="ul"), (AY202/1971)*100,  AND(F202="Mouse", BA202="nl"), (AY202/508910)*100, AND(F202="Rat", BA202="nl"), (AY202/1971000)*100, AND(F202="Mouse", BA202="cm3"), (AY202/0.50891)*100, AND(F202="Rat", BA202="cm3"), (AY202/1.971)*100, AND(F202="Mouse", BA202="mL"), (AY202/0.50891)*100, AND(F202="Rat", BA202="mL"), (AY202/1.971)*100, TRUE, "NA")</f>
        <v>NA</v>
      </c>
      <c r="BE202" cm="1">
        <f t="array" ref="BE202">_xlfn.IFS(AX202="NA", "NA", BB202="NR", "NA", BB202="SD", AX202, BB202="SE", AX202*(SQRT(R202)), BB202="SEM", AX202*(SQRT(R202)), TRUE, "NA")</f>
        <v>65.840716885526092</v>
      </c>
      <c r="BF202" cm="1">
        <f t="array" ref="BF202">_xlfn.IFS(BE202="NA", "NA",BA202="Direct rLV % whole brain", BE202, BA202="Indirect rLV % whole brain", BE202, BA202="Direct rLV % hemisphere", BE202/2, BA202="Indirect rLV % hemisphere", BE202/2, AND(F202="Mouse", BA202="mm3"), (BE202/508.91)*100, AND(F202="Rat", BA202="mm3"), (BE202/1971)*100, AND(F202="Mouse", BA202="ul"), (BE202/508.91)*100, AND(F202="Rat", BA202="ul"), (BE202/1971)*100,  AND(F202="Mouse", BA202="nl"), (BE202/508910)*100, AND(F202="Rat", BA202="nl"), (BE202/1971000)*100, AND(F202="Mouse", BA202="cm3"), (BE202/0.50891)*100, AND(F202="Rat", BA202="cm3"), (BE202/1.971)*100, AND(F202="Mouse", BA202="mL"), (BE202/0.50891)*100, AND(F202="Rat", BA202="mL"), (BE202/1.971)*100, TRUE, "NA")</f>
        <v>3.3404726984031505</v>
      </c>
      <c r="BG202" t="str" cm="1">
        <f t="array" ref="BG202">_xlfn.IFS(AZ202="NA", "NA", BB202="NR", "NA", BB202="SD", AZ202, BB202="SE", AZ202*(SQRT(R202)), BB202="SEM", AZ202*(SQRT(R202)), TRUE, "NA")</f>
        <v>NA</v>
      </c>
      <c r="BH202" s="32" t="s">
        <v>154</v>
      </c>
      <c r="BI202" s="31" t="s">
        <v>154</v>
      </c>
      <c r="BJ202" s="31" t="s">
        <v>154</v>
      </c>
    </row>
    <row r="203" spans="1:63" x14ac:dyDescent="0.3">
      <c r="A203" t="s">
        <v>1181</v>
      </c>
      <c r="B203" t="s">
        <v>1180</v>
      </c>
      <c r="C203">
        <v>2014</v>
      </c>
      <c r="D203" t="s">
        <v>1182</v>
      </c>
      <c r="E203" t="s">
        <v>647</v>
      </c>
      <c r="F203" t="s">
        <v>24</v>
      </c>
      <c r="G203" t="s">
        <v>297</v>
      </c>
      <c r="H203" t="s">
        <v>35</v>
      </c>
      <c r="I203" t="s">
        <v>12</v>
      </c>
      <c r="J203" t="s">
        <v>8</v>
      </c>
      <c r="K203">
        <v>12</v>
      </c>
      <c r="L203">
        <f t="shared" ref="L203:L204" si="38">AVERAGE(K203,M203)</f>
        <v>13</v>
      </c>
      <c r="M203">
        <v>14</v>
      </c>
      <c r="N203">
        <v>22</v>
      </c>
      <c r="O203">
        <f t="shared" si="37"/>
        <v>25.5</v>
      </c>
      <c r="P203">
        <v>29</v>
      </c>
      <c r="Q203">
        <v>1</v>
      </c>
      <c r="R203">
        <v>10</v>
      </c>
      <c r="S203" t="s">
        <v>8</v>
      </c>
      <c r="T203" t="s">
        <v>8</v>
      </c>
      <c r="U203" s="18" t="s">
        <v>298</v>
      </c>
      <c r="V203" t="s">
        <v>8</v>
      </c>
      <c r="W203" t="s">
        <v>8</v>
      </c>
      <c r="X203" t="s">
        <v>298</v>
      </c>
      <c r="Y203" t="s">
        <v>8</v>
      </c>
      <c r="Z203" t="s">
        <v>8</v>
      </c>
      <c r="AA203" t="s">
        <v>640</v>
      </c>
      <c r="AB203" t="s">
        <v>636</v>
      </c>
      <c r="AC203" t="s">
        <v>9</v>
      </c>
      <c r="AD203" t="s">
        <v>634</v>
      </c>
      <c r="AE203">
        <v>0</v>
      </c>
      <c r="AF203">
        <v>1</v>
      </c>
      <c r="AG203" t="s">
        <v>580</v>
      </c>
      <c r="AH203">
        <v>0.6</v>
      </c>
      <c r="AI203" cm="1">
        <f t="array" ref="AI203">_xlfn.IFS(AF203="NR", "NA", AG203="NR", "NA", AG203="NA","NA", AND(AG203="mg/ml", AH203&lt;&gt;"NR"), ((AF203/2492)*AH203*1000000), AND(AG203="mol/L", AH203&lt;&gt;"NR"), AF203*AH203*1000000, AG203="nmol", AF203*1000, AND(AG203="nmol/uL", AH203&lt;&gt;"NR"), AF203*AH203*1000, AG203="pg", AF203/2492, AG203="pmol", AF203, AND(AG203="pmol/uL", AH203&lt;&gt;"NR"), AF203*AH203, AG203="ug", AF203/2492*1000000, AND(AG203="ug/mL", AH203&lt;&gt;"NR"), (AF203/1000*AH203)/2492*1000000, AND(AG203="ug/uL", AH203&lt;&gt;"NR"), (AF203*AH203)/2492*1000000, AND(AG203="umol/L", AH203&lt;&gt;"NR"), AH203*AF203, TRUE, "NA")</f>
        <v>240.77046548956662</v>
      </c>
      <c r="AJ203" t="s">
        <v>9</v>
      </c>
      <c r="AK203">
        <v>3</v>
      </c>
      <c r="AL203" t="s">
        <v>9</v>
      </c>
      <c r="AM203" t="s">
        <v>8</v>
      </c>
      <c r="AN203" t="s">
        <v>9</v>
      </c>
      <c r="AO203" s="18" t="s">
        <v>12</v>
      </c>
      <c r="AP203" t="s">
        <v>8</v>
      </c>
      <c r="AQ203" t="s">
        <v>8</v>
      </c>
      <c r="AR203" t="s">
        <v>8</v>
      </c>
      <c r="AS203" s="18">
        <v>720</v>
      </c>
      <c r="AT203" t="s">
        <v>271</v>
      </c>
      <c r="AU203" t="s">
        <v>654</v>
      </c>
      <c r="AV203" t="s">
        <v>8</v>
      </c>
      <c r="AW203">
        <v>0.76</v>
      </c>
      <c r="AX203">
        <v>0.18</v>
      </c>
      <c r="AY203" t="s">
        <v>8</v>
      </c>
      <c r="AZ203" t="s">
        <v>8</v>
      </c>
      <c r="BA203" t="s">
        <v>656</v>
      </c>
      <c r="BB203" t="s">
        <v>124</v>
      </c>
      <c r="BC203" cm="1">
        <f t="array" ref="BC203">_xlfn.IFS(BA203="Direct rLV % whole brain", AW203, BA203="Indirect rLV % whole brain", AW203, BA203="Direct rLV % hemisphere", AW203/2, BA203="Indirect rLV % hemisphere", AW203/2, AND(F203="Mouse", BA203="mm3"), (AW203/508.91)*100, AND(F203="Rat", BA203="mm3"), (AW203/1971)*100, AND(F203="Mouse", BA203="ul"), (AW203/508.91)*100, AND(F203="Rat", BA203="ul"), (AW203/1971)*100,  AND(F203="Mouse", BA203="nl"), (AW203/508910)*100, AND(F203="Rat", BA203="nl"), (AW203/1971000)*100, AND(F203="Mouse", BA203="cm3"), (AW203/0.50891)*100, AND(F203="Rat", BA203="cm3"), (AW203/1.971)*100, AND(F203="Mouse", BA203="mL"), (AW203/0.50891)*100, AND(F203="Rat", BA203="mL"), (AW203/1.971)*100, TRUE, "NA")</f>
        <v>0.14933878288891947</v>
      </c>
      <c r="BD203" t="str" cm="1">
        <f t="array" ref="BD203">_xlfn.IFS(AZ203="NA", "NA",BA203="Direct rLV % whole brain", AY203, BA203="Indirect rLV % whole brain", AY203, BA203="Direct rLV % hemisphere", AY203/2, BA203="Indirect rLV % hemisphere", AY203/2, AND(F203="Mouse", BA203="mm3"), (AY203/508.91)*100, AND(F203="Rat", BA203="mm3"), (AY203/1971)*100, AND(F203="Mouse", BA203="ul"), (AY203/508.91)*100, AND(F203="Rat", BA203="ul"), (AY203/1971)*100,  AND(F203="Mouse", BA203="nl"), (AY203/508910)*100, AND(F203="Rat", BA203="nl"), (AY203/1971000)*100, AND(F203="Mouse", BA203="cm3"), (AY203/0.50891)*100, AND(F203="Rat", BA203="cm3"), (AY203/1.971)*100, AND(F203="Mouse", BA203="mL"), (AY203/0.50891)*100, AND(F203="Rat", BA203="mL"), (AY203/1.971)*100, TRUE, "NA")</f>
        <v>NA</v>
      </c>
      <c r="BE203" cm="1">
        <f t="array" ref="BE203">_xlfn.IFS(AX203="NA", "NA", BB203="NR", "NA", BB203="SD", AX203, BB203="SE", AX203*(SQRT(R203)), BB203="SEM", AX203*(SQRT(R203)), TRUE, "NA")</f>
        <v>0.56920997883030833</v>
      </c>
      <c r="BF203" cm="1">
        <f t="array" ref="BF203">_xlfn.IFS(BE203="NA", "NA",BA203="Direct rLV % whole brain", BE203, BA203="Indirect rLV % whole brain", BE203, BA203="Direct rLV % hemisphere", BE203/2, BA203="Indirect rLV % hemisphere", BE203/2, AND(F203="Mouse", BA203="mm3"), (BE203/508.91)*100, AND(F203="Rat", BA203="mm3"), (BE203/1971)*100, AND(F203="Mouse", BA203="ul"), (BE203/508.91)*100, AND(F203="Rat", BA203="ul"), (BE203/1971)*100,  AND(F203="Mouse", BA203="nl"), (BE203/508910)*100, AND(F203="Rat", BA203="nl"), (BE203/1971000)*100, AND(F203="Mouse", BA203="cm3"), (BE203/0.50891)*100, AND(F203="Rat", BA203="cm3"), (BE203/1.971)*100, AND(F203="Mouse", BA203="mL"), (BE203/0.50891)*100, AND(F203="Rat", BA203="mL"), (BE203/1.971)*100, TRUE, "NA")</f>
        <v>0.11184884927203402</v>
      </c>
      <c r="BG203" t="str" cm="1">
        <f t="array" ref="BG203">_xlfn.IFS(AZ203="NA", "NA", BB203="NR", "NA", BB203="SD", AZ203, BB203="SE", AZ203*(SQRT(R203)), BB203="SEM", AZ203*(SQRT(R203)), TRUE, "NA")</f>
        <v>NA</v>
      </c>
      <c r="BH203" s="18" t="s">
        <v>154</v>
      </c>
      <c r="BI203" t="s">
        <v>154</v>
      </c>
      <c r="BJ203" t="s">
        <v>154</v>
      </c>
    </row>
    <row r="204" spans="1:63" s="31" customFormat="1" x14ac:dyDescent="0.3">
      <c r="A204" s="31" t="s">
        <v>1183</v>
      </c>
      <c r="B204" s="31" t="s">
        <v>1026</v>
      </c>
      <c r="C204" s="31">
        <v>2009</v>
      </c>
      <c r="D204" s="31" t="s">
        <v>1184</v>
      </c>
      <c r="E204" s="31" t="s">
        <v>647</v>
      </c>
      <c r="F204" s="31" t="s">
        <v>24</v>
      </c>
      <c r="G204" s="31" t="s">
        <v>297</v>
      </c>
      <c r="H204" s="31" t="s">
        <v>34</v>
      </c>
      <c r="I204" s="31" t="s">
        <v>12</v>
      </c>
      <c r="J204" s="31" t="s">
        <v>8</v>
      </c>
      <c r="K204" s="31">
        <v>13</v>
      </c>
      <c r="L204" s="31">
        <f t="shared" si="38"/>
        <v>17.5</v>
      </c>
      <c r="M204" s="31">
        <v>22</v>
      </c>
      <c r="N204" s="31" t="s">
        <v>9</v>
      </c>
      <c r="O204" s="31" t="s">
        <v>9</v>
      </c>
      <c r="P204" s="31" t="s">
        <v>9</v>
      </c>
      <c r="Q204" s="31">
        <v>1</v>
      </c>
      <c r="R204" s="31">
        <v>9</v>
      </c>
      <c r="S204" s="31" t="s">
        <v>8</v>
      </c>
      <c r="T204" s="31" t="s">
        <v>8</v>
      </c>
      <c r="U204" s="32" t="s">
        <v>71</v>
      </c>
      <c r="V204" s="31" t="s">
        <v>288</v>
      </c>
      <c r="W204" s="31" t="s">
        <v>8</v>
      </c>
      <c r="X204" s="31" t="s">
        <v>71</v>
      </c>
      <c r="Y204" s="31" t="s">
        <v>288</v>
      </c>
      <c r="Z204" s="31" t="s">
        <v>8</v>
      </c>
      <c r="AA204" s="31" t="s">
        <v>640</v>
      </c>
      <c r="AB204" s="31" t="s">
        <v>636</v>
      </c>
      <c r="AC204" s="31" t="s">
        <v>9</v>
      </c>
      <c r="AD204" s="31" t="s">
        <v>634</v>
      </c>
      <c r="AE204" s="31">
        <v>0</v>
      </c>
      <c r="AF204" s="31">
        <v>320</v>
      </c>
      <c r="AG204" s="31" t="s">
        <v>650</v>
      </c>
      <c r="AH204" s="31">
        <v>4</v>
      </c>
      <c r="AI204" cm="1">
        <f t="array" ref="AI204">_xlfn.IFS(AF204="NR", "NA", AG204="NR", "NA", AG204="NA","NA", AND(AG204="mg/ml", AH204&lt;&gt;"NR"), ((AF204/2492)*AH204*1000000), AND(AG204="mol/L", AH204&lt;&gt;"NR"), AF204*AH204*1000000, AG204="nmol", AF204*1000, AND(AG204="nmol/uL", AH204&lt;&gt;"NR"), AF204*AH204*1000, AG204="pg", AF204/2492, AG204="pmol", AF204, AND(AG204="pmol/uL", AH204&lt;&gt;"NR"), AF204*AH204, AG204="ug", AF204/2492*1000000, AND(AG204="ug/mL", AH204&lt;&gt;"NR"), (AF204/1000*AH204)/2492*1000000, AND(AG204="ug/uL", AH204&lt;&gt;"NR"), (AF204*AH204)/2492*1000000, AND(AG204="umol/L", AH204&lt;&gt;"NR"), AH204*AF204, TRUE, "NA")</f>
        <v>320</v>
      </c>
      <c r="AJ204" s="31">
        <v>10</v>
      </c>
      <c r="AK204" s="31">
        <v>1</v>
      </c>
      <c r="AL204" s="31" t="s">
        <v>701</v>
      </c>
      <c r="AM204" s="31" t="s">
        <v>8</v>
      </c>
      <c r="AN204" s="31" t="s">
        <v>857</v>
      </c>
      <c r="AO204" s="32" t="s">
        <v>12</v>
      </c>
      <c r="AP204" s="31" t="s">
        <v>8</v>
      </c>
      <c r="AQ204" s="31" t="s">
        <v>8</v>
      </c>
      <c r="AR204" s="31" t="s">
        <v>8</v>
      </c>
      <c r="AS204" s="32">
        <v>624</v>
      </c>
      <c r="AT204" s="31" t="s">
        <v>271</v>
      </c>
      <c r="AU204" s="31" t="s">
        <v>663</v>
      </c>
      <c r="AV204" s="31" t="s">
        <v>8</v>
      </c>
      <c r="AW204" s="31">
        <v>1.1200000000000001</v>
      </c>
      <c r="AX204" s="31">
        <v>0.36</v>
      </c>
      <c r="AY204" s="31" t="s">
        <v>8</v>
      </c>
      <c r="AZ204" s="31" t="s">
        <v>8</v>
      </c>
      <c r="BA204" s="31" t="s">
        <v>656</v>
      </c>
      <c r="BB204" s="31" t="s">
        <v>123</v>
      </c>
      <c r="BC204" cm="1">
        <f t="array" ref="BC204">_xlfn.IFS(BA204="Direct rLV % whole brain", AW204, BA204="Indirect rLV % whole brain", AW204, BA204="Direct rLV % hemisphere", AW204/2, BA204="Indirect rLV % hemisphere", AW204/2, AND(F204="Mouse", BA204="mm3"), (AW204/508.91)*100, AND(F204="Rat", BA204="mm3"), (AW204/1971)*100, AND(F204="Mouse", BA204="ul"), (AW204/508.91)*100, AND(F204="Rat", BA204="ul"), (AW204/1971)*100,  AND(F204="Mouse", BA204="nl"), (AW204/508910)*100, AND(F204="Rat", BA204="nl"), (AW204/1971000)*100, AND(F204="Mouse", BA204="cm3"), (AW204/0.50891)*100, AND(F204="Rat", BA204="cm3"), (AW204/1.971)*100, AND(F204="Mouse", BA204="mL"), (AW204/0.50891)*100, AND(F204="Rat", BA204="mL"), (AW204/1.971)*100, TRUE, "NA")</f>
        <v>0.22007820636261816</v>
      </c>
      <c r="BD204" t="str" cm="1">
        <f t="array" ref="BD204">_xlfn.IFS(AZ204="NA", "NA",BA204="Direct rLV % whole brain", AY204, BA204="Indirect rLV % whole brain", AY204, BA204="Direct rLV % hemisphere", AY204/2, BA204="Indirect rLV % hemisphere", AY204/2, AND(F204="Mouse", BA204="mm3"), (AY204/508.91)*100, AND(F204="Rat", BA204="mm3"), (AY204/1971)*100, AND(F204="Mouse", BA204="ul"), (AY204/508.91)*100, AND(F204="Rat", BA204="ul"), (AY204/1971)*100,  AND(F204="Mouse", BA204="nl"), (AY204/508910)*100, AND(F204="Rat", BA204="nl"), (AY204/1971000)*100, AND(F204="Mouse", BA204="cm3"), (AY204/0.50891)*100, AND(F204="Rat", BA204="cm3"), (AY204/1.971)*100, AND(F204="Mouse", BA204="mL"), (AY204/0.50891)*100, AND(F204="Rat", BA204="mL"), (AY204/1.971)*100, TRUE, "NA")</f>
        <v>NA</v>
      </c>
      <c r="BE204" cm="1">
        <f t="array" ref="BE204">_xlfn.IFS(AX204="NA", "NA", BB204="NR", "NA", BB204="SD", AX204, BB204="SE", AX204*(SQRT(R204)), BB204="SEM", AX204*(SQRT(R204)), TRUE, "NA")</f>
        <v>1.08</v>
      </c>
      <c r="BF204" cm="1">
        <f t="array" ref="BF204">_xlfn.IFS(BE204="NA", "NA",BA204="Direct rLV % whole brain", BE204, BA204="Indirect rLV % whole brain", BE204, BA204="Direct rLV % hemisphere", BE204/2, BA204="Indirect rLV % hemisphere", BE204/2, AND(F204="Mouse", BA204="mm3"), (BE204/508.91)*100, AND(F204="Rat", BA204="mm3"), (BE204/1971)*100, AND(F204="Mouse", BA204="ul"), (BE204/508.91)*100, AND(F204="Rat", BA204="ul"), (BE204/1971)*100,  AND(F204="Mouse", BA204="nl"), (BE204/508910)*100, AND(F204="Rat", BA204="nl"), (BE204/1971000)*100, AND(F204="Mouse", BA204="cm3"), (BE204/0.50891)*100, AND(F204="Rat", BA204="cm3"), (BE204/1.971)*100, AND(F204="Mouse", BA204="mL"), (BE204/0.50891)*100, AND(F204="Rat", BA204="mL"), (BE204/1.971)*100, TRUE, "NA")</f>
        <v>0.21221827042109606</v>
      </c>
      <c r="BG204" t="str" cm="1">
        <f t="array" ref="BG204">_xlfn.IFS(AZ204="NA", "NA", BB204="NR", "NA", BB204="SD", AZ204, BB204="SE", AZ204*(SQRT(R204)), BB204="SEM", AZ204*(SQRT(R204)), TRUE, "NA")</f>
        <v>NA</v>
      </c>
      <c r="BH204" s="32" t="s">
        <v>154</v>
      </c>
      <c r="BI204" s="31" t="s">
        <v>154</v>
      </c>
      <c r="BJ204" s="31" t="s">
        <v>154</v>
      </c>
    </row>
    <row r="205" spans="1:63" x14ac:dyDescent="0.3">
      <c r="A205" t="s">
        <v>1186</v>
      </c>
      <c r="B205" t="s">
        <v>1185</v>
      </c>
      <c r="C205">
        <v>2016</v>
      </c>
      <c r="D205" t="s">
        <v>1187</v>
      </c>
      <c r="E205" t="s">
        <v>647</v>
      </c>
      <c r="F205" t="s">
        <v>23</v>
      </c>
      <c r="G205" t="s">
        <v>10</v>
      </c>
      <c r="H205" t="s">
        <v>9</v>
      </c>
      <c r="I205" t="s">
        <v>12</v>
      </c>
      <c r="J205" t="s">
        <v>8</v>
      </c>
      <c r="K205" t="s">
        <v>8</v>
      </c>
      <c r="L205">
        <v>13</v>
      </c>
      <c r="M205" t="s">
        <v>8</v>
      </c>
      <c r="N205">
        <v>250</v>
      </c>
      <c r="O205">
        <f t="shared" ref="O205:O206" si="39">AVERAGE(N205,P205)</f>
        <v>275</v>
      </c>
      <c r="P205">
        <v>300</v>
      </c>
      <c r="Q205">
        <v>2</v>
      </c>
      <c r="R205">
        <v>7</v>
      </c>
      <c r="S205" t="s">
        <v>8</v>
      </c>
      <c r="T205" t="s">
        <v>8</v>
      </c>
      <c r="U205" s="18" t="s">
        <v>71</v>
      </c>
      <c r="V205" t="s">
        <v>68</v>
      </c>
      <c r="W205" t="s">
        <v>8</v>
      </c>
      <c r="X205" t="s">
        <v>71</v>
      </c>
      <c r="Y205" t="s">
        <v>68</v>
      </c>
      <c r="Z205" t="s">
        <v>8</v>
      </c>
      <c r="AA205" t="s">
        <v>640</v>
      </c>
      <c r="AB205" t="s">
        <v>636</v>
      </c>
      <c r="AC205" t="s">
        <v>9</v>
      </c>
      <c r="AD205" t="s">
        <v>634</v>
      </c>
      <c r="AE205">
        <v>0</v>
      </c>
      <c r="AF205">
        <v>0.3</v>
      </c>
      <c r="AG205" t="s">
        <v>580</v>
      </c>
      <c r="AH205">
        <f>0.33*6</f>
        <v>1.98</v>
      </c>
      <c r="AI205" cm="1">
        <f t="array" ref="AI205">_xlfn.IFS(AF205="NR", "NA", AG205="NR", "NA", AG205="NA","NA", AND(AG205="mg/ml", AH205&lt;&gt;"NR"), ((AF205/2492)*AH205*1000000), AND(AG205="mol/L", AH205&lt;&gt;"NR"), AF205*AH205*1000000, AG205="nmol", AF205*1000, AND(AG205="nmol/uL", AH205&lt;&gt;"NR"), AF205*AH205*1000, AG205="pg", AF205/2492, AG205="pmol", AF205, AND(AG205="pmol/uL", AH205&lt;&gt;"NR"), AF205*AH205, AG205="ug", AF205/2492*1000000, AND(AG205="ug/mL", AH205&lt;&gt;"NR"), (AF205/1000*AH205)/2492*1000000, AND(AG205="ug/uL", AH205&lt;&gt;"NR"), (AF205*AH205)/2492*1000000, AND(AG205="umol/L", AH205&lt;&gt;"NR"), AH205*AF205, TRUE, "NA")</f>
        <v>238.36276083467095</v>
      </c>
      <c r="AJ205">
        <f>AH205/0.18</f>
        <v>11</v>
      </c>
      <c r="AK205">
        <v>6</v>
      </c>
      <c r="AL205" t="s">
        <v>1190</v>
      </c>
      <c r="AM205" t="s">
        <v>1189</v>
      </c>
      <c r="AN205" t="s">
        <v>852</v>
      </c>
      <c r="AO205" s="18" t="s">
        <v>12</v>
      </c>
      <c r="AP205" t="s">
        <v>8</v>
      </c>
      <c r="AQ205" t="s">
        <v>8</v>
      </c>
      <c r="AR205" t="s">
        <v>8</v>
      </c>
      <c r="AS205" s="18">
        <v>840</v>
      </c>
      <c r="AT205" t="s">
        <v>271</v>
      </c>
      <c r="AU205" t="s">
        <v>732</v>
      </c>
      <c r="AV205" t="s">
        <v>8</v>
      </c>
      <c r="AW205">
        <f>AVERAGE(1.9,3.37,3.93,4.23,4.92,5.47,6.43)</f>
        <v>4.3214285714285712</v>
      </c>
      <c r="AX205">
        <f>_xlfn.STDEV.S(1.9,3.37,3.93,4.23,4.92,5.47,6.43)</f>
        <v>1.4749963680342688</v>
      </c>
      <c r="AY205" t="s">
        <v>8</v>
      </c>
      <c r="AZ205" t="s">
        <v>8</v>
      </c>
      <c r="BA205" t="s">
        <v>203</v>
      </c>
      <c r="BB205" t="s">
        <v>122</v>
      </c>
      <c r="BC205" cm="1">
        <f t="array" ref="BC205">_xlfn.IFS(BA205="Direct rLV % whole brain", AW205, BA205="Indirect rLV % whole brain", AW205, BA205="Direct rLV % hemisphere", AW205/2, BA205="Indirect rLV % hemisphere", AW205/2, AND(F205="Mouse", BA205="mm3"), (AW205/508.91)*100, AND(F205="Rat", BA205="mm3"), (AW205/1971)*100, AND(F205="Mouse", BA205="ul"), (AW205/508.91)*100, AND(F205="Rat", BA205="ul"), (AW205/1971)*100,  AND(F205="Mouse", BA205="nl"), (AW205/508910)*100, AND(F205="Rat", BA205="nl"), (AW205/1971000)*100, AND(F205="Mouse", BA205="cm3"), (AW205/0.50891)*100, AND(F205="Rat", BA205="cm3"), (AW205/1.971)*100, AND(F205="Mouse", BA205="mL"), (AW205/0.50891)*100, AND(F205="Rat", BA205="mL"), (AW205/1.971)*100, TRUE, "NA")</f>
        <v>2.1607142857142856</v>
      </c>
      <c r="BD205" t="str" cm="1">
        <f t="array" ref="BD205">_xlfn.IFS(AZ205="NA", "NA",BA205="Direct rLV % whole brain", AY205, BA205="Indirect rLV % whole brain", AY205, BA205="Direct rLV % hemisphere", AY205/2, BA205="Indirect rLV % hemisphere", AY205/2, AND(F205="Mouse", BA205="mm3"), (AY205/508.91)*100, AND(F205="Rat", BA205="mm3"), (AY205/1971)*100, AND(F205="Mouse", BA205="ul"), (AY205/508.91)*100, AND(F205="Rat", BA205="ul"), (AY205/1971)*100,  AND(F205="Mouse", BA205="nl"), (AY205/508910)*100, AND(F205="Rat", BA205="nl"), (AY205/1971000)*100, AND(F205="Mouse", BA205="cm3"), (AY205/0.50891)*100, AND(F205="Rat", BA205="cm3"), (AY205/1.971)*100, AND(F205="Mouse", BA205="mL"), (AY205/0.50891)*100, AND(F205="Rat", BA205="mL"), (AY205/1.971)*100, TRUE, "NA")</f>
        <v>NA</v>
      </c>
      <c r="BE205" cm="1">
        <f t="array" ref="BE205">_xlfn.IFS(AX205="NA", "NA", BB205="NR", "NA", BB205="SD", AX205, BB205="SE", AX205*(SQRT(R205)), BB205="SEM", AX205*(SQRT(R205)), TRUE, "NA")</f>
        <v>1.4749963680342688</v>
      </c>
      <c r="BF205" cm="1">
        <f t="array" ref="BF205">_xlfn.IFS(BE205="NA", "NA",BA205="Direct rLV % whole brain", BE205, BA205="Indirect rLV % whole brain", BE205, BA205="Direct rLV % hemisphere", BE205/2, BA205="Indirect rLV % hemisphere", BE205/2, AND(F205="Mouse", BA205="mm3"), (BE205/508.91)*100, AND(F205="Rat", BA205="mm3"), (BE205/1971)*100, AND(F205="Mouse", BA205="ul"), (BE205/508.91)*100, AND(F205="Rat", BA205="ul"), (BE205/1971)*100,  AND(F205="Mouse", BA205="nl"), (BE205/508910)*100, AND(F205="Rat", BA205="nl"), (BE205/1971000)*100, AND(F205="Mouse", BA205="cm3"), (BE205/0.50891)*100, AND(F205="Rat", BA205="cm3"), (BE205/1.971)*100, AND(F205="Mouse", BA205="mL"), (BE205/0.50891)*100, AND(F205="Rat", BA205="mL"), (BE205/1.971)*100, TRUE, "NA")</f>
        <v>0.73749818401713441</v>
      </c>
      <c r="BG205" t="str" cm="1">
        <f t="array" ref="BG205">_xlfn.IFS(AZ205="NA", "NA", BB205="NR", "NA", BB205="SD", AZ205, BB205="SE", AZ205*(SQRT(R205)), BB205="SEM", AZ205*(SQRT(R205)), TRUE, "NA")</f>
        <v>NA</v>
      </c>
      <c r="BH205" s="18" t="s">
        <v>154</v>
      </c>
      <c r="BI205" t="s">
        <v>153</v>
      </c>
      <c r="BJ205" t="s">
        <v>154</v>
      </c>
      <c r="BK205" t="s">
        <v>1188</v>
      </c>
    </row>
    <row r="206" spans="1:63" x14ac:dyDescent="0.3">
      <c r="A206" t="s">
        <v>1186</v>
      </c>
      <c r="B206" t="s">
        <v>1185</v>
      </c>
      <c r="C206">
        <v>2016</v>
      </c>
      <c r="D206" t="s">
        <v>1187</v>
      </c>
      <c r="E206" t="s">
        <v>678</v>
      </c>
      <c r="F206" t="s">
        <v>23</v>
      </c>
      <c r="G206" t="s">
        <v>10</v>
      </c>
      <c r="H206" t="s">
        <v>9</v>
      </c>
      <c r="I206" t="s">
        <v>12</v>
      </c>
      <c r="J206" t="s">
        <v>8</v>
      </c>
      <c r="K206" t="s">
        <v>8</v>
      </c>
      <c r="L206">
        <v>13</v>
      </c>
      <c r="M206" t="s">
        <v>8</v>
      </c>
      <c r="N206">
        <v>250</v>
      </c>
      <c r="O206">
        <f t="shared" si="39"/>
        <v>275</v>
      </c>
      <c r="P206">
        <v>300</v>
      </c>
      <c r="Q206">
        <v>2</v>
      </c>
      <c r="R206">
        <v>7</v>
      </c>
      <c r="S206" t="s">
        <v>8</v>
      </c>
      <c r="T206" t="s">
        <v>8</v>
      </c>
      <c r="U206" s="18" t="s">
        <v>71</v>
      </c>
      <c r="V206" t="s">
        <v>68</v>
      </c>
      <c r="W206" t="s">
        <v>8</v>
      </c>
      <c r="X206" t="s">
        <v>71</v>
      </c>
      <c r="Y206" t="s">
        <v>68</v>
      </c>
      <c r="Z206" t="s">
        <v>8</v>
      </c>
      <c r="AA206" t="s">
        <v>640</v>
      </c>
      <c r="AB206" t="s">
        <v>636</v>
      </c>
      <c r="AC206" t="s">
        <v>9</v>
      </c>
      <c r="AD206" t="s">
        <v>634</v>
      </c>
      <c r="AE206">
        <v>0</v>
      </c>
      <c r="AF206">
        <v>0.3</v>
      </c>
      <c r="AG206" t="s">
        <v>580</v>
      </c>
      <c r="AH206">
        <f>0.33*12</f>
        <v>3.96</v>
      </c>
      <c r="AI206" cm="1">
        <f t="array" ref="AI206">_xlfn.IFS(AF206="NR", "NA", AG206="NR", "NA", AG206="NA","NA", AND(AG206="mg/ml", AH206&lt;&gt;"NR"), ((AF206/2492)*AH206*1000000), AND(AG206="mol/L", AH206&lt;&gt;"NR"), AF206*AH206*1000000, AG206="nmol", AF206*1000, AND(AG206="nmol/uL", AH206&lt;&gt;"NR"), AF206*AH206*1000, AG206="pg", AF206/2492, AG206="pmol", AF206, AND(AG206="pmol/uL", AH206&lt;&gt;"NR"), AF206*AH206, AG206="ug", AF206/2492*1000000, AND(AG206="ug/mL", AH206&lt;&gt;"NR"), (AF206/1000*AH206)/2492*1000000, AND(AG206="ug/uL", AH206&lt;&gt;"NR"), (AF206*AH206)/2492*1000000, AND(AG206="umol/L", AH206&lt;&gt;"NR"), AH206*AF206, TRUE, "NA")</f>
        <v>476.7255216693419</v>
      </c>
      <c r="AJ206">
        <f>AH206/0.18</f>
        <v>22</v>
      </c>
      <c r="AK206">
        <v>12</v>
      </c>
      <c r="AL206" t="s">
        <v>1190</v>
      </c>
      <c r="AM206" t="s">
        <v>1189</v>
      </c>
      <c r="AN206" t="s">
        <v>852</v>
      </c>
      <c r="AO206" s="18" t="s">
        <v>12</v>
      </c>
      <c r="AP206" t="s">
        <v>8</v>
      </c>
      <c r="AQ206" t="s">
        <v>8</v>
      </c>
      <c r="AR206" t="s">
        <v>8</v>
      </c>
      <c r="AS206" s="18">
        <v>840</v>
      </c>
      <c r="AT206" t="s">
        <v>271</v>
      </c>
      <c r="AU206" t="s">
        <v>732</v>
      </c>
      <c r="AV206" t="s">
        <v>8</v>
      </c>
      <c r="AW206">
        <f>AVERAGE(7.41,7.6,9.39,12.55,12.79,13.48,14.52)</f>
        <v>11.105714285714285</v>
      </c>
      <c r="AX206">
        <f>_xlfn.STDEV.S(7.41,7.6,9.39,12.55,12.79,13.48,14.52)</f>
        <v>2.9186004473768912</v>
      </c>
      <c r="AY206" t="s">
        <v>8</v>
      </c>
      <c r="AZ206" t="s">
        <v>8</v>
      </c>
      <c r="BA206" t="s">
        <v>203</v>
      </c>
      <c r="BB206" t="s">
        <v>122</v>
      </c>
      <c r="BC206" cm="1">
        <f t="array" ref="BC206">_xlfn.IFS(BA206="Direct rLV % whole brain", AW206, BA206="Indirect rLV % whole brain", AW206, BA206="Direct rLV % hemisphere", AW206/2, BA206="Indirect rLV % hemisphere", AW206/2, AND(F206="Mouse", BA206="mm3"), (AW206/508.91)*100, AND(F206="Rat", BA206="mm3"), (AW206/1971)*100, AND(F206="Mouse", BA206="ul"), (AW206/508.91)*100, AND(F206="Rat", BA206="ul"), (AW206/1971)*100,  AND(F206="Mouse", BA206="nl"), (AW206/508910)*100, AND(F206="Rat", BA206="nl"), (AW206/1971000)*100, AND(F206="Mouse", BA206="cm3"), (AW206/0.50891)*100, AND(F206="Rat", BA206="cm3"), (AW206/1.971)*100, AND(F206="Mouse", BA206="mL"), (AW206/0.50891)*100, AND(F206="Rat", BA206="mL"), (AW206/1.971)*100, TRUE, "NA")</f>
        <v>5.5528571428571425</v>
      </c>
      <c r="BD206" t="str" cm="1">
        <f t="array" ref="BD206">_xlfn.IFS(AZ206="NA", "NA",BA206="Direct rLV % whole brain", AY206, BA206="Indirect rLV % whole brain", AY206, BA206="Direct rLV % hemisphere", AY206/2, BA206="Indirect rLV % hemisphere", AY206/2, AND(F206="Mouse", BA206="mm3"), (AY206/508.91)*100, AND(F206="Rat", BA206="mm3"), (AY206/1971)*100, AND(F206="Mouse", BA206="ul"), (AY206/508.91)*100, AND(F206="Rat", BA206="ul"), (AY206/1971)*100,  AND(F206="Mouse", BA206="nl"), (AY206/508910)*100, AND(F206="Rat", BA206="nl"), (AY206/1971000)*100, AND(F206="Mouse", BA206="cm3"), (AY206/0.50891)*100, AND(F206="Rat", BA206="cm3"), (AY206/1.971)*100, AND(F206="Mouse", BA206="mL"), (AY206/0.50891)*100, AND(F206="Rat", BA206="mL"), (AY206/1.971)*100, TRUE, "NA")</f>
        <v>NA</v>
      </c>
      <c r="BE206" cm="1">
        <f t="array" ref="BE206">_xlfn.IFS(AX206="NA", "NA", BB206="NR", "NA", BB206="SD", AX206, BB206="SE", AX206*(SQRT(R206)), BB206="SEM", AX206*(SQRT(R206)), TRUE, "NA")</f>
        <v>2.9186004473768912</v>
      </c>
      <c r="BF206" cm="1">
        <f t="array" ref="BF206">_xlfn.IFS(BE206="NA", "NA",BA206="Direct rLV % whole brain", BE206, BA206="Indirect rLV % whole brain", BE206, BA206="Direct rLV % hemisphere", BE206/2, BA206="Indirect rLV % hemisphere", BE206/2, AND(F206="Mouse", BA206="mm3"), (BE206/508.91)*100, AND(F206="Rat", BA206="mm3"), (BE206/1971)*100, AND(F206="Mouse", BA206="ul"), (BE206/508.91)*100, AND(F206="Rat", BA206="ul"), (BE206/1971)*100,  AND(F206="Mouse", BA206="nl"), (BE206/508910)*100, AND(F206="Rat", BA206="nl"), (BE206/1971000)*100, AND(F206="Mouse", BA206="cm3"), (BE206/0.50891)*100, AND(F206="Rat", BA206="cm3"), (BE206/1.971)*100, AND(F206="Mouse", BA206="mL"), (BE206/0.50891)*100, AND(F206="Rat", BA206="mL"), (BE206/1.971)*100, TRUE, "NA")</f>
        <v>1.4593002236884456</v>
      </c>
      <c r="BG206" t="str" cm="1">
        <f t="array" ref="BG206">_xlfn.IFS(AZ206="NA", "NA", BB206="NR", "NA", BB206="SD", AZ206, BB206="SE", AZ206*(SQRT(R206)), BB206="SEM", AZ206*(SQRT(R206)), TRUE, "NA")</f>
        <v>NA</v>
      </c>
      <c r="BH206" s="18" t="s">
        <v>154</v>
      </c>
      <c r="BI206" t="s">
        <v>153</v>
      </c>
      <c r="BJ206" t="s">
        <v>154</v>
      </c>
      <c r="BK206" t="s">
        <v>1188</v>
      </c>
    </row>
    <row r="207" spans="1:63" s="31" customFormat="1" x14ac:dyDescent="0.3">
      <c r="A207" s="31" t="s">
        <v>1193</v>
      </c>
      <c r="B207" s="31" t="s">
        <v>1027</v>
      </c>
      <c r="C207" s="31">
        <v>2005</v>
      </c>
      <c r="D207" s="31" t="s">
        <v>1191</v>
      </c>
      <c r="E207" s="31" t="s">
        <v>647</v>
      </c>
      <c r="F207" s="31" t="s">
        <v>23</v>
      </c>
      <c r="G207" s="31" t="s">
        <v>11</v>
      </c>
      <c r="H207" s="31" t="s">
        <v>34</v>
      </c>
      <c r="I207" s="31" t="s">
        <v>12</v>
      </c>
      <c r="J207" s="31" t="s">
        <v>8</v>
      </c>
      <c r="K207" s="31" t="s">
        <v>9</v>
      </c>
      <c r="L207" s="31" t="s">
        <v>9</v>
      </c>
      <c r="M207" s="31" t="s">
        <v>9</v>
      </c>
      <c r="N207" s="31">
        <v>250</v>
      </c>
      <c r="O207" s="31">
        <f t="shared" ref="O207:O213" si="40">AVERAGE(N207,P207)</f>
        <v>275</v>
      </c>
      <c r="P207" s="31">
        <v>300</v>
      </c>
      <c r="Q207" s="31">
        <v>1</v>
      </c>
      <c r="R207" s="31">
        <v>6</v>
      </c>
      <c r="S207" s="31">
        <v>1</v>
      </c>
      <c r="T207" s="31">
        <v>6</v>
      </c>
      <c r="U207" s="32" t="s">
        <v>71</v>
      </c>
      <c r="V207" s="31" t="s">
        <v>98</v>
      </c>
      <c r="W207" s="31" t="s">
        <v>8</v>
      </c>
      <c r="X207" s="31" t="s">
        <v>69</v>
      </c>
      <c r="Y207" s="31" t="s">
        <v>8</v>
      </c>
      <c r="Z207" s="31" t="s">
        <v>8</v>
      </c>
      <c r="AA207" s="31" t="s">
        <v>648</v>
      </c>
      <c r="AB207" s="31" t="s">
        <v>636</v>
      </c>
      <c r="AC207" s="31" t="s">
        <v>153</v>
      </c>
      <c r="AD207" s="31" t="s">
        <v>634</v>
      </c>
      <c r="AE207" s="31">
        <v>24</v>
      </c>
      <c r="AF207" s="31">
        <v>350</v>
      </c>
      <c r="AG207" s="31" t="s">
        <v>650</v>
      </c>
      <c r="AH207" s="31">
        <v>6</v>
      </c>
      <c r="AI207" cm="1">
        <f t="array" ref="AI207">_xlfn.IFS(AF207="NR", "NA", AG207="NR", "NA", AG207="NA","NA", AND(AG207="mg/ml", AH207&lt;&gt;"NR"), ((AF207/2492)*AH207*1000000), AND(AG207="mol/L", AH207&lt;&gt;"NR"), AF207*AH207*1000000, AG207="nmol", AF207*1000, AND(AG207="nmol/uL", AH207&lt;&gt;"NR"), AF207*AH207*1000, AG207="pg", AF207/2492, AG207="pmol", AF207, AND(AG207="pmol/uL", AH207&lt;&gt;"NR"), AF207*AH207, AG207="ug", AF207/2492*1000000, AND(AG207="ug/mL", AH207&lt;&gt;"NR"), (AF207/1000*AH207)/2492*1000000, AND(AG207="ug/uL", AH207&lt;&gt;"NR"), (AF207*AH207)/2492*1000000, AND(AG207="umol/L", AH207&lt;&gt;"NR"), AH207*AF207, TRUE, "NA")</f>
        <v>350</v>
      </c>
      <c r="AJ207" s="31">
        <v>6</v>
      </c>
      <c r="AK207" s="31">
        <v>1</v>
      </c>
      <c r="AL207" s="31" t="s">
        <v>731</v>
      </c>
      <c r="AM207" s="31" t="s">
        <v>8</v>
      </c>
      <c r="AN207" s="31" t="s">
        <v>9</v>
      </c>
      <c r="AO207" s="32" t="s">
        <v>93</v>
      </c>
      <c r="AP207" t="s">
        <v>1228</v>
      </c>
      <c r="AQ207" s="31">
        <v>0</v>
      </c>
      <c r="AR207" s="31" t="s">
        <v>102</v>
      </c>
      <c r="AS207" s="32">
        <v>24</v>
      </c>
      <c r="AT207" s="31" t="s">
        <v>271</v>
      </c>
      <c r="AU207" s="31" t="s">
        <v>652</v>
      </c>
      <c r="AV207" s="31" t="s">
        <v>679</v>
      </c>
      <c r="AW207" s="31">
        <v>67.400000000000006</v>
      </c>
      <c r="AX207" s="31">
        <v>7</v>
      </c>
      <c r="AY207" s="31">
        <v>49.2</v>
      </c>
      <c r="AZ207" s="31">
        <v>6.7</v>
      </c>
      <c r="BA207" s="31" t="s">
        <v>656</v>
      </c>
      <c r="BB207" s="31" t="s">
        <v>123</v>
      </c>
      <c r="BC207" cm="1">
        <f t="array" ref="BC207">_xlfn.IFS(BA207="Direct rLV % whole brain", AW207, BA207="Indirect rLV % whole brain", AW207, BA207="Direct rLV % hemisphere", AW207/2, BA207="Indirect rLV % hemisphere", AW207/2, AND(F207="Mouse", BA207="mm3"), (AW207/508.91)*100, AND(F207="Rat", BA207="mm3"), (AW207/1971)*100, AND(F207="Mouse", BA207="ul"), (AW207/508.91)*100, AND(F207="Rat", BA207="ul"), (AW207/1971)*100,  AND(F207="Mouse", BA207="nl"), (AW207/508910)*100, AND(F207="Rat", BA207="nl"), (AW207/1971000)*100, AND(F207="Mouse", BA207="cm3"), (AW207/0.50891)*100, AND(F207="Rat", BA207="cm3"), (AW207/1.971)*100, AND(F207="Mouse", BA207="mL"), (AW207/0.50891)*100, AND(F207="Rat", BA207="mL"), (AW207/1.971)*100, TRUE, "NA")</f>
        <v>3.419583967529173</v>
      </c>
      <c r="BD207" cm="1">
        <f t="array" ref="BD207">_xlfn.IFS(AZ207="NA", "NA",BA207="Direct rLV % whole brain", AY207, BA207="Indirect rLV % whole brain", AY207, BA207="Direct rLV % hemisphere", AY207/2, BA207="Indirect rLV % hemisphere", AY207/2, AND(F207="Mouse", BA207="mm3"), (AY207/508.91)*100, AND(F207="Rat", BA207="mm3"), (AY207/1971)*100, AND(F207="Mouse", BA207="ul"), (AY207/508.91)*100, AND(F207="Rat", BA207="ul"), (AY207/1971)*100,  AND(F207="Mouse", BA207="nl"), (AY207/508910)*100, AND(F207="Rat", BA207="nl"), (AY207/1971000)*100, AND(F207="Mouse", BA207="cm3"), (AY207/0.50891)*100, AND(F207="Rat", BA207="cm3"), (AY207/1.971)*100, AND(F207="Mouse", BA207="mL"), (AY207/0.50891)*100, AND(F207="Rat", BA207="mL"), (AY207/1.971)*100, TRUE, "NA")</f>
        <v>2.4961948249619481</v>
      </c>
      <c r="BE207" cm="1">
        <f t="array" ref="BE207">_xlfn.IFS(AX207="NA", "NA", BB207="NR", "NA", BB207="SD", AX207, BB207="SE", AX207*(SQRT(R207)), BB207="SEM", AX207*(SQRT(R207)), TRUE, "NA")</f>
        <v>17.146428199482244</v>
      </c>
      <c r="BF207" cm="1">
        <f t="array" ref="BF207">_xlfn.IFS(BE207="NA", "NA",BA207="Direct rLV % whole brain", BE207, BA207="Indirect rLV % whole brain", BE207, BA207="Direct rLV % hemisphere", BE207/2, BA207="Indirect rLV % hemisphere", BE207/2, AND(F207="Mouse", BA207="mm3"), (BE207/508.91)*100, AND(F207="Rat", BA207="mm3"), (BE207/1971)*100, AND(F207="Mouse", BA207="ul"), (BE207/508.91)*100, AND(F207="Rat", BA207="ul"), (BE207/1971)*100,  AND(F207="Mouse", BA207="nl"), (BE207/508910)*100, AND(F207="Rat", BA207="nl"), (BE207/1971000)*100, AND(F207="Mouse", BA207="cm3"), (BE207/0.50891)*100, AND(F207="Rat", BA207="cm3"), (BE207/1.971)*100, AND(F207="Mouse", BA207="mL"), (BE207/0.50891)*100, AND(F207="Rat", BA207="mL"), (BE207/1.971)*100, TRUE, "NA")</f>
        <v>0.86993547435221941</v>
      </c>
      <c r="BG207" cm="1">
        <f t="array" ref="BG207">_xlfn.IFS(AZ207="NA", "NA", BB207="NR", "NA", BB207="SD", AZ207, BB207="SE", AZ207*(SQRT(R207)), BB207="SEM", AZ207*(SQRT(R207)), TRUE, "NA")</f>
        <v>16.411581276647293</v>
      </c>
      <c r="BH207" s="32" t="s">
        <v>154</v>
      </c>
      <c r="BI207" s="31" t="s">
        <v>154</v>
      </c>
      <c r="BJ207" s="31" t="s">
        <v>154</v>
      </c>
    </row>
    <row r="208" spans="1:63" x14ac:dyDescent="0.3">
      <c r="A208" t="s">
        <v>1195</v>
      </c>
      <c r="B208" t="s">
        <v>1194</v>
      </c>
      <c r="C208">
        <v>2004</v>
      </c>
      <c r="D208" t="s">
        <v>1196</v>
      </c>
      <c r="E208" t="s">
        <v>647</v>
      </c>
      <c r="F208" s="18" t="s">
        <v>38</v>
      </c>
      <c r="G208" t="s">
        <v>551</v>
      </c>
      <c r="H208" t="s">
        <v>35</v>
      </c>
      <c r="I208" t="s">
        <v>12</v>
      </c>
      <c r="J208" t="s">
        <v>8</v>
      </c>
      <c r="K208" t="s">
        <v>9</v>
      </c>
      <c r="L208" t="s">
        <v>9</v>
      </c>
      <c r="M208" t="s">
        <v>9</v>
      </c>
      <c r="N208">
        <v>365</v>
      </c>
      <c r="O208">
        <f t="shared" si="40"/>
        <v>382.5</v>
      </c>
      <c r="P208">
        <v>400</v>
      </c>
      <c r="Q208">
        <v>3</v>
      </c>
      <c r="R208">
        <v>3</v>
      </c>
      <c r="S208" t="s">
        <v>8</v>
      </c>
      <c r="T208" t="s">
        <v>8</v>
      </c>
      <c r="U208" s="18" t="s">
        <v>603</v>
      </c>
      <c r="V208" t="s">
        <v>8</v>
      </c>
      <c r="W208" t="s">
        <v>8</v>
      </c>
      <c r="X208" t="s">
        <v>603</v>
      </c>
      <c r="Y208" t="s">
        <v>8</v>
      </c>
      <c r="Z208" t="s">
        <v>8</v>
      </c>
      <c r="AA208" t="s">
        <v>639</v>
      </c>
      <c r="AB208" t="s">
        <v>636</v>
      </c>
      <c r="AC208" t="s">
        <v>153</v>
      </c>
      <c r="AD208" t="s">
        <v>634</v>
      </c>
      <c r="AE208">
        <v>0</v>
      </c>
      <c r="AF208">
        <v>0.1</v>
      </c>
      <c r="AG208" t="s">
        <v>1198</v>
      </c>
      <c r="AH208">
        <v>25</v>
      </c>
      <c r="AI208" cm="1">
        <f t="array" ref="AI208">_xlfn.IFS(AF208="NR", "NA", AG208="NR", "NA", AG208="NA","NA", AND(AG208="mg/ml", AH208&lt;&gt;"NR"), ((AF208/2492)*AH208*1000000), AND(AG208="mol/L", AH208&lt;&gt;"NR"), AF208*AH208*1000000, AG208="nmol", AF208*1000, AND(AG208="nmol/uL", AH208&lt;&gt;"NR"), AF208*AH208*1000, AG208="pg", AF208/2492, AG208="pmol", AF208, AND(AG208="pmol/uL", AH208&lt;&gt;"NR"), AF208*AH208, AG208="ug", AF208/2492*1000000, AND(AG208="ug/mL", AH208&lt;&gt;"NR"), (AF208/1000*AH208)/2492*1000000, AND(AG208="ug/uL", AH208&lt;&gt;"NR"), (AF208*AH208)/2492*1000000, AND(AG208="umol/L", AH208&lt;&gt;"NR"), AH208*AF208, TRUE, "NA")</f>
        <v>2500</v>
      </c>
      <c r="AJ208">
        <v>5</v>
      </c>
      <c r="AK208">
        <v>1</v>
      </c>
      <c r="AL208" t="s">
        <v>1189</v>
      </c>
      <c r="AM208" t="s">
        <v>1199</v>
      </c>
      <c r="AN208" t="s">
        <v>9</v>
      </c>
      <c r="AO208" s="18" t="s">
        <v>12</v>
      </c>
      <c r="AP208" t="s">
        <v>8</v>
      </c>
      <c r="AQ208" t="s">
        <v>8</v>
      </c>
      <c r="AR208" t="s">
        <v>8</v>
      </c>
      <c r="AS208" s="18">
        <v>6</v>
      </c>
      <c r="AT208" t="s">
        <v>271</v>
      </c>
      <c r="AU208" t="s">
        <v>652</v>
      </c>
      <c r="AV208" t="s">
        <v>8</v>
      </c>
      <c r="AW208">
        <f>AVERAGE(429.44,385.27,353.29)</f>
        <v>389.33333333333331</v>
      </c>
      <c r="AX208">
        <f>_xlfn.STDEV.S(429.44,385.27,353.29)</f>
        <v>38.23726759763742</v>
      </c>
      <c r="AY208" t="s">
        <v>8</v>
      </c>
      <c r="AZ208" t="s">
        <v>8</v>
      </c>
      <c r="BA208" t="s">
        <v>656</v>
      </c>
      <c r="BB208" t="s">
        <v>122</v>
      </c>
      <c r="BC208" t="str" cm="1">
        <f t="array" ref="BC208">_xlfn.IFS(BA208="Direct rLV % whole brain", AW208, BA208="Indirect rLV % whole brain", AW208, BA208="Direct rLV % hemisphere", AW208/2, BA208="Indirect rLV % hemisphere", AW208/2, AND(F208="Mouse", BA208="mm3"), (AW208/508.91)*100, AND(F208="Rat", BA208="mm3"), (AW208/1971)*100, AND(F208="Mouse", BA208="ul"), (AW208/508.91)*100, AND(F208="Rat", BA208="ul"), (AW208/1971)*100,  AND(F208="Mouse", BA208="nl"), (AW208/508910)*100, AND(F208="Rat", BA208="nl"), (AW208/1971000)*100, AND(F208="Mouse", BA208="cm3"), (AW208/0.50891)*100, AND(F208="Rat", BA208="cm3"), (AW208/1.971)*100, AND(F208="Mouse", BA208="mL"), (AW208/0.50891)*100, AND(F208="Rat", BA208="mL"), (AW208/1.971)*100, TRUE, "NA")</f>
        <v>NA</v>
      </c>
      <c r="BD208" t="str" cm="1">
        <f t="array" ref="BD208">_xlfn.IFS(AZ208="NA", "NA",BA208="Direct rLV % whole brain", AY208, BA208="Indirect rLV % whole brain", AY208, BA208="Direct rLV % hemisphere", AY208/2, BA208="Indirect rLV % hemisphere", AY208/2, AND(F208="Mouse", BA208="mm3"), (AY208/508.91)*100, AND(F208="Rat", BA208="mm3"), (AY208/1971)*100, AND(F208="Mouse", BA208="ul"), (AY208/508.91)*100, AND(F208="Rat", BA208="ul"), (AY208/1971)*100,  AND(F208="Mouse", BA208="nl"), (AY208/508910)*100, AND(F208="Rat", BA208="nl"), (AY208/1971000)*100, AND(F208="Mouse", BA208="cm3"), (AY208/0.50891)*100, AND(F208="Rat", BA208="cm3"), (AY208/1.971)*100, AND(F208="Mouse", BA208="mL"), (AY208/0.50891)*100, AND(F208="Rat", BA208="mL"), (AY208/1.971)*100, TRUE, "NA")</f>
        <v>NA</v>
      </c>
      <c r="BE208" cm="1">
        <f t="array" ref="BE208">_xlfn.IFS(AX208="NA", "NA", BB208="NR", "NA", BB208="SD", AX208, BB208="SE", AX208*(SQRT(R208)), BB208="SEM", AX208*(SQRT(R208)), TRUE, "NA")</f>
        <v>38.23726759763742</v>
      </c>
      <c r="BF208" t="str" cm="1">
        <f t="array" ref="BF208">_xlfn.IFS(BE208="NA", "NA",BA208="Direct rLV % whole brain", BE208, BA208="Indirect rLV % whole brain", BE208, BA208="Direct rLV % hemisphere", BE208/2, BA208="Indirect rLV % hemisphere", BE208/2, AND(F208="Mouse", BA208="mm3"), (BE208/508.91)*100, AND(F208="Rat", BA208="mm3"), (BE208/1971)*100, AND(F208="Mouse", BA208="ul"), (BE208/508.91)*100, AND(F208="Rat", BA208="ul"), (BE208/1971)*100,  AND(F208="Mouse", BA208="nl"), (BE208/508910)*100, AND(F208="Rat", BA208="nl"), (BE208/1971000)*100, AND(F208="Mouse", BA208="cm3"), (BE208/0.50891)*100, AND(F208="Rat", BA208="cm3"), (BE208/1.971)*100, AND(F208="Mouse", BA208="mL"), (BE208/0.50891)*100, AND(F208="Rat", BA208="mL"), (BE208/1.971)*100, TRUE, "NA")</f>
        <v>NA</v>
      </c>
      <c r="BG208" t="str" cm="1">
        <f t="array" ref="BG208">_xlfn.IFS(AZ208="NA", "NA", BB208="NR", "NA", BB208="SD", AZ208, BB208="SE", AZ208*(SQRT(R208)), BB208="SEM", AZ208*(SQRT(R208)), TRUE, "NA")</f>
        <v>NA</v>
      </c>
      <c r="BH208" s="18" t="s">
        <v>153</v>
      </c>
      <c r="BI208" t="s">
        <v>153</v>
      </c>
      <c r="BJ208" t="s">
        <v>153</v>
      </c>
      <c r="BK208" t="s">
        <v>1197</v>
      </c>
    </row>
    <row r="209" spans="1:63" x14ac:dyDescent="0.3">
      <c r="A209" t="s">
        <v>1195</v>
      </c>
      <c r="B209" t="s">
        <v>1194</v>
      </c>
      <c r="C209">
        <v>2004</v>
      </c>
      <c r="D209" t="s">
        <v>1196</v>
      </c>
      <c r="E209" t="s">
        <v>678</v>
      </c>
      <c r="F209" s="18" t="s">
        <v>38</v>
      </c>
      <c r="G209" t="s">
        <v>551</v>
      </c>
      <c r="H209" t="s">
        <v>35</v>
      </c>
      <c r="I209" t="s">
        <v>12</v>
      </c>
      <c r="J209" t="s">
        <v>8</v>
      </c>
      <c r="K209" t="s">
        <v>9</v>
      </c>
      <c r="L209" t="s">
        <v>9</v>
      </c>
      <c r="M209" t="s">
        <v>9</v>
      </c>
      <c r="N209">
        <v>365</v>
      </c>
      <c r="O209">
        <f t="shared" si="40"/>
        <v>382.5</v>
      </c>
      <c r="P209">
        <v>400</v>
      </c>
      <c r="Q209">
        <v>3</v>
      </c>
      <c r="R209">
        <v>3</v>
      </c>
      <c r="S209" t="s">
        <v>8</v>
      </c>
      <c r="T209" t="s">
        <v>8</v>
      </c>
      <c r="U209" s="18" t="s">
        <v>603</v>
      </c>
      <c r="V209" t="s">
        <v>8</v>
      </c>
      <c r="W209" t="s">
        <v>8</v>
      </c>
      <c r="X209" t="s">
        <v>603</v>
      </c>
      <c r="Y209" t="s">
        <v>8</v>
      </c>
      <c r="Z209" t="s">
        <v>8</v>
      </c>
      <c r="AA209" t="s">
        <v>639</v>
      </c>
      <c r="AB209" t="s">
        <v>636</v>
      </c>
      <c r="AC209" t="s">
        <v>153</v>
      </c>
      <c r="AD209" t="s">
        <v>634</v>
      </c>
      <c r="AE209">
        <v>0</v>
      </c>
      <c r="AF209">
        <v>0.05</v>
      </c>
      <c r="AG209" t="s">
        <v>1198</v>
      </c>
      <c r="AH209">
        <v>25</v>
      </c>
      <c r="AI209" cm="1">
        <f t="array" ref="AI209">_xlfn.IFS(AF209="NR", "NA", AG209="NR", "NA", AG209="NA","NA", AND(AG209="mg/ml", AH209&lt;&gt;"NR"), ((AF209/2492)*AH209*1000000), AND(AG209="mol/L", AH209&lt;&gt;"NR"), AF209*AH209*1000000, AG209="nmol", AF209*1000, AND(AG209="nmol/uL", AH209&lt;&gt;"NR"), AF209*AH209*1000, AG209="pg", AF209/2492, AG209="pmol", AF209, AND(AG209="pmol/uL", AH209&lt;&gt;"NR"), AF209*AH209, AG209="ug", AF209/2492*1000000, AND(AG209="ug/mL", AH209&lt;&gt;"NR"), (AF209/1000*AH209)/2492*1000000, AND(AG209="ug/uL", AH209&lt;&gt;"NR"), (AF209*AH209)/2492*1000000, AND(AG209="umol/L", AH209&lt;&gt;"NR"), AH209*AF209, TRUE, "NA")</f>
        <v>1250</v>
      </c>
      <c r="AJ209">
        <v>5</v>
      </c>
      <c r="AK209">
        <v>1</v>
      </c>
      <c r="AL209" t="s">
        <v>1189</v>
      </c>
      <c r="AM209" t="s">
        <v>1199</v>
      </c>
      <c r="AN209" t="s">
        <v>9</v>
      </c>
      <c r="AO209" s="18" t="s">
        <v>12</v>
      </c>
      <c r="AP209" t="s">
        <v>8</v>
      </c>
      <c r="AQ209" t="s">
        <v>8</v>
      </c>
      <c r="AR209" t="s">
        <v>8</v>
      </c>
      <c r="AS209" s="18">
        <v>6</v>
      </c>
      <c r="AT209" t="s">
        <v>271</v>
      </c>
      <c r="AU209" t="s">
        <v>652</v>
      </c>
      <c r="AV209" t="s">
        <v>8</v>
      </c>
      <c r="AW209">
        <f>AVERAGE(526.9,289.34,271.06)</f>
        <v>362.43333333333334</v>
      </c>
      <c r="AX209">
        <f>_xlfn.STDEV.S(526.9,289.34,271.06)</f>
        <v>142.72527082942727</v>
      </c>
      <c r="AY209" t="s">
        <v>8</v>
      </c>
      <c r="AZ209" t="s">
        <v>8</v>
      </c>
      <c r="BA209" t="s">
        <v>656</v>
      </c>
      <c r="BB209" t="s">
        <v>122</v>
      </c>
      <c r="BC209" t="str" cm="1">
        <f t="array" ref="BC209">_xlfn.IFS(BA209="Direct rLV % whole brain", AW209, BA209="Indirect rLV % whole brain", AW209, BA209="Direct rLV % hemisphere", AW209/2, BA209="Indirect rLV % hemisphere", AW209/2, AND(F209="Mouse", BA209="mm3"), (AW209/508.91)*100, AND(F209="Rat", BA209="mm3"), (AW209/1971)*100, AND(F209="Mouse", BA209="ul"), (AW209/508.91)*100, AND(F209="Rat", BA209="ul"), (AW209/1971)*100,  AND(F209="Mouse", BA209="nl"), (AW209/508910)*100, AND(F209="Rat", BA209="nl"), (AW209/1971000)*100, AND(F209="Mouse", BA209="cm3"), (AW209/0.50891)*100, AND(F209="Rat", BA209="cm3"), (AW209/1.971)*100, AND(F209="Mouse", BA209="mL"), (AW209/0.50891)*100, AND(F209="Rat", BA209="mL"), (AW209/1.971)*100, TRUE, "NA")</f>
        <v>NA</v>
      </c>
      <c r="BD209" t="str" cm="1">
        <f t="array" ref="BD209">_xlfn.IFS(AZ209="NA", "NA",BA209="Direct rLV % whole brain", AY209, BA209="Indirect rLV % whole brain", AY209, BA209="Direct rLV % hemisphere", AY209/2, BA209="Indirect rLV % hemisphere", AY209/2, AND(F209="Mouse", BA209="mm3"), (AY209/508.91)*100, AND(F209="Rat", BA209="mm3"), (AY209/1971)*100, AND(F209="Mouse", BA209="ul"), (AY209/508.91)*100, AND(F209="Rat", BA209="ul"), (AY209/1971)*100,  AND(F209="Mouse", BA209="nl"), (AY209/508910)*100, AND(F209="Rat", BA209="nl"), (AY209/1971000)*100, AND(F209="Mouse", BA209="cm3"), (AY209/0.50891)*100, AND(F209="Rat", BA209="cm3"), (AY209/1.971)*100, AND(F209="Mouse", BA209="mL"), (AY209/0.50891)*100, AND(F209="Rat", BA209="mL"), (AY209/1.971)*100, TRUE, "NA")</f>
        <v>NA</v>
      </c>
      <c r="BE209" cm="1">
        <f t="array" ref="BE209">_xlfn.IFS(AX209="NA", "NA", BB209="NR", "NA", BB209="SD", AX209, BB209="SE", AX209*(SQRT(R209)), BB209="SEM", AX209*(SQRT(R209)), TRUE, "NA")</f>
        <v>142.72527082942727</v>
      </c>
      <c r="BF209" t="str" cm="1">
        <f t="array" ref="BF209">_xlfn.IFS(BE209="NA", "NA",BA209="Direct rLV % whole brain", BE209, BA209="Indirect rLV % whole brain", BE209, BA209="Direct rLV % hemisphere", BE209/2, BA209="Indirect rLV % hemisphere", BE209/2, AND(F209="Mouse", BA209="mm3"), (BE209/508.91)*100, AND(F209="Rat", BA209="mm3"), (BE209/1971)*100, AND(F209="Mouse", BA209="ul"), (BE209/508.91)*100, AND(F209="Rat", BA209="ul"), (BE209/1971)*100,  AND(F209="Mouse", BA209="nl"), (BE209/508910)*100, AND(F209="Rat", BA209="nl"), (BE209/1971000)*100, AND(F209="Mouse", BA209="cm3"), (BE209/0.50891)*100, AND(F209="Rat", BA209="cm3"), (BE209/1.971)*100, AND(F209="Mouse", BA209="mL"), (BE209/0.50891)*100, AND(F209="Rat", BA209="mL"), (BE209/1.971)*100, TRUE, "NA")</f>
        <v>NA</v>
      </c>
      <c r="BG209" t="str" cm="1">
        <f t="array" ref="BG209">_xlfn.IFS(AZ209="NA", "NA", BB209="NR", "NA", BB209="SD", AZ209, BB209="SE", AZ209*(SQRT(R209)), BB209="SEM", AZ209*(SQRT(R209)), TRUE, "NA")</f>
        <v>NA</v>
      </c>
      <c r="BH209" s="18" t="s">
        <v>153</v>
      </c>
      <c r="BI209" t="s">
        <v>153</v>
      </c>
      <c r="BJ209" t="s">
        <v>153</v>
      </c>
      <c r="BK209" t="s">
        <v>1197</v>
      </c>
    </row>
    <row r="210" spans="1:63" x14ac:dyDescent="0.3">
      <c r="A210" t="s">
        <v>1195</v>
      </c>
      <c r="B210" t="s">
        <v>1194</v>
      </c>
      <c r="C210">
        <v>2004</v>
      </c>
      <c r="D210" t="s">
        <v>1196</v>
      </c>
      <c r="E210" t="s">
        <v>699</v>
      </c>
      <c r="F210" s="18" t="s">
        <v>38</v>
      </c>
      <c r="G210" t="s">
        <v>551</v>
      </c>
      <c r="H210" t="s">
        <v>35</v>
      </c>
      <c r="I210" t="s">
        <v>12</v>
      </c>
      <c r="J210" t="s">
        <v>8</v>
      </c>
      <c r="K210" t="s">
        <v>9</v>
      </c>
      <c r="L210" t="s">
        <v>9</v>
      </c>
      <c r="M210" t="s">
        <v>9</v>
      </c>
      <c r="N210">
        <v>365</v>
      </c>
      <c r="O210">
        <f t="shared" si="40"/>
        <v>382.5</v>
      </c>
      <c r="P210">
        <v>400</v>
      </c>
      <c r="Q210">
        <v>3</v>
      </c>
      <c r="R210">
        <v>2</v>
      </c>
      <c r="S210" t="s">
        <v>8</v>
      </c>
      <c r="T210" t="s">
        <v>8</v>
      </c>
      <c r="U210" s="18" t="s">
        <v>603</v>
      </c>
      <c r="V210" t="s">
        <v>8</v>
      </c>
      <c r="W210" t="s">
        <v>8</v>
      </c>
      <c r="X210" t="s">
        <v>603</v>
      </c>
      <c r="Y210" t="s">
        <v>8</v>
      </c>
      <c r="Z210" t="s">
        <v>8</v>
      </c>
      <c r="AA210" t="s">
        <v>639</v>
      </c>
      <c r="AB210" t="s">
        <v>636</v>
      </c>
      <c r="AC210" t="s">
        <v>153</v>
      </c>
      <c r="AD210" t="s">
        <v>634</v>
      </c>
      <c r="AE210">
        <v>0</v>
      </c>
      <c r="AF210">
        <v>0.01</v>
      </c>
      <c r="AG210" t="s">
        <v>1198</v>
      </c>
      <c r="AH210">
        <v>25</v>
      </c>
      <c r="AI210" cm="1">
        <f t="array" ref="AI210">_xlfn.IFS(AF210="NR", "NA", AG210="NR", "NA", AG210="NA","NA", AND(AG210="mg/ml", AH210&lt;&gt;"NR"), ((AF210/2492)*AH210*1000000), AND(AG210="mol/L", AH210&lt;&gt;"NR"), AF210*AH210*1000000, AG210="nmol", AF210*1000, AND(AG210="nmol/uL", AH210&lt;&gt;"NR"), AF210*AH210*1000, AG210="pg", AF210/2492, AG210="pmol", AF210, AND(AG210="pmol/uL", AH210&lt;&gt;"NR"), AF210*AH210, AG210="ug", AF210/2492*1000000, AND(AG210="ug/mL", AH210&lt;&gt;"NR"), (AF210/1000*AH210)/2492*1000000, AND(AG210="ug/uL", AH210&lt;&gt;"NR"), (AF210*AH210)/2492*1000000, AND(AG210="umol/L", AH210&lt;&gt;"NR"), AH210*AF210, TRUE, "NA")</f>
        <v>250</v>
      </c>
      <c r="AJ210">
        <v>5</v>
      </c>
      <c r="AK210">
        <v>1</v>
      </c>
      <c r="AL210" t="s">
        <v>1189</v>
      </c>
      <c r="AM210" t="s">
        <v>1199</v>
      </c>
      <c r="AN210" t="s">
        <v>9</v>
      </c>
      <c r="AO210" s="18" t="s">
        <v>12</v>
      </c>
      <c r="AP210" t="s">
        <v>8</v>
      </c>
      <c r="AQ210" t="s">
        <v>8</v>
      </c>
      <c r="AR210" t="s">
        <v>8</v>
      </c>
      <c r="AS210" s="18">
        <v>6</v>
      </c>
      <c r="AT210" t="s">
        <v>271</v>
      </c>
      <c r="AU210" t="s">
        <v>652</v>
      </c>
      <c r="AV210" t="s">
        <v>8</v>
      </c>
      <c r="AW210">
        <f>AVERAGE(231.47,111.16)</f>
        <v>171.315</v>
      </c>
      <c r="AX210">
        <f>_xlfn.STDEV.S(231.47,111.16)</f>
        <v>85.072016844553545</v>
      </c>
      <c r="AY210" t="s">
        <v>8</v>
      </c>
      <c r="AZ210" t="s">
        <v>8</v>
      </c>
      <c r="BA210" t="s">
        <v>656</v>
      </c>
      <c r="BB210" t="s">
        <v>122</v>
      </c>
      <c r="BC210" t="str" cm="1">
        <f t="array" ref="BC210">_xlfn.IFS(BA210="Direct rLV % whole brain", AW210, BA210="Indirect rLV % whole brain", AW210, BA210="Direct rLV % hemisphere", AW210/2, BA210="Indirect rLV % hemisphere", AW210/2, AND(F210="Mouse", BA210="mm3"), (AW210/508.91)*100, AND(F210="Rat", BA210="mm3"), (AW210/1971)*100, AND(F210="Mouse", BA210="ul"), (AW210/508.91)*100, AND(F210="Rat", BA210="ul"), (AW210/1971)*100,  AND(F210="Mouse", BA210="nl"), (AW210/508910)*100, AND(F210="Rat", BA210="nl"), (AW210/1971000)*100, AND(F210="Mouse", BA210="cm3"), (AW210/0.50891)*100, AND(F210="Rat", BA210="cm3"), (AW210/1.971)*100, AND(F210="Mouse", BA210="mL"), (AW210/0.50891)*100, AND(F210="Rat", BA210="mL"), (AW210/1.971)*100, TRUE, "NA")</f>
        <v>NA</v>
      </c>
      <c r="BD210" t="str" cm="1">
        <f t="array" ref="BD210">_xlfn.IFS(AZ210="NA", "NA",BA210="Direct rLV % whole brain", AY210, BA210="Indirect rLV % whole brain", AY210, BA210="Direct rLV % hemisphere", AY210/2, BA210="Indirect rLV % hemisphere", AY210/2, AND(F210="Mouse", BA210="mm3"), (AY210/508.91)*100, AND(F210="Rat", BA210="mm3"), (AY210/1971)*100, AND(F210="Mouse", BA210="ul"), (AY210/508.91)*100, AND(F210="Rat", BA210="ul"), (AY210/1971)*100,  AND(F210="Mouse", BA210="nl"), (AY210/508910)*100, AND(F210="Rat", BA210="nl"), (AY210/1971000)*100, AND(F210="Mouse", BA210="cm3"), (AY210/0.50891)*100, AND(F210="Rat", BA210="cm3"), (AY210/1.971)*100, AND(F210="Mouse", BA210="mL"), (AY210/0.50891)*100, AND(F210="Rat", BA210="mL"), (AY210/1.971)*100, TRUE, "NA")</f>
        <v>NA</v>
      </c>
      <c r="BE210" cm="1">
        <f t="array" ref="BE210">_xlfn.IFS(AX210="NA", "NA", BB210="NR", "NA", BB210="SD", AX210, BB210="SE", AX210*(SQRT(R210)), BB210="SEM", AX210*(SQRT(R210)), TRUE, "NA")</f>
        <v>85.072016844553545</v>
      </c>
      <c r="BF210" t="str" cm="1">
        <f t="array" ref="BF210">_xlfn.IFS(BE210="NA", "NA",BA210="Direct rLV % whole brain", BE210, BA210="Indirect rLV % whole brain", BE210, BA210="Direct rLV % hemisphere", BE210/2, BA210="Indirect rLV % hemisphere", BE210/2, AND(F210="Mouse", BA210="mm3"), (BE210/508.91)*100, AND(F210="Rat", BA210="mm3"), (BE210/1971)*100, AND(F210="Mouse", BA210="ul"), (BE210/508.91)*100, AND(F210="Rat", BA210="ul"), (BE210/1971)*100,  AND(F210="Mouse", BA210="nl"), (BE210/508910)*100, AND(F210="Rat", BA210="nl"), (BE210/1971000)*100, AND(F210="Mouse", BA210="cm3"), (BE210/0.50891)*100, AND(F210="Rat", BA210="cm3"), (BE210/1.971)*100, AND(F210="Mouse", BA210="mL"), (BE210/0.50891)*100, AND(F210="Rat", BA210="mL"), (BE210/1.971)*100, TRUE, "NA")</f>
        <v>NA</v>
      </c>
      <c r="BG210" t="str" cm="1">
        <f t="array" ref="BG210">_xlfn.IFS(AZ210="NA", "NA", BB210="NR", "NA", BB210="SD", AZ210, BB210="SE", AZ210*(SQRT(R210)), BB210="SEM", AZ210*(SQRT(R210)), TRUE, "NA")</f>
        <v>NA</v>
      </c>
      <c r="BH210" s="18" t="s">
        <v>153</v>
      </c>
      <c r="BI210" t="s">
        <v>153</v>
      </c>
      <c r="BJ210" t="s">
        <v>153</v>
      </c>
      <c r="BK210" t="s">
        <v>1197</v>
      </c>
    </row>
    <row r="211" spans="1:63" s="31" customFormat="1" x14ac:dyDescent="0.3">
      <c r="A211" s="31" t="s">
        <v>1201</v>
      </c>
      <c r="B211" s="31" t="s">
        <v>1200</v>
      </c>
      <c r="C211" s="31">
        <v>2015</v>
      </c>
      <c r="D211" s="31" t="s">
        <v>1202</v>
      </c>
      <c r="E211" s="31" t="s">
        <v>647</v>
      </c>
      <c r="F211" s="31" t="s">
        <v>23</v>
      </c>
      <c r="G211" s="31" t="s">
        <v>10</v>
      </c>
      <c r="H211" s="31" t="s">
        <v>34</v>
      </c>
      <c r="I211" s="31" t="s">
        <v>12</v>
      </c>
      <c r="J211" s="31" t="s">
        <v>8</v>
      </c>
      <c r="K211" s="31" t="s">
        <v>9</v>
      </c>
      <c r="L211" s="31" t="s">
        <v>9</v>
      </c>
      <c r="M211" s="31" t="s">
        <v>9</v>
      </c>
      <c r="N211" s="31">
        <v>220</v>
      </c>
      <c r="O211" s="31">
        <f t="shared" si="40"/>
        <v>240</v>
      </c>
      <c r="P211" s="31">
        <v>260</v>
      </c>
      <c r="Q211" s="31">
        <v>1</v>
      </c>
      <c r="R211" s="31">
        <v>8</v>
      </c>
      <c r="S211" s="31" t="s">
        <v>8</v>
      </c>
      <c r="T211" s="31" t="s">
        <v>8</v>
      </c>
      <c r="U211" s="32" t="s">
        <v>68</v>
      </c>
      <c r="V211" s="31" t="s">
        <v>8</v>
      </c>
      <c r="W211" s="31" t="s">
        <v>8</v>
      </c>
      <c r="X211" s="31" t="s">
        <v>68</v>
      </c>
      <c r="Y211" s="31" t="s">
        <v>8</v>
      </c>
      <c r="Z211" s="31" t="s">
        <v>8</v>
      </c>
      <c r="AA211" s="31" t="s">
        <v>640</v>
      </c>
      <c r="AB211" s="31" t="s">
        <v>636</v>
      </c>
      <c r="AC211" s="31" t="s">
        <v>153</v>
      </c>
      <c r="AD211" s="31" t="s">
        <v>634</v>
      </c>
      <c r="AE211" s="31">
        <v>0</v>
      </c>
      <c r="AF211" s="31">
        <v>120</v>
      </c>
      <c r="AG211" s="31" t="s">
        <v>745</v>
      </c>
      <c r="AH211" s="31">
        <v>3</v>
      </c>
      <c r="AI211" cm="1">
        <f t="array" ref="AI211">_xlfn.IFS(AF211="NR", "NA", AG211="NR", "NA", AG211="NA","NA", AND(AG211="mg/ml", AH211&lt;&gt;"NR"), ((AF211/2492)*AH211*1000000), AND(AG211="mol/L", AH211&lt;&gt;"NR"), AF211*AH211*1000000, AG211="nmol", AF211*1000, AND(AG211="nmol/uL", AH211&lt;&gt;"NR"), AF211*AH211*1000, AG211="pg", AF211/2492, AG211="pmol", AF211, AND(AG211="pmol/uL", AH211&lt;&gt;"NR"), AF211*AH211, AG211="ug", AF211/2492*1000000, AND(AG211="ug/mL", AH211&lt;&gt;"NR"), (AF211/1000*AH211)/2492*1000000, AND(AG211="ug/uL", AH211&lt;&gt;"NR"), (AF211*AH211)/2492*1000000, AND(AG211="umol/L", AH211&lt;&gt;"NR"), AH211*AF211, TRUE, "NA")</f>
        <v>360</v>
      </c>
      <c r="AJ211" s="31">
        <f>3/0.6</f>
        <v>5</v>
      </c>
      <c r="AK211" s="31">
        <v>1</v>
      </c>
      <c r="AL211" s="31" t="s">
        <v>9</v>
      </c>
      <c r="AM211" s="31" t="s">
        <v>8</v>
      </c>
      <c r="AN211" s="31" t="s">
        <v>9</v>
      </c>
      <c r="AO211" s="32" t="s">
        <v>12</v>
      </c>
      <c r="AP211" s="31" t="s">
        <v>8</v>
      </c>
      <c r="AQ211" s="31" t="s">
        <v>8</v>
      </c>
      <c r="AR211" s="31" t="s">
        <v>8</v>
      </c>
      <c r="AS211" s="32">
        <v>24</v>
      </c>
      <c r="AT211" s="31" t="s">
        <v>270</v>
      </c>
      <c r="AU211" s="31" t="s">
        <v>8</v>
      </c>
      <c r="AV211" s="31" t="s">
        <v>8</v>
      </c>
      <c r="AW211" s="31">
        <v>48.25</v>
      </c>
      <c r="AX211" s="31">
        <v>1.8</v>
      </c>
      <c r="AY211" s="31" t="s">
        <v>8</v>
      </c>
      <c r="AZ211" s="31" t="s">
        <v>8</v>
      </c>
      <c r="BA211" s="31" t="s">
        <v>202</v>
      </c>
      <c r="BB211" s="31" t="s">
        <v>122</v>
      </c>
      <c r="BC211" cm="1">
        <f t="array" ref="BC211">_xlfn.IFS(BA211="Direct rLV % whole brain", AW211, BA211="Indirect rLV % whole brain", AW211, BA211="Direct rLV % hemisphere", AW211/2, BA211="Indirect rLV % hemisphere", AW211/2, AND(F211="Mouse", BA211="mm3"), (AW211/508.91)*100, AND(F211="Rat", BA211="mm3"), (AW211/1971)*100, AND(F211="Mouse", BA211="ul"), (AW211/508.91)*100, AND(F211="Rat", BA211="ul"), (AW211/1971)*100,  AND(F211="Mouse", BA211="nl"), (AW211/508910)*100, AND(F211="Rat", BA211="nl"), (AW211/1971000)*100, AND(F211="Mouse", BA211="cm3"), (AW211/0.50891)*100, AND(F211="Rat", BA211="cm3"), (AW211/1.971)*100, AND(F211="Mouse", BA211="mL"), (AW211/0.50891)*100, AND(F211="Rat", BA211="mL"), (AW211/1.971)*100, TRUE, "NA")</f>
        <v>24.125</v>
      </c>
      <c r="BD211" t="str" cm="1">
        <f t="array" ref="BD211">_xlfn.IFS(AZ211="NA", "NA",BA211="Direct rLV % whole brain", AY211, BA211="Indirect rLV % whole brain", AY211, BA211="Direct rLV % hemisphere", AY211/2, BA211="Indirect rLV % hemisphere", AY211/2, AND(F211="Mouse", BA211="mm3"), (AY211/508.91)*100, AND(F211="Rat", BA211="mm3"), (AY211/1971)*100, AND(F211="Mouse", BA211="ul"), (AY211/508.91)*100, AND(F211="Rat", BA211="ul"), (AY211/1971)*100,  AND(F211="Mouse", BA211="nl"), (AY211/508910)*100, AND(F211="Rat", BA211="nl"), (AY211/1971000)*100, AND(F211="Mouse", BA211="cm3"), (AY211/0.50891)*100, AND(F211="Rat", BA211="cm3"), (AY211/1.971)*100, AND(F211="Mouse", BA211="mL"), (AY211/0.50891)*100, AND(F211="Rat", BA211="mL"), (AY211/1.971)*100, TRUE, "NA")</f>
        <v>NA</v>
      </c>
      <c r="BE211" cm="1">
        <f t="array" ref="BE211">_xlfn.IFS(AX211="NA", "NA", BB211="NR", "NA", BB211="SD", AX211, BB211="SE", AX211*(SQRT(R211)), BB211="SEM", AX211*(SQRT(R211)), TRUE, "NA")</f>
        <v>1.8</v>
      </c>
      <c r="BF211" cm="1">
        <f t="array" ref="BF211">_xlfn.IFS(BE211="NA", "NA",BA211="Direct rLV % whole brain", BE211, BA211="Indirect rLV % whole brain", BE211, BA211="Direct rLV % hemisphere", BE211/2, BA211="Indirect rLV % hemisphere", BE211/2, AND(F211="Mouse", BA211="mm3"), (BE211/508.91)*100, AND(F211="Rat", BA211="mm3"), (BE211/1971)*100, AND(F211="Mouse", BA211="ul"), (BE211/508.91)*100, AND(F211="Rat", BA211="ul"), (BE211/1971)*100,  AND(F211="Mouse", BA211="nl"), (BE211/508910)*100, AND(F211="Rat", BA211="nl"), (BE211/1971000)*100, AND(F211="Mouse", BA211="cm3"), (BE211/0.50891)*100, AND(F211="Rat", BA211="cm3"), (BE211/1.971)*100, AND(F211="Mouse", BA211="mL"), (BE211/0.50891)*100, AND(F211="Rat", BA211="mL"), (BE211/1.971)*100, TRUE, "NA")</f>
        <v>0.9</v>
      </c>
      <c r="BG211" t="str" cm="1">
        <f t="array" ref="BG211">_xlfn.IFS(AZ211="NA", "NA", BB211="NR", "NA", BB211="SD", AZ211, BB211="SE", AZ211*(SQRT(R211)), BB211="SEM", AZ211*(SQRT(R211)), TRUE, "NA")</f>
        <v>NA</v>
      </c>
      <c r="BH211" s="32" t="s">
        <v>154</v>
      </c>
      <c r="BI211" s="31" t="s">
        <v>153</v>
      </c>
      <c r="BJ211" s="31" t="s">
        <v>154</v>
      </c>
      <c r="BK211" s="31" t="s">
        <v>1203</v>
      </c>
    </row>
    <row r="212" spans="1:63" x14ac:dyDescent="0.3">
      <c r="A212" t="s">
        <v>1205</v>
      </c>
      <c r="B212" t="s">
        <v>1204</v>
      </c>
      <c r="C212">
        <v>1998</v>
      </c>
      <c r="D212" t="s">
        <v>1206</v>
      </c>
      <c r="E212" t="s">
        <v>647</v>
      </c>
      <c r="F212" t="s">
        <v>23</v>
      </c>
      <c r="G212" t="s">
        <v>73</v>
      </c>
      <c r="H212" t="s">
        <v>34</v>
      </c>
      <c r="I212" t="s">
        <v>12</v>
      </c>
      <c r="J212" t="s">
        <v>8</v>
      </c>
      <c r="K212" t="s">
        <v>9</v>
      </c>
      <c r="L212" t="s">
        <v>9</v>
      </c>
      <c r="M212" t="s">
        <v>9</v>
      </c>
      <c r="N212">
        <v>405</v>
      </c>
      <c r="O212">
        <f t="shared" si="40"/>
        <v>447.5</v>
      </c>
      <c r="P212">
        <v>490</v>
      </c>
      <c r="Q212">
        <v>2</v>
      </c>
      <c r="R212">
        <v>18</v>
      </c>
      <c r="S212" t="s">
        <v>8</v>
      </c>
      <c r="T212" t="s">
        <v>8</v>
      </c>
      <c r="U212" s="18" t="s">
        <v>66</v>
      </c>
      <c r="V212" t="s">
        <v>96</v>
      </c>
      <c r="W212" t="s">
        <v>8</v>
      </c>
      <c r="X212" t="s">
        <v>66</v>
      </c>
      <c r="Y212" t="s">
        <v>96</v>
      </c>
      <c r="Z212" t="s">
        <v>8</v>
      </c>
      <c r="AA212" t="s">
        <v>648</v>
      </c>
      <c r="AB212" t="s">
        <v>636</v>
      </c>
      <c r="AC212" t="s">
        <v>154</v>
      </c>
      <c r="AD212" t="s">
        <v>634</v>
      </c>
      <c r="AE212">
        <v>0</v>
      </c>
      <c r="AF212">
        <v>150</v>
      </c>
      <c r="AG212" t="s">
        <v>650</v>
      </c>
      <c r="AH212">
        <v>3</v>
      </c>
      <c r="AI212" cm="1">
        <f t="array" ref="AI212">_xlfn.IFS(AF212="NR", "NA", AG212="NR", "NA", AG212="NA","NA", AND(AG212="mg/ml", AH212&lt;&gt;"NR"), ((AF212/2492)*AH212*1000000), AND(AG212="mol/L", AH212&lt;&gt;"NR"), AF212*AH212*1000000, AG212="nmol", AF212*1000, AND(AG212="nmol/uL", AH212&lt;&gt;"NR"), AF212*AH212*1000, AG212="pg", AF212/2492, AG212="pmol", AF212, AND(AG212="pmol/uL", AH212&lt;&gt;"NR"), AF212*AH212, AG212="ug", AF212/2492*1000000, AND(AG212="ug/mL", AH212&lt;&gt;"NR"), (AF212/1000*AH212)/2492*1000000, AND(AG212="ug/uL", AH212&lt;&gt;"NR"), (AF212*AH212)/2492*1000000, AND(AG212="umol/L", AH212&lt;&gt;"NR"), AH212*AF212, TRUE, "NA")</f>
        <v>150</v>
      </c>
      <c r="AJ212">
        <f>3/6</f>
        <v>0.5</v>
      </c>
      <c r="AK212">
        <v>1</v>
      </c>
      <c r="AL212" t="s">
        <v>9</v>
      </c>
      <c r="AM212" t="s">
        <v>8</v>
      </c>
      <c r="AN212" t="s">
        <v>9</v>
      </c>
      <c r="AO212" s="18" t="s">
        <v>12</v>
      </c>
      <c r="AP212" t="s">
        <v>8</v>
      </c>
      <c r="AQ212" t="s">
        <v>8</v>
      </c>
      <c r="AR212" t="s">
        <v>8</v>
      </c>
      <c r="AS212" s="18">
        <v>1008</v>
      </c>
      <c r="AT212" t="s">
        <v>271</v>
      </c>
      <c r="AU212" t="s">
        <v>9</v>
      </c>
      <c r="AV212" t="s">
        <v>8</v>
      </c>
      <c r="AW212">
        <v>68.599999999999994</v>
      </c>
      <c r="AX212">
        <v>10.1</v>
      </c>
      <c r="AY212" t="s">
        <v>8</v>
      </c>
      <c r="AZ212" t="s">
        <v>8</v>
      </c>
      <c r="BA212" t="s">
        <v>656</v>
      </c>
      <c r="BB212" t="s">
        <v>123</v>
      </c>
      <c r="BC212" cm="1">
        <f t="array" ref="BC212">_xlfn.IFS(BA212="Direct rLV % whole brain", AW212, BA212="Indirect rLV % whole brain", AW212, BA212="Direct rLV % hemisphere", AW212/2, BA212="Indirect rLV % hemisphere", AW212/2, AND(F212="Mouse", BA212="mm3"), (AW212/508.91)*100, AND(F212="Rat", BA212="mm3"), (AW212/1971)*100, AND(F212="Mouse", BA212="ul"), (AW212/508.91)*100, AND(F212="Rat", BA212="ul"), (AW212/1971)*100,  AND(F212="Mouse", BA212="nl"), (AW212/508910)*100, AND(F212="Rat", BA212="nl"), (AW212/1971000)*100, AND(F212="Mouse", BA212="cm3"), (AW212/0.50891)*100, AND(F212="Rat", BA212="cm3"), (AW212/1.971)*100, AND(F212="Mouse", BA212="mL"), (AW212/0.50891)*100, AND(F212="Rat", BA212="mL"), (AW212/1.971)*100, TRUE, "NA")</f>
        <v>3.4804667681380006</v>
      </c>
      <c r="BD212" t="str" cm="1">
        <f t="array" ref="BD212">_xlfn.IFS(AZ212="NA", "NA",BA212="Direct rLV % whole brain", AY212, BA212="Indirect rLV % whole brain", AY212, BA212="Direct rLV % hemisphere", AY212/2, BA212="Indirect rLV % hemisphere", AY212/2, AND(F212="Mouse", BA212="mm3"), (AY212/508.91)*100, AND(F212="Rat", BA212="mm3"), (AY212/1971)*100, AND(F212="Mouse", BA212="ul"), (AY212/508.91)*100, AND(F212="Rat", BA212="ul"), (AY212/1971)*100,  AND(F212="Mouse", BA212="nl"), (AY212/508910)*100, AND(F212="Rat", BA212="nl"), (AY212/1971000)*100, AND(F212="Mouse", BA212="cm3"), (AY212/0.50891)*100, AND(F212="Rat", BA212="cm3"), (AY212/1.971)*100, AND(F212="Mouse", BA212="mL"), (AY212/0.50891)*100, AND(F212="Rat", BA212="mL"), (AY212/1.971)*100, TRUE, "NA")</f>
        <v>NA</v>
      </c>
      <c r="BE212" cm="1">
        <f t="array" ref="BE212">_xlfn.IFS(AX212="NA", "NA", BB212="NR", "NA", BB212="SD", AX212, BB212="SE", AX212*(SQRT(R212)), BB212="SEM", AX212*(SQRT(R212)), TRUE, "NA")</f>
        <v>42.850670939904774</v>
      </c>
      <c r="BF212" cm="1">
        <f t="array" ref="BF212">_xlfn.IFS(BE212="NA", "NA",BA212="Direct rLV % whole brain", BE212, BA212="Indirect rLV % whole brain", BE212, BA212="Direct rLV % hemisphere", BE212/2, BA212="Indirect rLV % hemisphere", BE212/2, AND(F212="Mouse", BA212="mm3"), (BE212/508.91)*100, AND(F212="Rat", BA212="mm3"), (BE212/1971)*100, AND(F212="Mouse", BA212="ul"), (BE212/508.91)*100, AND(F212="Rat", BA212="ul"), (BE212/1971)*100,  AND(F212="Mouse", BA212="nl"), (BE212/508910)*100, AND(F212="Rat", BA212="nl"), (BE212/1971000)*100, AND(F212="Mouse", BA212="cm3"), (BE212/0.50891)*100, AND(F212="Rat", BA212="cm3"), (BE212/1.971)*100, AND(F212="Mouse", BA212="mL"), (BE212/0.50891)*100, AND(F212="Rat", BA212="mL"), (BE212/1.971)*100, TRUE, "NA")</f>
        <v>2.1740573789906024</v>
      </c>
      <c r="BG212" t="str" cm="1">
        <f t="array" ref="BG212">_xlfn.IFS(AZ212="NA", "NA", BB212="NR", "NA", BB212="SD", AZ212, BB212="SE", AZ212*(SQRT(R212)), BB212="SEM", AZ212*(SQRT(R212)), TRUE, "NA")</f>
        <v>NA</v>
      </c>
      <c r="BH212" s="18" t="s">
        <v>154</v>
      </c>
      <c r="BI212" t="s">
        <v>153</v>
      </c>
      <c r="BJ212" t="s">
        <v>154</v>
      </c>
      <c r="BK212" t="s">
        <v>1207</v>
      </c>
    </row>
    <row r="213" spans="1:63" s="31" customFormat="1" x14ac:dyDescent="0.3">
      <c r="A213" s="31" t="s">
        <v>1209</v>
      </c>
      <c r="B213" s="31" t="s">
        <v>1208</v>
      </c>
      <c r="C213" s="31">
        <v>2016</v>
      </c>
      <c r="D213" s="31" t="s">
        <v>1210</v>
      </c>
      <c r="E213" s="31" t="s">
        <v>647</v>
      </c>
      <c r="F213" s="31" t="s">
        <v>23</v>
      </c>
      <c r="G213" s="31" t="s">
        <v>10</v>
      </c>
      <c r="H213" s="31" t="s">
        <v>34</v>
      </c>
      <c r="I213" s="31" t="s">
        <v>12</v>
      </c>
      <c r="J213" s="31" t="s">
        <v>8</v>
      </c>
      <c r="K213" s="31">
        <v>15</v>
      </c>
      <c r="L213" s="31">
        <f>AVERAGE(K213,M213)</f>
        <v>16</v>
      </c>
      <c r="M213" s="31">
        <v>17</v>
      </c>
      <c r="N213" s="31">
        <v>400</v>
      </c>
      <c r="O213" s="31">
        <f t="shared" si="40"/>
        <v>425</v>
      </c>
      <c r="P213" s="31">
        <v>450</v>
      </c>
      <c r="Q213" s="31">
        <v>1</v>
      </c>
      <c r="R213" s="31">
        <v>7</v>
      </c>
      <c r="S213" s="31" t="s">
        <v>8</v>
      </c>
      <c r="T213" s="31" t="s">
        <v>8</v>
      </c>
      <c r="U213" s="32" t="s">
        <v>68</v>
      </c>
      <c r="V213" s="31" t="s">
        <v>8</v>
      </c>
      <c r="W213" s="31" t="s">
        <v>8</v>
      </c>
      <c r="X213" s="31" t="s">
        <v>68</v>
      </c>
      <c r="Y213" s="31" t="s">
        <v>8</v>
      </c>
      <c r="Z213" s="31" t="s">
        <v>8</v>
      </c>
      <c r="AA213" s="31" t="s">
        <v>640</v>
      </c>
      <c r="AB213" s="31" t="s">
        <v>637</v>
      </c>
      <c r="AC213" s="31" t="s">
        <v>154</v>
      </c>
      <c r="AD213" s="31" t="s">
        <v>634</v>
      </c>
      <c r="AE213" s="31">
        <v>0</v>
      </c>
      <c r="AF213" s="31">
        <v>400</v>
      </c>
      <c r="AG213" s="31" t="s">
        <v>650</v>
      </c>
      <c r="AH213" s="31">
        <v>2</v>
      </c>
      <c r="AI213" cm="1">
        <f t="array" ref="AI213">_xlfn.IFS(AF213="NR", "NA", AG213="NR", "NA", AG213="NA","NA", AND(AG213="mg/ml", AH213&lt;&gt;"NR"), ((AF213/2492)*AH213*1000000), AND(AG213="mol/L", AH213&lt;&gt;"NR"), AF213*AH213*1000000, AG213="nmol", AF213*1000, AND(AG213="nmol/uL", AH213&lt;&gt;"NR"), AF213*AH213*1000, AG213="pg", AF213/2492, AG213="pmol", AF213, AND(AG213="pmol/uL", AH213&lt;&gt;"NR"), AF213*AH213, AG213="ug", AF213/2492*1000000, AND(AG213="ug/mL", AH213&lt;&gt;"NR"), (AF213/1000*AH213)/2492*1000000, AND(AG213="ug/uL", AH213&lt;&gt;"NR"), (AF213*AH213)/2492*1000000, AND(AG213="umol/L", AH213&lt;&gt;"NR"), AH213*AF213, TRUE, "NA")</f>
        <v>400</v>
      </c>
      <c r="AJ213" s="31" t="s">
        <v>9</v>
      </c>
      <c r="AK213" s="31">
        <v>2</v>
      </c>
      <c r="AL213" s="31" t="s">
        <v>701</v>
      </c>
      <c r="AM213" s="31" t="s">
        <v>886</v>
      </c>
      <c r="AN213" s="31" t="s">
        <v>9</v>
      </c>
      <c r="AO213" s="32" t="s">
        <v>12</v>
      </c>
      <c r="AP213" s="31" t="s">
        <v>8</v>
      </c>
      <c r="AQ213" s="31" t="s">
        <v>8</v>
      </c>
      <c r="AR213" s="31" t="s">
        <v>8</v>
      </c>
      <c r="AS213" s="32">
        <v>672</v>
      </c>
      <c r="AT213" s="31" t="s">
        <v>271</v>
      </c>
      <c r="AU213" s="31" t="s">
        <v>652</v>
      </c>
      <c r="AV213" s="31" t="s">
        <v>8</v>
      </c>
      <c r="AW213" s="31">
        <f>AVERAGE(11.1,16.25,19.49,19.32,23.83,26.78,50.16)</f>
        <v>23.84714285714286</v>
      </c>
      <c r="AX213" s="31">
        <f>_xlfn.STDEV.S(11.1,16.25,19.49,19.32,23.83,26.78,50.16)</f>
        <v>12.653420768426891</v>
      </c>
      <c r="AY213" s="31" t="s">
        <v>8</v>
      </c>
      <c r="AZ213" s="31" t="s">
        <v>8</v>
      </c>
      <c r="BA213" s="31" t="s">
        <v>656</v>
      </c>
      <c r="BB213" s="31" t="s">
        <v>122</v>
      </c>
      <c r="BC213" cm="1">
        <f t="array" ref="BC213">_xlfn.IFS(BA213="Direct rLV % whole brain", AW213, BA213="Indirect rLV % whole brain", AW213, BA213="Direct rLV % hemisphere", AW213/2, BA213="Indirect rLV % hemisphere", AW213/2, AND(F213="Mouse", BA213="mm3"), (AW213/508.91)*100, AND(F213="Rat", BA213="mm3"), (AW213/1971)*100, AND(F213="Mouse", BA213="ul"), (AW213/508.91)*100, AND(F213="Rat", BA213="ul"), (AW213/1971)*100,  AND(F213="Mouse", BA213="nl"), (AW213/508910)*100, AND(F213="Rat", BA213="nl"), (AW213/1971000)*100, AND(F213="Mouse", BA213="cm3"), (AW213/0.50891)*100, AND(F213="Rat", BA213="cm3"), (AW213/1.971)*100, AND(F213="Mouse", BA213="mL"), (AW213/0.50891)*100, AND(F213="Rat", BA213="mL"), (AW213/1.971)*100, TRUE, "NA")</f>
        <v>1.2099007030513882</v>
      </c>
      <c r="BD213" t="str" cm="1">
        <f t="array" ref="BD213">_xlfn.IFS(AZ213="NA", "NA",BA213="Direct rLV % whole brain", AY213, BA213="Indirect rLV % whole brain", AY213, BA213="Direct rLV % hemisphere", AY213/2, BA213="Indirect rLV % hemisphere", AY213/2, AND(F213="Mouse", BA213="mm3"), (AY213/508.91)*100, AND(F213="Rat", BA213="mm3"), (AY213/1971)*100, AND(F213="Mouse", BA213="ul"), (AY213/508.91)*100, AND(F213="Rat", BA213="ul"), (AY213/1971)*100,  AND(F213="Mouse", BA213="nl"), (AY213/508910)*100, AND(F213="Rat", BA213="nl"), (AY213/1971000)*100, AND(F213="Mouse", BA213="cm3"), (AY213/0.50891)*100, AND(F213="Rat", BA213="cm3"), (AY213/1.971)*100, AND(F213="Mouse", BA213="mL"), (AY213/0.50891)*100, AND(F213="Rat", BA213="mL"), (AY213/1.971)*100, TRUE, "NA")</f>
        <v>NA</v>
      </c>
      <c r="BE213" cm="1">
        <f t="array" ref="BE213">_xlfn.IFS(AX213="NA", "NA", BB213="NR", "NA", BB213="SD", AX213, BB213="SE", AX213*(SQRT(R213)), BB213="SEM", AX213*(SQRT(R213)), TRUE, "NA")</f>
        <v>12.653420768426891</v>
      </c>
      <c r="BF213" cm="1">
        <f t="array" ref="BF213">_xlfn.IFS(BE213="NA", "NA",BA213="Direct rLV % whole brain", BE213, BA213="Indirect rLV % whole brain", BE213, BA213="Direct rLV % hemisphere", BE213/2, BA213="Indirect rLV % hemisphere", BE213/2, AND(F213="Mouse", BA213="mm3"), (BE213/508.91)*100, AND(F213="Rat", BA213="mm3"), (BE213/1971)*100, AND(F213="Mouse", BA213="ul"), (BE213/508.91)*100, AND(F213="Rat", BA213="ul"), (BE213/1971)*100,  AND(F213="Mouse", BA213="nl"), (BE213/508910)*100, AND(F213="Rat", BA213="nl"), (BE213/1971000)*100, AND(F213="Mouse", BA213="cm3"), (BE213/0.50891)*100, AND(F213="Rat", BA213="cm3"), (BE213/1.971)*100, AND(F213="Mouse", BA213="mL"), (BE213/0.50891)*100, AND(F213="Rat", BA213="mL"), (BE213/1.971)*100, TRUE, "NA")</f>
        <v>0.64197974471978136</v>
      </c>
      <c r="BG213" t="str" cm="1">
        <f t="array" ref="BG213">_xlfn.IFS(AZ213="NA", "NA", BB213="NR", "NA", BB213="SD", AZ213, BB213="SE", AZ213*(SQRT(R213)), BB213="SEM", AZ213*(SQRT(R213)), TRUE, "NA")</f>
        <v>NA</v>
      </c>
      <c r="BH213" s="32" t="s">
        <v>154</v>
      </c>
      <c r="BI213" s="31" t="s">
        <v>154</v>
      </c>
      <c r="BJ213" s="31" t="s">
        <v>154</v>
      </c>
      <c r="BK213" s="31" t="s">
        <v>1211</v>
      </c>
    </row>
    <row r="214" spans="1:63" x14ac:dyDescent="0.3">
      <c r="A214" t="s">
        <v>1212</v>
      </c>
      <c r="B214" t="s">
        <v>1042</v>
      </c>
      <c r="C214">
        <v>2006</v>
      </c>
      <c r="D214" t="s">
        <v>1213</v>
      </c>
      <c r="E214" t="s">
        <v>647</v>
      </c>
      <c r="F214" t="s">
        <v>23</v>
      </c>
      <c r="G214" t="s">
        <v>47</v>
      </c>
      <c r="H214" t="s">
        <v>34</v>
      </c>
      <c r="I214" t="s">
        <v>12</v>
      </c>
      <c r="J214" t="s">
        <v>8</v>
      </c>
      <c r="K214" t="s">
        <v>9</v>
      </c>
      <c r="L214" t="s">
        <v>9</v>
      </c>
      <c r="M214" t="s">
        <v>9</v>
      </c>
      <c r="N214" t="s">
        <v>8</v>
      </c>
      <c r="O214">
        <v>300</v>
      </c>
      <c r="P214" t="s">
        <v>8</v>
      </c>
      <c r="Q214">
        <v>9</v>
      </c>
      <c r="R214">
        <v>9</v>
      </c>
      <c r="S214" t="s">
        <v>8</v>
      </c>
      <c r="T214" t="s">
        <v>8</v>
      </c>
      <c r="U214" s="18" t="s">
        <v>66</v>
      </c>
      <c r="V214" t="s">
        <v>96</v>
      </c>
      <c r="W214" t="s">
        <v>8</v>
      </c>
      <c r="X214" t="s">
        <v>66</v>
      </c>
      <c r="Y214" t="s">
        <v>96</v>
      </c>
      <c r="Z214" t="s">
        <v>8</v>
      </c>
      <c r="AA214" t="s">
        <v>641</v>
      </c>
      <c r="AB214" t="s">
        <v>636</v>
      </c>
      <c r="AC214" t="s">
        <v>154</v>
      </c>
      <c r="AD214" t="s">
        <v>634</v>
      </c>
      <c r="AE214">
        <v>0</v>
      </c>
      <c r="AF214">
        <v>1200</v>
      </c>
      <c r="AG214" t="s">
        <v>650</v>
      </c>
      <c r="AH214">
        <v>30</v>
      </c>
      <c r="AI214" cm="1">
        <f t="array" ref="AI214">_xlfn.IFS(AF214="NR", "NA", AG214="NR", "NA", AG214="NA","NA", AND(AG214="mg/ml", AH214&lt;&gt;"NR"), ((AF214/2492)*AH214*1000000), AND(AG214="mol/L", AH214&lt;&gt;"NR"), AF214*AH214*1000000, AG214="nmol", AF214*1000, AND(AG214="nmol/uL", AH214&lt;&gt;"NR"), AF214*AH214*1000, AG214="pg", AF214/2492, AG214="pmol", AF214, AND(AG214="pmol/uL", AH214&lt;&gt;"NR"), AF214*AH214, AG214="ug", AF214/2492*1000000, AND(AG214="ug/mL", AH214&lt;&gt;"NR"), (AF214/1000*AH214)/2492*1000000, AND(AG214="ug/uL", AH214&lt;&gt;"NR"), (AF214*AH214)/2492*1000000, AND(AG214="umol/L", AH214&lt;&gt;"NR"), AH214*AF214, TRUE, "NA")</f>
        <v>1200</v>
      </c>
      <c r="AJ214" t="s">
        <v>9</v>
      </c>
      <c r="AK214">
        <v>1</v>
      </c>
      <c r="AL214" t="s">
        <v>9</v>
      </c>
      <c r="AM214" t="s">
        <v>8</v>
      </c>
      <c r="AN214" t="s">
        <v>9</v>
      </c>
      <c r="AO214" s="18" t="s">
        <v>12</v>
      </c>
      <c r="AP214" t="s">
        <v>8</v>
      </c>
      <c r="AQ214" t="s">
        <v>8</v>
      </c>
      <c r="AR214" t="s">
        <v>8</v>
      </c>
      <c r="AS214" s="18">
        <v>720</v>
      </c>
      <c r="AT214" t="s">
        <v>271</v>
      </c>
      <c r="AU214" t="s">
        <v>652</v>
      </c>
      <c r="AV214" t="s">
        <v>8</v>
      </c>
      <c r="AW214">
        <v>20.87</v>
      </c>
      <c r="AX214">
        <v>1.6</v>
      </c>
      <c r="AY214" t="s">
        <v>8</v>
      </c>
      <c r="AZ214" t="s">
        <v>8</v>
      </c>
      <c r="BA214" t="s">
        <v>656</v>
      </c>
      <c r="BB214" t="s">
        <v>123</v>
      </c>
      <c r="BC214" cm="1">
        <f t="array" ref="BC214">_xlfn.IFS(BA214="Direct rLV % whole brain", AW214, BA214="Indirect rLV % whole brain", AW214, BA214="Direct rLV % hemisphere", AW214/2, BA214="Indirect rLV % hemisphere", AW214/2, AND(F214="Mouse", BA214="mm3"), (AW214/508.91)*100, AND(F214="Rat", BA214="mm3"), (AW214/1971)*100, AND(F214="Mouse", BA214="ul"), (AW214/508.91)*100, AND(F214="Rat", BA214="ul"), (AW214/1971)*100,  AND(F214="Mouse", BA214="nl"), (AW214/508910)*100, AND(F214="Rat", BA214="nl"), (AW214/1971000)*100, AND(F214="Mouse", BA214="cm3"), (AW214/0.50891)*100, AND(F214="Rat", BA214="cm3"), (AW214/1.971)*100, AND(F214="Mouse", BA214="mL"), (AW214/0.50891)*100, AND(F214="Rat", BA214="mL"), (AW214/1.971)*100, TRUE, "NA")</f>
        <v>1.0588533739218671</v>
      </c>
      <c r="BD214" t="str" cm="1">
        <f t="array" ref="BD214">_xlfn.IFS(AZ214="NA", "NA",BA214="Direct rLV % whole brain", AY214, BA214="Indirect rLV % whole brain", AY214, BA214="Direct rLV % hemisphere", AY214/2, BA214="Indirect rLV % hemisphere", AY214/2, AND(F214="Mouse", BA214="mm3"), (AY214/508.91)*100, AND(F214="Rat", BA214="mm3"), (AY214/1971)*100, AND(F214="Mouse", BA214="ul"), (AY214/508.91)*100, AND(F214="Rat", BA214="ul"), (AY214/1971)*100,  AND(F214="Mouse", BA214="nl"), (AY214/508910)*100, AND(F214="Rat", BA214="nl"), (AY214/1971000)*100, AND(F214="Mouse", BA214="cm3"), (AY214/0.50891)*100, AND(F214="Rat", BA214="cm3"), (AY214/1.971)*100, AND(F214="Mouse", BA214="mL"), (AY214/0.50891)*100, AND(F214="Rat", BA214="mL"), (AY214/1.971)*100, TRUE, "NA")</f>
        <v>NA</v>
      </c>
      <c r="BE214" cm="1">
        <f t="array" ref="BE214">_xlfn.IFS(AX214="NA", "NA", BB214="NR", "NA", BB214="SD", AX214, BB214="SE", AX214*(SQRT(R214)), BB214="SEM", AX214*(SQRT(R214)), TRUE, "NA")</f>
        <v>4.8000000000000007</v>
      </c>
      <c r="BF214" cm="1">
        <f t="array" ref="BF214">_xlfn.IFS(BE214="NA", "NA",BA214="Direct rLV % whole brain", BE214, BA214="Indirect rLV % whole brain", BE214, BA214="Direct rLV % hemisphere", BE214/2, BA214="Indirect rLV % hemisphere", BE214/2, AND(F214="Mouse", BA214="mm3"), (BE214/508.91)*100, AND(F214="Rat", BA214="mm3"), (BE214/1971)*100, AND(F214="Mouse", BA214="ul"), (BE214/508.91)*100, AND(F214="Rat", BA214="ul"), (BE214/1971)*100,  AND(F214="Mouse", BA214="nl"), (BE214/508910)*100, AND(F214="Rat", BA214="nl"), (BE214/1971000)*100, AND(F214="Mouse", BA214="cm3"), (BE214/0.50891)*100, AND(F214="Rat", BA214="cm3"), (BE214/1.971)*100, AND(F214="Mouse", BA214="mL"), (BE214/0.50891)*100, AND(F214="Rat", BA214="mL"), (BE214/1.971)*100, TRUE, "NA")</f>
        <v>0.24353120243531204</v>
      </c>
      <c r="BG214" t="str" cm="1">
        <f t="array" ref="BG214">_xlfn.IFS(AZ214="NA", "NA", BB214="NR", "NA", BB214="SD", AZ214, BB214="SE", AZ214*(SQRT(R214)), BB214="SEM", AZ214*(SQRT(R214)), TRUE, "NA")</f>
        <v>NA</v>
      </c>
      <c r="BH214" s="18" t="s">
        <v>153</v>
      </c>
      <c r="BI214" t="s">
        <v>153</v>
      </c>
      <c r="BJ214" t="s">
        <v>154</v>
      </c>
    </row>
    <row r="215" spans="1:63" x14ac:dyDescent="0.3">
      <c r="A215" t="s">
        <v>1212</v>
      </c>
      <c r="B215" t="s">
        <v>1042</v>
      </c>
      <c r="C215">
        <v>2006</v>
      </c>
      <c r="D215" t="s">
        <v>1213</v>
      </c>
      <c r="E215" t="s">
        <v>678</v>
      </c>
      <c r="F215" t="s">
        <v>23</v>
      </c>
      <c r="G215" t="s">
        <v>47</v>
      </c>
      <c r="H215" t="s">
        <v>34</v>
      </c>
      <c r="I215" t="s">
        <v>12</v>
      </c>
      <c r="J215" t="s">
        <v>8</v>
      </c>
      <c r="K215" t="s">
        <v>9</v>
      </c>
      <c r="L215" t="s">
        <v>9</v>
      </c>
      <c r="M215" t="s">
        <v>9</v>
      </c>
      <c r="N215" t="s">
        <v>8</v>
      </c>
      <c r="O215">
        <v>300</v>
      </c>
      <c r="P215" t="s">
        <v>8</v>
      </c>
      <c r="Q215">
        <v>9</v>
      </c>
      <c r="R215">
        <v>19</v>
      </c>
      <c r="S215" t="s">
        <v>8</v>
      </c>
      <c r="T215" t="s">
        <v>8</v>
      </c>
      <c r="U215" s="18" t="s">
        <v>66</v>
      </c>
      <c r="V215" t="s">
        <v>96</v>
      </c>
      <c r="W215" t="s">
        <v>8</v>
      </c>
      <c r="X215" t="s">
        <v>66</v>
      </c>
      <c r="Y215" t="s">
        <v>96</v>
      </c>
      <c r="Z215" t="s">
        <v>8</v>
      </c>
      <c r="AA215" t="s">
        <v>641</v>
      </c>
      <c r="AB215" t="s">
        <v>636</v>
      </c>
      <c r="AC215" t="s">
        <v>154</v>
      </c>
      <c r="AD215" t="s">
        <v>634</v>
      </c>
      <c r="AE215">
        <v>0</v>
      </c>
      <c r="AF215">
        <v>2000</v>
      </c>
      <c r="AG215" t="s">
        <v>650</v>
      </c>
      <c r="AH215">
        <v>20</v>
      </c>
      <c r="AI215" cm="1">
        <f t="array" ref="AI215">_xlfn.IFS(AF215="NR", "NA", AG215="NR", "NA", AG215="NA","NA", AND(AG215="mg/ml", AH215&lt;&gt;"NR"), ((AF215/2492)*AH215*1000000), AND(AG215="mol/L", AH215&lt;&gt;"NR"), AF215*AH215*1000000, AG215="nmol", AF215*1000, AND(AG215="nmol/uL", AH215&lt;&gt;"NR"), AF215*AH215*1000, AG215="pg", AF215/2492, AG215="pmol", AF215, AND(AG215="pmol/uL", AH215&lt;&gt;"NR"), AF215*AH215, AG215="ug", AF215/2492*1000000, AND(AG215="ug/mL", AH215&lt;&gt;"NR"), (AF215/1000*AH215)/2492*1000000, AND(AG215="ug/uL", AH215&lt;&gt;"NR"), (AF215*AH215)/2492*1000000, AND(AG215="umol/L", AH215&lt;&gt;"NR"), AH215*AF215, TRUE, "NA")</f>
        <v>2000</v>
      </c>
      <c r="AJ215" t="s">
        <v>9</v>
      </c>
      <c r="AK215">
        <v>1</v>
      </c>
      <c r="AL215" t="s">
        <v>9</v>
      </c>
      <c r="AM215" t="s">
        <v>8</v>
      </c>
      <c r="AN215" t="s">
        <v>9</v>
      </c>
      <c r="AO215" s="18" t="s">
        <v>12</v>
      </c>
      <c r="AP215" t="s">
        <v>8</v>
      </c>
      <c r="AQ215" t="s">
        <v>8</v>
      </c>
      <c r="AR215" t="s">
        <v>8</v>
      </c>
      <c r="AS215" s="18">
        <v>720</v>
      </c>
      <c r="AT215" t="s">
        <v>271</v>
      </c>
      <c r="AU215" t="s">
        <v>652</v>
      </c>
      <c r="AV215" t="s">
        <v>8</v>
      </c>
      <c r="AW215">
        <v>17.88</v>
      </c>
      <c r="AX215">
        <v>2.5</v>
      </c>
      <c r="AY215" t="s">
        <v>8</v>
      </c>
      <c r="AZ215" t="s">
        <v>8</v>
      </c>
      <c r="BA215" t="s">
        <v>656</v>
      </c>
      <c r="BB215" t="s">
        <v>123</v>
      </c>
      <c r="BC215" cm="1">
        <f t="array" ref="BC215">_xlfn.IFS(BA215="Direct rLV % whole brain", AW215, BA215="Indirect rLV % whole brain", AW215, BA215="Direct rLV % hemisphere", AW215/2, BA215="Indirect rLV % hemisphere", AW215/2, AND(F215="Mouse", BA215="mm3"), (AW215/508.91)*100, AND(F215="Rat", BA215="mm3"), (AW215/1971)*100, AND(F215="Mouse", BA215="ul"), (AW215/508.91)*100, AND(F215="Rat", BA215="ul"), (AW215/1971)*100,  AND(F215="Mouse", BA215="nl"), (AW215/508910)*100, AND(F215="Rat", BA215="nl"), (AW215/1971000)*100, AND(F215="Mouse", BA215="cm3"), (AW215/0.50891)*100, AND(F215="Rat", BA215="cm3"), (AW215/1.971)*100, AND(F215="Mouse", BA215="mL"), (AW215/0.50891)*100, AND(F215="Rat", BA215="mL"), (AW215/1.971)*100, TRUE, "NA")</f>
        <v>0.90715372907153724</v>
      </c>
      <c r="BD215" t="str" cm="1">
        <f t="array" ref="BD215">_xlfn.IFS(AZ215="NA", "NA",BA215="Direct rLV % whole brain", AY215, BA215="Indirect rLV % whole brain", AY215, BA215="Direct rLV % hemisphere", AY215/2, BA215="Indirect rLV % hemisphere", AY215/2, AND(F215="Mouse", BA215="mm3"), (AY215/508.91)*100, AND(F215="Rat", BA215="mm3"), (AY215/1971)*100, AND(F215="Mouse", BA215="ul"), (AY215/508.91)*100, AND(F215="Rat", BA215="ul"), (AY215/1971)*100,  AND(F215="Mouse", BA215="nl"), (AY215/508910)*100, AND(F215="Rat", BA215="nl"), (AY215/1971000)*100, AND(F215="Mouse", BA215="cm3"), (AY215/0.50891)*100, AND(F215="Rat", BA215="cm3"), (AY215/1.971)*100, AND(F215="Mouse", BA215="mL"), (AY215/0.50891)*100, AND(F215="Rat", BA215="mL"), (AY215/1.971)*100, TRUE, "NA")</f>
        <v>NA</v>
      </c>
      <c r="BE215" cm="1">
        <f t="array" ref="BE215">_xlfn.IFS(AX215="NA", "NA", BB215="NR", "NA", BB215="SD", AX215, BB215="SE", AX215*(SQRT(R215)), BB215="SEM", AX215*(SQRT(R215)), TRUE, "NA")</f>
        <v>10.897247358851684</v>
      </c>
      <c r="BF215" cm="1">
        <f t="array" ref="BF215">_xlfn.IFS(BE215="NA", "NA",BA215="Direct rLV % whole brain", BE215, BA215="Indirect rLV % whole brain", BE215, BA215="Direct rLV % hemisphere", BE215/2, BA215="Indirect rLV % hemisphere", BE215/2, AND(F215="Mouse", BA215="mm3"), (BE215/508.91)*100, AND(F215="Rat", BA215="mm3"), (BE215/1971)*100, AND(F215="Mouse", BA215="ul"), (BE215/508.91)*100, AND(F215="Rat", BA215="ul"), (BE215/1971)*100,  AND(F215="Mouse", BA215="nl"), (BE215/508910)*100, AND(F215="Rat", BA215="nl"), (BE215/1971000)*100, AND(F215="Mouse", BA215="cm3"), (BE215/0.50891)*100, AND(F215="Rat", BA215="cm3"), (BE215/1.971)*100, AND(F215="Mouse", BA215="mL"), (BE215/0.50891)*100, AND(F215="Rat", BA215="mL"), (BE215/1.971)*100, TRUE, "NA")</f>
        <v>0.55287911511170384</v>
      </c>
      <c r="BG215" t="str" cm="1">
        <f t="array" ref="BG215">_xlfn.IFS(AZ215="NA", "NA", BB215="NR", "NA", BB215="SD", AZ215, BB215="SE", AZ215*(SQRT(R215)), BB215="SEM", AZ215*(SQRT(R215)), TRUE, "NA")</f>
        <v>NA</v>
      </c>
      <c r="BH215" s="18" t="s">
        <v>153</v>
      </c>
      <c r="BI215" t="s">
        <v>153</v>
      </c>
      <c r="BJ215" t="s">
        <v>154</v>
      </c>
    </row>
    <row r="216" spans="1:63" x14ac:dyDescent="0.3">
      <c r="A216" t="s">
        <v>1212</v>
      </c>
      <c r="B216" t="s">
        <v>1042</v>
      </c>
      <c r="C216">
        <v>2006</v>
      </c>
      <c r="D216" t="s">
        <v>1213</v>
      </c>
      <c r="E216" t="s">
        <v>699</v>
      </c>
      <c r="F216" t="s">
        <v>23</v>
      </c>
      <c r="G216" t="s">
        <v>47</v>
      </c>
      <c r="H216" t="s">
        <v>34</v>
      </c>
      <c r="I216" t="s">
        <v>12</v>
      </c>
      <c r="J216" t="s">
        <v>8</v>
      </c>
      <c r="K216" t="s">
        <v>9</v>
      </c>
      <c r="L216" t="s">
        <v>9</v>
      </c>
      <c r="M216" t="s">
        <v>9</v>
      </c>
      <c r="N216" t="s">
        <v>8</v>
      </c>
      <c r="O216">
        <v>300</v>
      </c>
      <c r="P216" t="s">
        <v>8</v>
      </c>
      <c r="Q216">
        <v>9</v>
      </c>
      <c r="R216">
        <v>4</v>
      </c>
      <c r="S216" t="s">
        <v>8</v>
      </c>
      <c r="T216" t="s">
        <v>8</v>
      </c>
      <c r="U216" s="18" t="s">
        <v>66</v>
      </c>
      <c r="V216" t="s">
        <v>96</v>
      </c>
      <c r="W216" t="s">
        <v>8</v>
      </c>
      <c r="X216" t="s">
        <v>66</v>
      </c>
      <c r="Y216" t="s">
        <v>96</v>
      </c>
      <c r="Z216" t="s">
        <v>8</v>
      </c>
      <c r="AA216" t="s">
        <v>639</v>
      </c>
      <c r="AB216" t="s">
        <v>636</v>
      </c>
      <c r="AC216" t="s">
        <v>154</v>
      </c>
      <c r="AD216" t="s">
        <v>634</v>
      </c>
      <c r="AE216">
        <v>0</v>
      </c>
      <c r="AF216">
        <v>4000</v>
      </c>
      <c r="AG216" t="s">
        <v>650</v>
      </c>
      <c r="AH216">
        <v>10</v>
      </c>
      <c r="AI216" cm="1">
        <f t="array" ref="AI216">_xlfn.IFS(AF216="NR", "NA", AG216="NR", "NA", AG216="NA","NA", AND(AG216="mg/ml", AH216&lt;&gt;"NR"), ((AF216/2492)*AH216*1000000), AND(AG216="mol/L", AH216&lt;&gt;"NR"), AF216*AH216*1000000, AG216="nmol", AF216*1000, AND(AG216="nmol/uL", AH216&lt;&gt;"NR"), AF216*AH216*1000, AG216="pg", AF216/2492, AG216="pmol", AF216, AND(AG216="pmol/uL", AH216&lt;&gt;"NR"), AF216*AH216, AG216="ug", AF216/2492*1000000, AND(AG216="ug/mL", AH216&lt;&gt;"NR"), (AF216/1000*AH216)/2492*1000000, AND(AG216="ug/uL", AH216&lt;&gt;"NR"), (AF216*AH216)/2492*1000000, AND(AG216="umol/L", AH216&lt;&gt;"NR"), AH216*AF216, TRUE, "NA")</f>
        <v>4000</v>
      </c>
      <c r="AJ216" t="s">
        <v>9</v>
      </c>
      <c r="AK216">
        <v>1</v>
      </c>
      <c r="AL216" t="s">
        <v>9</v>
      </c>
      <c r="AM216" t="s">
        <v>8</v>
      </c>
      <c r="AN216" t="s">
        <v>9</v>
      </c>
      <c r="AO216" s="18" t="s">
        <v>12</v>
      </c>
      <c r="AP216" t="s">
        <v>8</v>
      </c>
      <c r="AQ216" t="s">
        <v>8</v>
      </c>
      <c r="AR216" t="s">
        <v>8</v>
      </c>
      <c r="AS216" s="18">
        <v>720</v>
      </c>
      <c r="AT216" t="s">
        <v>271</v>
      </c>
      <c r="AU216" t="s">
        <v>652</v>
      </c>
      <c r="AV216" t="s">
        <v>8</v>
      </c>
      <c r="AW216">
        <v>20.22</v>
      </c>
      <c r="AX216">
        <v>7.4</v>
      </c>
      <c r="AY216" t="s">
        <v>8</v>
      </c>
      <c r="AZ216" t="s">
        <v>8</v>
      </c>
      <c r="BA216" t="s">
        <v>656</v>
      </c>
      <c r="BB216" t="s">
        <v>123</v>
      </c>
      <c r="BC216" cm="1">
        <f t="array" ref="BC216">_xlfn.IFS(BA216="Direct rLV % whole brain", AW216, BA216="Indirect rLV % whole brain", AW216, BA216="Direct rLV % hemisphere", AW216/2, BA216="Indirect rLV % hemisphere", AW216/2, AND(F216="Mouse", BA216="mm3"), (AW216/508.91)*100, AND(F216="Rat", BA216="mm3"), (AW216/1971)*100, AND(F216="Mouse", BA216="ul"), (AW216/508.91)*100, AND(F216="Rat", BA216="ul"), (AW216/1971)*100,  AND(F216="Mouse", BA216="nl"), (AW216/508910)*100, AND(F216="Rat", BA216="nl"), (AW216/1971000)*100, AND(F216="Mouse", BA216="cm3"), (AW216/0.50891)*100, AND(F216="Rat", BA216="cm3"), (AW216/1.971)*100, AND(F216="Mouse", BA216="mL"), (AW216/0.50891)*100, AND(F216="Rat", BA216="mL"), (AW216/1.971)*100, TRUE, "NA")</f>
        <v>1.025875190258752</v>
      </c>
      <c r="BD216" t="str" cm="1">
        <f t="array" ref="BD216">_xlfn.IFS(AZ216="NA", "NA",BA216="Direct rLV % whole brain", AY216, BA216="Indirect rLV % whole brain", AY216, BA216="Direct rLV % hemisphere", AY216/2, BA216="Indirect rLV % hemisphere", AY216/2, AND(F216="Mouse", BA216="mm3"), (AY216/508.91)*100, AND(F216="Rat", BA216="mm3"), (AY216/1971)*100, AND(F216="Mouse", BA216="ul"), (AY216/508.91)*100, AND(F216="Rat", BA216="ul"), (AY216/1971)*100,  AND(F216="Mouse", BA216="nl"), (AY216/508910)*100, AND(F216="Rat", BA216="nl"), (AY216/1971000)*100, AND(F216="Mouse", BA216="cm3"), (AY216/0.50891)*100, AND(F216="Rat", BA216="cm3"), (AY216/1.971)*100, AND(F216="Mouse", BA216="mL"), (AY216/0.50891)*100, AND(F216="Rat", BA216="mL"), (AY216/1.971)*100, TRUE, "NA")</f>
        <v>NA</v>
      </c>
      <c r="BE216" cm="1">
        <f t="array" ref="BE216">_xlfn.IFS(AX216="NA", "NA", BB216="NR", "NA", BB216="SD", AX216, BB216="SE", AX216*(SQRT(R216)), BB216="SEM", AX216*(SQRT(R216)), TRUE, "NA")</f>
        <v>14.8</v>
      </c>
      <c r="BF216" cm="1">
        <f t="array" ref="BF216">_xlfn.IFS(BE216="NA", "NA",BA216="Direct rLV % whole brain", BE216, BA216="Indirect rLV % whole brain", BE216, BA216="Direct rLV % hemisphere", BE216/2, BA216="Indirect rLV % hemisphere", BE216/2, AND(F216="Mouse", BA216="mm3"), (BE216/508.91)*100, AND(F216="Rat", BA216="mm3"), (BE216/1971)*100, AND(F216="Mouse", BA216="ul"), (BE216/508.91)*100, AND(F216="Rat", BA216="ul"), (BE216/1971)*100,  AND(F216="Mouse", BA216="nl"), (BE216/508910)*100, AND(F216="Rat", BA216="nl"), (BE216/1971000)*100, AND(F216="Mouse", BA216="cm3"), (BE216/0.50891)*100, AND(F216="Rat", BA216="cm3"), (BE216/1.971)*100, AND(F216="Mouse", BA216="mL"), (BE216/0.50891)*100, AND(F216="Rat", BA216="mL"), (BE216/1.971)*100, TRUE, "NA")</f>
        <v>0.75088787417554537</v>
      </c>
      <c r="BG216" t="str" cm="1">
        <f t="array" ref="BG216">_xlfn.IFS(AZ216="NA", "NA", BB216="NR", "NA", BB216="SD", AZ216, BB216="SE", AZ216*(SQRT(R216)), BB216="SEM", AZ216*(SQRT(R216)), TRUE, "NA")</f>
        <v>NA</v>
      </c>
      <c r="BH216" s="18" t="s">
        <v>153</v>
      </c>
      <c r="BI216" t="s">
        <v>153</v>
      </c>
      <c r="BJ216" t="s">
        <v>154</v>
      </c>
    </row>
    <row r="217" spans="1:63" x14ac:dyDescent="0.3">
      <c r="A217" t="s">
        <v>1212</v>
      </c>
      <c r="B217" t="s">
        <v>1042</v>
      </c>
      <c r="C217">
        <v>2006</v>
      </c>
      <c r="D217" t="s">
        <v>1213</v>
      </c>
      <c r="E217" t="s">
        <v>760</v>
      </c>
      <c r="F217" t="s">
        <v>23</v>
      </c>
      <c r="G217" t="s">
        <v>47</v>
      </c>
      <c r="H217" t="s">
        <v>34</v>
      </c>
      <c r="I217" t="s">
        <v>12</v>
      </c>
      <c r="J217" t="s">
        <v>8</v>
      </c>
      <c r="K217" t="s">
        <v>9</v>
      </c>
      <c r="L217" t="s">
        <v>9</v>
      </c>
      <c r="M217" t="s">
        <v>9</v>
      </c>
      <c r="N217" t="s">
        <v>8</v>
      </c>
      <c r="O217">
        <v>300</v>
      </c>
      <c r="P217" t="s">
        <v>8</v>
      </c>
      <c r="Q217">
        <v>9</v>
      </c>
      <c r="R217">
        <v>4</v>
      </c>
      <c r="S217" t="s">
        <v>8</v>
      </c>
      <c r="T217" t="s">
        <v>8</v>
      </c>
      <c r="U217" s="18" t="s">
        <v>66</v>
      </c>
      <c r="V217" t="s">
        <v>96</v>
      </c>
      <c r="W217" t="s">
        <v>8</v>
      </c>
      <c r="X217" t="s">
        <v>66</v>
      </c>
      <c r="Y217" t="s">
        <v>96</v>
      </c>
      <c r="Z217" t="s">
        <v>8</v>
      </c>
      <c r="AA217" t="s">
        <v>640</v>
      </c>
      <c r="AB217" t="s">
        <v>636</v>
      </c>
      <c r="AC217" t="s">
        <v>154</v>
      </c>
      <c r="AD217" t="s">
        <v>634</v>
      </c>
      <c r="AE217">
        <v>0</v>
      </c>
      <c r="AF217">
        <v>800</v>
      </c>
      <c r="AG217" t="s">
        <v>650</v>
      </c>
      <c r="AH217">
        <v>4</v>
      </c>
      <c r="AI217" cm="1">
        <f t="array" ref="AI217">_xlfn.IFS(AF217="NR", "NA", AG217="NR", "NA", AG217="NA","NA", AND(AG217="mg/ml", AH217&lt;&gt;"NR"), ((AF217/2492)*AH217*1000000), AND(AG217="mol/L", AH217&lt;&gt;"NR"), AF217*AH217*1000000, AG217="nmol", AF217*1000, AND(AG217="nmol/uL", AH217&lt;&gt;"NR"), AF217*AH217*1000, AG217="pg", AF217/2492, AG217="pmol", AF217, AND(AG217="pmol/uL", AH217&lt;&gt;"NR"), AF217*AH217, AG217="ug", AF217/2492*1000000, AND(AG217="ug/mL", AH217&lt;&gt;"NR"), (AF217/1000*AH217)/2492*1000000, AND(AG217="ug/uL", AH217&lt;&gt;"NR"), (AF217*AH217)/2492*1000000, AND(AG217="umol/L", AH217&lt;&gt;"NR"), AH217*AF217, TRUE, "NA")</f>
        <v>800</v>
      </c>
      <c r="AJ217">
        <f>4/0.5</f>
        <v>8</v>
      </c>
      <c r="AK217">
        <v>1</v>
      </c>
      <c r="AL217" t="s">
        <v>9</v>
      </c>
      <c r="AM217" t="s">
        <v>8</v>
      </c>
      <c r="AN217" t="s">
        <v>9</v>
      </c>
      <c r="AO217" s="18" t="s">
        <v>12</v>
      </c>
      <c r="AP217" t="s">
        <v>8</v>
      </c>
      <c r="AQ217" t="s">
        <v>8</v>
      </c>
      <c r="AR217" t="s">
        <v>8</v>
      </c>
      <c r="AS217" s="18">
        <v>720</v>
      </c>
      <c r="AT217" t="s">
        <v>271</v>
      </c>
      <c r="AU217" t="s">
        <v>652</v>
      </c>
      <c r="AV217" t="s">
        <v>8</v>
      </c>
      <c r="AW217">
        <v>63.6</v>
      </c>
      <c r="AX217">
        <v>26.5</v>
      </c>
      <c r="AY217" t="s">
        <v>8</v>
      </c>
      <c r="AZ217" t="s">
        <v>8</v>
      </c>
      <c r="BA217" t="s">
        <v>656</v>
      </c>
      <c r="BB217" t="s">
        <v>123</v>
      </c>
      <c r="BC217" cm="1">
        <f t="array" ref="BC217">_xlfn.IFS(BA217="Direct rLV % whole brain", AW217, BA217="Indirect rLV % whole brain", AW217, BA217="Direct rLV % hemisphere", AW217/2, BA217="Indirect rLV % hemisphere", AW217/2, AND(F217="Mouse", BA217="mm3"), (AW217/508.91)*100, AND(F217="Rat", BA217="mm3"), (AW217/1971)*100, AND(F217="Mouse", BA217="ul"), (AW217/508.91)*100, AND(F217="Rat", BA217="ul"), (AW217/1971)*100,  AND(F217="Mouse", BA217="nl"), (AW217/508910)*100, AND(F217="Rat", BA217="nl"), (AW217/1971000)*100, AND(F217="Mouse", BA217="cm3"), (AW217/0.50891)*100, AND(F217="Rat", BA217="cm3"), (AW217/1.971)*100, AND(F217="Mouse", BA217="mL"), (AW217/0.50891)*100, AND(F217="Rat", BA217="mL"), (AW217/1.971)*100, TRUE, "NA")</f>
        <v>3.2267884322678846</v>
      </c>
      <c r="BD217" t="str" cm="1">
        <f t="array" ref="BD217">_xlfn.IFS(AZ217="NA", "NA",BA217="Direct rLV % whole brain", AY217, BA217="Indirect rLV % whole brain", AY217, BA217="Direct rLV % hemisphere", AY217/2, BA217="Indirect rLV % hemisphere", AY217/2, AND(F217="Mouse", BA217="mm3"), (AY217/508.91)*100, AND(F217="Rat", BA217="mm3"), (AY217/1971)*100, AND(F217="Mouse", BA217="ul"), (AY217/508.91)*100, AND(F217="Rat", BA217="ul"), (AY217/1971)*100,  AND(F217="Mouse", BA217="nl"), (AY217/508910)*100, AND(F217="Rat", BA217="nl"), (AY217/1971000)*100, AND(F217="Mouse", BA217="cm3"), (AY217/0.50891)*100, AND(F217="Rat", BA217="cm3"), (AY217/1.971)*100, AND(F217="Mouse", BA217="mL"), (AY217/0.50891)*100, AND(F217="Rat", BA217="mL"), (AY217/1.971)*100, TRUE, "NA")</f>
        <v>NA</v>
      </c>
      <c r="BE217" cm="1">
        <f t="array" ref="BE217">_xlfn.IFS(AX217="NA", "NA", BB217="NR", "NA", BB217="SD", AX217, BB217="SE", AX217*(SQRT(R217)), BB217="SEM", AX217*(SQRT(R217)), TRUE, "NA")</f>
        <v>53</v>
      </c>
      <c r="BF217" cm="1">
        <f t="array" ref="BF217">_xlfn.IFS(BE217="NA", "NA",BA217="Direct rLV % whole brain", BE217, BA217="Indirect rLV % whole brain", BE217, BA217="Direct rLV % hemisphere", BE217/2, BA217="Indirect rLV % hemisphere", BE217/2, AND(F217="Mouse", BA217="mm3"), (BE217/508.91)*100, AND(F217="Rat", BA217="mm3"), (BE217/1971)*100, AND(F217="Mouse", BA217="ul"), (BE217/508.91)*100, AND(F217="Rat", BA217="ul"), (BE217/1971)*100,  AND(F217="Mouse", BA217="nl"), (BE217/508910)*100, AND(F217="Rat", BA217="nl"), (BE217/1971000)*100, AND(F217="Mouse", BA217="cm3"), (BE217/0.50891)*100, AND(F217="Rat", BA217="cm3"), (BE217/1.971)*100, AND(F217="Mouse", BA217="mL"), (BE217/0.50891)*100, AND(F217="Rat", BA217="mL"), (BE217/1.971)*100, TRUE, "NA")</f>
        <v>2.6889903602232366</v>
      </c>
      <c r="BG217" t="str" cm="1">
        <f t="array" ref="BG217">_xlfn.IFS(AZ217="NA", "NA", BB217="NR", "NA", BB217="SD", AZ217, BB217="SE", AZ217*(SQRT(R217)), BB217="SEM", AZ217*(SQRT(R217)), TRUE, "NA")</f>
        <v>NA</v>
      </c>
      <c r="BH217" s="18" t="s">
        <v>153</v>
      </c>
      <c r="BI217" t="s">
        <v>153</v>
      </c>
      <c r="BJ217" t="s">
        <v>154</v>
      </c>
    </row>
    <row r="218" spans="1:63" x14ac:dyDescent="0.3">
      <c r="A218" t="s">
        <v>1212</v>
      </c>
      <c r="B218" t="s">
        <v>1042</v>
      </c>
      <c r="C218">
        <v>2006</v>
      </c>
      <c r="D218" t="s">
        <v>1213</v>
      </c>
      <c r="E218" t="s">
        <v>1048</v>
      </c>
      <c r="F218" t="s">
        <v>23</v>
      </c>
      <c r="G218" t="s">
        <v>47</v>
      </c>
      <c r="H218" t="s">
        <v>34</v>
      </c>
      <c r="I218" t="s">
        <v>12</v>
      </c>
      <c r="J218" t="s">
        <v>8</v>
      </c>
      <c r="K218" t="s">
        <v>9</v>
      </c>
      <c r="L218" t="s">
        <v>9</v>
      </c>
      <c r="M218" t="s">
        <v>9</v>
      </c>
      <c r="N218" t="s">
        <v>8</v>
      </c>
      <c r="O218">
        <v>300</v>
      </c>
      <c r="P218" t="s">
        <v>8</v>
      </c>
      <c r="Q218">
        <v>9</v>
      </c>
      <c r="R218">
        <v>10</v>
      </c>
      <c r="S218" t="s">
        <v>8</v>
      </c>
      <c r="T218" t="s">
        <v>8</v>
      </c>
      <c r="U218" s="18" t="s">
        <v>66</v>
      </c>
      <c r="V218" t="s">
        <v>96</v>
      </c>
      <c r="W218" t="s">
        <v>8</v>
      </c>
      <c r="X218" t="s">
        <v>66</v>
      </c>
      <c r="Y218" t="s">
        <v>96</v>
      </c>
      <c r="Z218" t="s">
        <v>8</v>
      </c>
      <c r="AA218" t="s">
        <v>640</v>
      </c>
      <c r="AB218" t="s">
        <v>636</v>
      </c>
      <c r="AC218" t="s">
        <v>154</v>
      </c>
      <c r="AD218" t="s">
        <v>634</v>
      </c>
      <c r="AE218">
        <v>0</v>
      </c>
      <c r="AF218">
        <v>1600</v>
      </c>
      <c r="AG218" t="s">
        <v>650</v>
      </c>
      <c r="AH218">
        <v>4</v>
      </c>
      <c r="AI218" cm="1">
        <f t="array" ref="AI218">_xlfn.IFS(AF218="NR", "NA", AG218="NR", "NA", AG218="NA","NA", AND(AG218="mg/ml", AH218&lt;&gt;"NR"), ((AF218/2492)*AH218*1000000), AND(AG218="mol/L", AH218&lt;&gt;"NR"), AF218*AH218*1000000, AG218="nmol", AF218*1000, AND(AG218="nmol/uL", AH218&lt;&gt;"NR"), AF218*AH218*1000, AG218="pg", AF218/2492, AG218="pmol", AF218, AND(AG218="pmol/uL", AH218&lt;&gt;"NR"), AF218*AH218, AG218="ug", AF218/2492*1000000, AND(AG218="ug/mL", AH218&lt;&gt;"NR"), (AF218/1000*AH218)/2492*1000000, AND(AG218="ug/uL", AH218&lt;&gt;"NR"), (AF218*AH218)/2492*1000000, AND(AG218="umol/L", AH218&lt;&gt;"NR"), AH218*AF218, TRUE, "NA")</f>
        <v>1600</v>
      </c>
      <c r="AJ218">
        <f>4/0.5</f>
        <v>8</v>
      </c>
      <c r="AK218">
        <v>1</v>
      </c>
      <c r="AL218" t="s">
        <v>9</v>
      </c>
      <c r="AM218" t="s">
        <v>8</v>
      </c>
      <c r="AN218" t="s">
        <v>9</v>
      </c>
      <c r="AO218" s="18" t="s">
        <v>12</v>
      </c>
      <c r="AP218" t="s">
        <v>8</v>
      </c>
      <c r="AQ218" t="s">
        <v>8</v>
      </c>
      <c r="AR218" t="s">
        <v>8</v>
      </c>
      <c r="AS218" s="18">
        <v>720</v>
      </c>
      <c r="AT218" t="s">
        <v>271</v>
      </c>
      <c r="AU218" t="s">
        <v>652</v>
      </c>
      <c r="AV218" t="s">
        <v>8</v>
      </c>
      <c r="AW218">
        <v>95.56</v>
      </c>
      <c r="AX218">
        <v>18.8</v>
      </c>
      <c r="AY218" t="s">
        <v>8</v>
      </c>
      <c r="AZ218" t="s">
        <v>8</v>
      </c>
      <c r="BA218" t="s">
        <v>656</v>
      </c>
      <c r="BB218" t="s">
        <v>123</v>
      </c>
      <c r="BC218" cm="1">
        <f t="array" ref="BC218">_xlfn.IFS(BA218="Direct rLV % whole brain", AW218, BA218="Indirect rLV % whole brain", AW218, BA218="Direct rLV % hemisphere", AW218/2, BA218="Indirect rLV % hemisphere", AW218/2, AND(F218="Mouse", BA218="mm3"), (AW218/508.91)*100, AND(F218="Rat", BA218="mm3"), (AW218/1971)*100, AND(F218="Mouse", BA218="ul"), (AW218/508.91)*100, AND(F218="Rat", BA218="ul"), (AW218/1971)*100,  AND(F218="Mouse", BA218="nl"), (AW218/508910)*100, AND(F218="Rat", BA218="nl"), (AW218/1971000)*100, AND(F218="Mouse", BA218="cm3"), (AW218/0.50891)*100, AND(F218="Rat", BA218="cm3"), (AW218/1.971)*100, AND(F218="Mouse", BA218="mL"), (AW218/0.50891)*100, AND(F218="Rat", BA218="mL"), (AW218/1.971)*100, TRUE, "NA")</f>
        <v>4.8483003551496706</v>
      </c>
      <c r="BD218" t="str" cm="1">
        <f t="array" ref="BD218">_xlfn.IFS(AZ218="NA", "NA",BA218="Direct rLV % whole brain", AY218, BA218="Indirect rLV % whole brain", AY218, BA218="Direct rLV % hemisphere", AY218/2, BA218="Indirect rLV % hemisphere", AY218/2, AND(F218="Mouse", BA218="mm3"), (AY218/508.91)*100, AND(F218="Rat", BA218="mm3"), (AY218/1971)*100, AND(F218="Mouse", BA218="ul"), (AY218/508.91)*100, AND(F218="Rat", BA218="ul"), (AY218/1971)*100,  AND(F218="Mouse", BA218="nl"), (AY218/508910)*100, AND(F218="Rat", BA218="nl"), (AY218/1971000)*100, AND(F218="Mouse", BA218="cm3"), (AY218/0.50891)*100, AND(F218="Rat", BA218="cm3"), (AY218/1.971)*100, AND(F218="Mouse", BA218="mL"), (AY218/0.50891)*100, AND(F218="Rat", BA218="mL"), (AY218/1.971)*100, TRUE, "NA")</f>
        <v>NA</v>
      </c>
      <c r="BE218" cm="1">
        <f t="array" ref="BE218">_xlfn.IFS(AX218="NA", "NA", BB218="NR", "NA", BB218="SD", AX218, BB218="SE", AX218*(SQRT(R218)), BB218="SEM", AX218*(SQRT(R218)), TRUE, "NA")</f>
        <v>59.45082001116554</v>
      </c>
      <c r="BF218" cm="1">
        <f t="array" ref="BF218">_xlfn.IFS(BE218="NA", "NA",BA218="Direct rLV % whole brain", BE218, BA218="Indirect rLV % whole brain", BE218, BA218="Direct rLV % hemisphere", BE218/2, BA218="Indirect rLV % hemisphere", BE218/2, AND(F218="Mouse", BA218="mm3"), (BE218/508.91)*100, AND(F218="Rat", BA218="mm3"), (BE218/1971)*100, AND(F218="Mouse", BA218="ul"), (BE218/508.91)*100, AND(F218="Rat", BA218="ul"), (BE218/1971)*100,  AND(F218="Mouse", BA218="nl"), (BE218/508910)*100, AND(F218="Rat", BA218="nl"), (BE218/1971000)*100, AND(F218="Mouse", BA218="cm3"), (BE218/0.50891)*100, AND(F218="Rat", BA218="cm3"), (BE218/1.971)*100, AND(F218="Mouse", BA218="mL"), (BE218/0.50891)*100, AND(F218="Rat", BA218="mL"), (BE218/1.971)*100, TRUE, "NA")</f>
        <v>3.0162770173092612</v>
      </c>
      <c r="BG218" t="str" cm="1">
        <f t="array" ref="BG218">_xlfn.IFS(AZ218="NA", "NA", BB218="NR", "NA", BB218="SD", AZ218, BB218="SE", AZ218*(SQRT(R218)), BB218="SEM", AZ218*(SQRT(R218)), TRUE, "NA")</f>
        <v>NA</v>
      </c>
      <c r="BH218" s="18" t="s">
        <v>153</v>
      </c>
      <c r="BI218" t="s">
        <v>153</v>
      </c>
      <c r="BJ218" t="s">
        <v>154</v>
      </c>
    </row>
    <row r="219" spans="1:63" x14ac:dyDescent="0.3">
      <c r="A219" t="s">
        <v>1212</v>
      </c>
      <c r="B219" t="s">
        <v>1042</v>
      </c>
      <c r="C219">
        <v>2006</v>
      </c>
      <c r="D219" t="s">
        <v>1213</v>
      </c>
      <c r="E219" t="s">
        <v>1049</v>
      </c>
      <c r="F219" t="s">
        <v>23</v>
      </c>
      <c r="G219" t="s">
        <v>47</v>
      </c>
      <c r="H219" t="s">
        <v>34</v>
      </c>
      <c r="I219" t="s">
        <v>12</v>
      </c>
      <c r="J219" t="s">
        <v>8</v>
      </c>
      <c r="K219" t="s">
        <v>9</v>
      </c>
      <c r="L219" t="s">
        <v>9</v>
      </c>
      <c r="M219" t="s">
        <v>9</v>
      </c>
      <c r="N219" t="s">
        <v>8</v>
      </c>
      <c r="O219">
        <v>300</v>
      </c>
      <c r="P219" t="s">
        <v>8</v>
      </c>
      <c r="Q219">
        <v>9</v>
      </c>
      <c r="R219">
        <v>11</v>
      </c>
      <c r="S219" t="s">
        <v>8</v>
      </c>
      <c r="T219" t="s">
        <v>8</v>
      </c>
      <c r="U219" s="18" t="s">
        <v>66</v>
      </c>
      <c r="V219" t="s">
        <v>96</v>
      </c>
      <c r="W219" t="s">
        <v>8</v>
      </c>
      <c r="X219" t="s">
        <v>66</v>
      </c>
      <c r="Y219" t="s">
        <v>96</v>
      </c>
      <c r="Z219" t="s">
        <v>8</v>
      </c>
      <c r="AA219" t="s">
        <v>640</v>
      </c>
      <c r="AB219" t="s">
        <v>636</v>
      </c>
      <c r="AC219" t="s">
        <v>154</v>
      </c>
      <c r="AD219" t="s">
        <v>634</v>
      </c>
      <c r="AE219">
        <v>0</v>
      </c>
      <c r="AF219">
        <v>2400</v>
      </c>
      <c r="AG219" t="s">
        <v>650</v>
      </c>
      <c r="AH219">
        <v>6</v>
      </c>
      <c r="AI219" cm="1">
        <f t="array" ref="AI219">_xlfn.IFS(AF219="NR", "NA", AG219="NR", "NA", AG219="NA","NA", AND(AG219="mg/ml", AH219&lt;&gt;"NR"), ((AF219/2492)*AH219*1000000), AND(AG219="mol/L", AH219&lt;&gt;"NR"), AF219*AH219*1000000, AG219="nmol", AF219*1000, AND(AG219="nmol/uL", AH219&lt;&gt;"NR"), AF219*AH219*1000, AG219="pg", AF219/2492, AG219="pmol", AF219, AND(AG219="pmol/uL", AH219&lt;&gt;"NR"), AF219*AH219, AG219="ug", AF219/2492*1000000, AND(AG219="ug/mL", AH219&lt;&gt;"NR"), (AF219/1000*AH219)/2492*1000000, AND(AG219="ug/uL", AH219&lt;&gt;"NR"), (AF219*AH219)/2492*1000000, AND(AG219="umol/L", AH219&lt;&gt;"NR"), AH219*AF219, TRUE, "NA")</f>
        <v>2400</v>
      </c>
      <c r="AJ219">
        <f>6/0.5</f>
        <v>12</v>
      </c>
      <c r="AK219">
        <v>1</v>
      </c>
      <c r="AL219" t="s">
        <v>9</v>
      </c>
      <c r="AM219" t="s">
        <v>8</v>
      </c>
      <c r="AN219" t="s">
        <v>9</v>
      </c>
      <c r="AO219" s="18" t="s">
        <v>12</v>
      </c>
      <c r="AP219" t="s">
        <v>8</v>
      </c>
      <c r="AQ219" t="s">
        <v>8</v>
      </c>
      <c r="AR219" t="s">
        <v>8</v>
      </c>
      <c r="AS219" s="18">
        <v>720</v>
      </c>
      <c r="AT219" t="s">
        <v>271</v>
      </c>
      <c r="AU219" t="s">
        <v>652</v>
      </c>
      <c r="AV219" t="s">
        <v>8</v>
      </c>
      <c r="AW219">
        <v>86.13</v>
      </c>
      <c r="AX219">
        <v>16.100000000000001</v>
      </c>
      <c r="AY219" t="s">
        <v>8</v>
      </c>
      <c r="AZ219" t="s">
        <v>8</v>
      </c>
      <c r="BA219" t="s">
        <v>656</v>
      </c>
      <c r="BB219" t="s">
        <v>123</v>
      </c>
      <c r="BC219" cm="1">
        <f t="array" ref="BC219">_xlfn.IFS(BA219="Direct rLV % whole brain", AW219, BA219="Indirect rLV % whole brain", AW219, BA219="Direct rLV % hemisphere", AW219/2, BA219="Indirect rLV % hemisphere", AW219/2, AND(F219="Mouse", BA219="mm3"), (AW219/508.91)*100, AND(F219="Rat", BA219="mm3"), (AW219/1971)*100, AND(F219="Mouse", BA219="ul"), (AW219/508.91)*100, AND(F219="Rat", BA219="ul"), (AW219/1971)*100,  AND(F219="Mouse", BA219="nl"), (AW219/508910)*100, AND(F219="Rat", BA219="nl"), (AW219/1971000)*100, AND(F219="Mouse", BA219="cm3"), (AW219/0.50891)*100, AND(F219="Rat", BA219="cm3"), (AW219/1.971)*100, AND(F219="Mouse", BA219="mL"), (AW219/0.50891)*100, AND(F219="Rat", BA219="mL"), (AW219/1.971)*100, TRUE, "NA")</f>
        <v>4.3698630136986303</v>
      </c>
      <c r="BD219" t="str" cm="1">
        <f t="array" ref="BD219">_xlfn.IFS(AZ219="NA", "NA",BA219="Direct rLV % whole brain", AY219, BA219="Indirect rLV % whole brain", AY219, BA219="Direct rLV % hemisphere", AY219/2, BA219="Indirect rLV % hemisphere", AY219/2, AND(F219="Mouse", BA219="mm3"), (AY219/508.91)*100, AND(F219="Rat", BA219="mm3"), (AY219/1971)*100, AND(F219="Mouse", BA219="ul"), (AY219/508.91)*100, AND(F219="Rat", BA219="ul"), (AY219/1971)*100,  AND(F219="Mouse", BA219="nl"), (AY219/508910)*100, AND(F219="Rat", BA219="nl"), (AY219/1971000)*100, AND(F219="Mouse", BA219="cm3"), (AY219/0.50891)*100, AND(F219="Rat", BA219="cm3"), (AY219/1.971)*100, AND(F219="Mouse", BA219="mL"), (AY219/0.50891)*100, AND(F219="Rat", BA219="mL"), (AY219/1.971)*100, TRUE, "NA")</f>
        <v>NA</v>
      </c>
      <c r="BE219" cm="1">
        <f t="array" ref="BE219">_xlfn.IFS(AX219="NA", "NA", BB219="NR", "NA", BB219="SD", AX219, BB219="SE", AX219*(SQRT(R219)), BB219="SEM", AX219*(SQRT(R219)), TRUE, "NA")</f>
        <v>53.39765912472194</v>
      </c>
      <c r="BF219" cm="1">
        <f t="array" ref="BF219">_xlfn.IFS(BE219="NA", "NA",BA219="Direct rLV % whole brain", BE219, BA219="Indirect rLV % whole brain", BE219, BA219="Direct rLV % hemisphere", BE219/2, BA219="Indirect rLV % hemisphere", BE219/2, AND(F219="Mouse", BA219="mm3"), (BE219/508.91)*100, AND(F219="Rat", BA219="mm3"), (BE219/1971)*100, AND(F219="Mouse", BA219="ul"), (BE219/508.91)*100, AND(F219="Rat", BA219="ul"), (BE219/1971)*100,  AND(F219="Mouse", BA219="nl"), (BE219/508910)*100, AND(F219="Rat", BA219="nl"), (BE219/1971000)*100, AND(F219="Mouse", BA219="cm3"), (BE219/0.50891)*100, AND(F219="Rat", BA219="cm3"), (BE219/1.971)*100, AND(F219="Mouse", BA219="mL"), (BE219/0.50891)*100, AND(F219="Rat", BA219="mL"), (BE219/1.971)*100, TRUE, "NA")</f>
        <v>2.709165861223843</v>
      </c>
      <c r="BG219" t="str" cm="1">
        <f t="array" ref="BG219">_xlfn.IFS(AZ219="NA", "NA", BB219="NR", "NA", BB219="SD", AZ219, BB219="SE", AZ219*(SQRT(R219)), BB219="SEM", AZ219*(SQRT(R219)), TRUE, "NA")</f>
        <v>NA</v>
      </c>
      <c r="BH219" s="18" t="s">
        <v>153</v>
      </c>
      <c r="BI219" t="s">
        <v>153</v>
      </c>
      <c r="BJ219" t="s">
        <v>154</v>
      </c>
    </row>
    <row r="220" spans="1:63" x14ac:dyDescent="0.3">
      <c r="A220" t="s">
        <v>1212</v>
      </c>
      <c r="B220" t="s">
        <v>1042</v>
      </c>
      <c r="C220">
        <v>2006</v>
      </c>
      <c r="D220" t="s">
        <v>1213</v>
      </c>
      <c r="E220" t="s">
        <v>1214</v>
      </c>
      <c r="F220" t="s">
        <v>23</v>
      </c>
      <c r="G220" t="s">
        <v>47</v>
      </c>
      <c r="H220" t="s">
        <v>34</v>
      </c>
      <c r="I220" t="s">
        <v>12</v>
      </c>
      <c r="J220" t="s">
        <v>8</v>
      </c>
      <c r="K220" t="s">
        <v>9</v>
      </c>
      <c r="L220" t="s">
        <v>9</v>
      </c>
      <c r="M220" t="s">
        <v>9</v>
      </c>
      <c r="N220" t="s">
        <v>8</v>
      </c>
      <c r="O220">
        <v>300</v>
      </c>
      <c r="P220" t="s">
        <v>8</v>
      </c>
      <c r="Q220">
        <v>9</v>
      </c>
      <c r="R220">
        <v>4</v>
      </c>
      <c r="S220" t="s">
        <v>8</v>
      </c>
      <c r="T220" t="s">
        <v>8</v>
      </c>
      <c r="U220" s="18" t="s">
        <v>66</v>
      </c>
      <c r="V220" t="s">
        <v>96</v>
      </c>
      <c r="W220" t="s">
        <v>8</v>
      </c>
      <c r="X220" t="s">
        <v>66</v>
      </c>
      <c r="Y220" t="s">
        <v>96</v>
      </c>
      <c r="Z220" t="s">
        <v>8</v>
      </c>
      <c r="AA220" t="s">
        <v>640</v>
      </c>
      <c r="AB220" t="s">
        <v>746</v>
      </c>
      <c r="AC220" t="s">
        <v>154</v>
      </c>
      <c r="AD220" t="s">
        <v>634</v>
      </c>
      <c r="AE220">
        <v>0</v>
      </c>
      <c r="AF220">
        <v>1200</v>
      </c>
      <c r="AG220" t="s">
        <v>650</v>
      </c>
      <c r="AH220">
        <v>6</v>
      </c>
      <c r="AI220" cm="1">
        <f t="array" ref="AI220">_xlfn.IFS(AF220="NR", "NA", AG220="NR", "NA", AG220="NA","NA", AND(AG220="mg/ml", AH220&lt;&gt;"NR"), ((AF220/2492)*AH220*1000000), AND(AG220="mol/L", AH220&lt;&gt;"NR"), AF220*AH220*1000000, AG220="nmol", AF220*1000, AND(AG220="nmol/uL", AH220&lt;&gt;"NR"), AF220*AH220*1000, AG220="pg", AF220/2492, AG220="pmol", AF220, AND(AG220="pmol/uL", AH220&lt;&gt;"NR"), AF220*AH220, AG220="ug", AF220/2492*1000000, AND(AG220="ug/mL", AH220&lt;&gt;"NR"), (AF220/1000*AH220)/2492*1000000, AND(AG220="ug/uL", AH220&lt;&gt;"NR"), (AF220*AH220)/2492*1000000, AND(AG220="umol/L", AH220&lt;&gt;"NR"), AH220*AF220, TRUE, "NA")</f>
        <v>1200</v>
      </c>
      <c r="AJ220">
        <f>6/0.5</f>
        <v>12</v>
      </c>
      <c r="AK220">
        <v>2</v>
      </c>
      <c r="AL220" t="s">
        <v>9</v>
      </c>
      <c r="AM220" t="s">
        <v>8</v>
      </c>
      <c r="AN220" t="s">
        <v>9</v>
      </c>
      <c r="AO220" s="18" t="s">
        <v>12</v>
      </c>
      <c r="AP220" t="s">
        <v>8</v>
      </c>
      <c r="AQ220" t="s">
        <v>8</v>
      </c>
      <c r="AR220" t="s">
        <v>8</v>
      </c>
      <c r="AS220" s="18">
        <v>720</v>
      </c>
      <c r="AT220" t="s">
        <v>271</v>
      </c>
      <c r="AU220" t="s">
        <v>652</v>
      </c>
      <c r="AV220" t="s">
        <v>8</v>
      </c>
      <c r="AW220">
        <v>85.6</v>
      </c>
      <c r="AX220">
        <v>27</v>
      </c>
      <c r="AY220" t="s">
        <v>8</v>
      </c>
      <c r="AZ220" t="s">
        <v>8</v>
      </c>
      <c r="BA220" t="s">
        <v>656</v>
      </c>
      <c r="BB220" t="s">
        <v>123</v>
      </c>
      <c r="BC220" cm="1">
        <f t="array" ref="BC220">_xlfn.IFS(BA220="Direct rLV % whole brain", AW220, BA220="Indirect rLV % whole brain", AW220, BA220="Direct rLV % hemisphere", AW220/2, BA220="Indirect rLV % hemisphere", AW220/2, AND(F220="Mouse", BA220="mm3"), (AW220/508.91)*100, AND(F220="Rat", BA220="mm3"), (AW220/1971)*100, AND(F220="Mouse", BA220="ul"), (AW220/508.91)*100, AND(F220="Rat", BA220="ul"), (AW220/1971)*100,  AND(F220="Mouse", BA220="nl"), (AW220/508910)*100, AND(F220="Rat", BA220="nl"), (AW220/1971000)*100, AND(F220="Mouse", BA220="cm3"), (AW220/0.50891)*100, AND(F220="Rat", BA220="cm3"), (AW220/1.971)*100, AND(F220="Mouse", BA220="mL"), (AW220/0.50891)*100, AND(F220="Rat", BA220="mL"), (AW220/1.971)*100, TRUE, "NA")</f>
        <v>4.3429731100963975</v>
      </c>
      <c r="BD220" t="str" cm="1">
        <f t="array" ref="BD220">_xlfn.IFS(AZ220="NA", "NA",BA220="Direct rLV % whole brain", AY220, BA220="Indirect rLV % whole brain", AY220, BA220="Direct rLV % hemisphere", AY220/2, BA220="Indirect rLV % hemisphere", AY220/2, AND(F220="Mouse", BA220="mm3"), (AY220/508.91)*100, AND(F220="Rat", BA220="mm3"), (AY220/1971)*100, AND(F220="Mouse", BA220="ul"), (AY220/508.91)*100, AND(F220="Rat", BA220="ul"), (AY220/1971)*100,  AND(F220="Mouse", BA220="nl"), (AY220/508910)*100, AND(F220="Rat", BA220="nl"), (AY220/1971000)*100, AND(F220="Mouse", BA220="cm3"), (AY220/0.50891)*100, AND(F220="Rat", BA220="cm3"), (AY220/1.971)*100, AND(F220="Mouse", BA220="mL"), (AY220/0.50891)*100, AND(F220="Rat", BA220="mL"), (AY220/1.971)*100, TRUE, "NA")</f>
        <v>NA</v>
      </c>
      <c r="BE220" cm="1">
        <f t="array" ref="BE220">_xlfn.IFS(AX220="NA", "NA", BB220="NR", "NA", BB220="SD", AX220, BB220="SE", AX220*(SQRT(R220)), BB220="SEM", AX220*(SQRT(R220)), TRUE, "NA")</f>
        <v>54</v>
      </c>
      <c r="BF220" cm="1">
        <f t="array" ref="BF220">_xlfn.IFS(BE220="NA", "NA",BA220="Direct rLV % whole brain", BE220, BA220="Indirect rLV % whole brain", BE220, BA220="Direct rLV % hemisphere", BE220/2, BA220="Indirect rLV % hemisphere", BE220/2, AND(F220="Mouse", BA220="mm3"), (BE220/508.91)*100, AND(F220="Rat", BA220="mm3"), (BE220/1971)*100, AND(F220="Mouse", BA220="ul"), (BE220/508.91)*100, AND(F220="Rat", BA220="ul"), (BE220/1971)*100,  AND(F220="Mouse", BA220="nl"), (BE220/508910)*100, AND(F220="Rat", BA220="nl"), (BE220/1971000)*100, AND(F220="Mouse", BA220="cm3"), (BE220/0.50891)*100, AND(F220="Rat", BA220="cm3"), (BE220/1.971)*100, AND(F220="Mouse", BA220="mL"), (BE220/0.50891)*100, AND(F220="Rat", BA220="mL"), (BE220/1.971)*100, TRUE, "NA")</f>
        <v>2.7397260273972601</v>
      </c>
      <c r="BG220" t="str" cm="1">
        <f t="array" ref="BG220">_xlfn.IFS(AZ220="NA", "NA", BB220="NR", "NA", BB220="SD", AZ220, BB220="SE", AZ220*(SQRT(R220)), BB220="SEM", AZ220*(SQRT(R220)), TRUE, "NA")</f>
        <v>NA</v>
      </c>
      <c r="BH220" s="18" t="s">
        <v>153</v>
      </c>
      <c r="BI220" t="s">
        <v>153</v>
      </c>
      <c r="BJ220" t="s">
        <v>154</v>
      </c>
    </row>
    <row r="221" spans="1:63" x14ac:dyDescent="0.3">
      <c r="A221" t="s">
        <v>1212</v>
      </c>
      <c r="B221" t="s">
        <v>1042</v>
      </c>
      <c r="C221">
        <v>2006</v>
      </c>
      <c r="D221" t="s">
        <v>1213</v>
      </c>
      <c r="E221" t="s">
        <v>1215</v>
      </c>
      <c r="F221" t="s">
        <v>23</v>
      </c>
      <c r="G221" t="s">
        <v>47</v>
      </c>
      <c r="H221" t="s">
        <v>34</v>
      </c>
      <c r="I221" t="s">
        <v>12</v>
      </c>
      <c r="J221" t="s">
        <v>8</v>
      </c>
      <c r="K221" t="s">
        <v>9</v>
      </c>
      <c r="L221" t="s">
        <v>9</v>
      </c>
      <c r="M221" t="s">
        <v>9</v>
      </c>
      <c r="N221" t="s">
        <v>8</v>
      </c>
      <c r="O221">
        <v>300</v>
      </c>
      <c r="P221" t="s">
        <v>8</v>
      </c>
      <c r="Q221">
        <v>9</v>
      </c>
      <c r="R221">
        <v>13</v>
      </c>
      <c r="S221" t="s">
        <v>8</v>
      </c>
      <c r="T221" t="s">
        <v>8</v>
      </c>
      <c r="U221" s="18" t="s">
        <v>66</v>
      </c>
      <c r="V221" t="s">
        <v>96</v>
      </c>
      <c r="W221" t="s">
        <v>8</v>
      </c>
      <c r="X221" t="s">
        <v>66</v>
      </c>
      <c r="Y221" t="s">
        <v>96</v>
      </c>
      <c r="Z221" t="s">
        <v>8</v>
      </c>
      <c r="AA221" t="s">
        <v>640</v>
      </c>
      <c r="AB221" t="s">
        <v>746</v>
      </c>
      <c r="AC221" t="s">
        <v>154</v>
      </c>
      <c r="AD221" t="s">
        <v>634</v>
      </c>
      <c r="AE221">
        <v>0</v>
      </c>
      <c r="AF221">
        <v>2400</v>
      </c>
      <c r="AG221" t="s">
        <v>650</v>
      </c>
      <c r="AH221">
        <v>6</v>
      </c>
      <c r="AI221" cm="1">
        <f t="array" ref="AI221">_xlfn.IFS(AF221="NR", "NA", AG221="NR", "NA", AG221="NA","NA", AND(AG221="mg/ml", AH221&lt;&gt;"NR"), ((AF221/2492)*AH221*1000000), AND(AG221="mol/L", AH221&lt;&gt;"NR"), AF221*AH221*1000000, AG221="nmol", AF221*1000, AND(AG221="nmol/uL", AH221&lt;&gt;"NR"), AF221*AH221*1000, AG221="pg", AF221/2492, AG221="pmol", AF221, AND(AG221="pmol/uL", AH221&lt;&gt;"NR"), AF221*AH221, AG221="ug", AF221/2492*1000000, AND(AG221="ug/mL", AH221&lt;&gt;"NR"), (AF221/1000*AH221)/2492*1000000, AND(AG221="ug/uL", AH221&lt;&gt;"NR"), (AF221*AH221)/2492*1000000, AND(AG221="umol/L", AH221&lt;&gt;"NR"), AH221*AF221, TRUE, "NA")</f>
        <v>2400</v>
      </c>
      <c r="AJ221">
        <f>6/0.5</f>
        <v>12</v>
      </c>
      <c r="AK221">
        <v>2</v>
      </c>
      <c r="AL221" t="s">
        <v>9</v>
      </c>
      <c r="AM221" t="s">
        <v>8</v>
      </c>
      <c r="AN221" t="s">
        <v>9</v>
      </c>
      <c r="AO221" s="18" t="s">
        <v>12</v>
      </c>
      <c r="AP221" t="s">
        <v>8</v>
      </c>
      <c r="AQ221" t="s">
        <v>8</v>
      </c>
      <c r="AR221" t="s">
        <v>8</v>
      </c>
      <c r="AS221" s="18">
        <v>720</v>
      </c>
      <c r="AT221" t="s">
        <v>271</v>
      </c>
      <c r="AU221" t="s">
        <v>652</v>
      </c>
      <c r="AV221" t="s">
        <v>8</v>
      </c>
      <c r="AW221">
        <v>97.86</v>
      </c>
      <c r="AX221">
        <v>18.7</v>
      </c>
      <c r="AY221" t="s">
        <v>8</v>
      </c>
      <c r="AZ221" t="s">
        <v>8</v>
      </c>
      <c r="BA221" t="s">
        <v>656</v>
      </c>
      <c r="BB221" t="s">
        <v>123</v>
      </c>
      <c r="BC221" cm="1">
        <f t="array" ref="BC221">_xlfn.IFS(BA221="Direct rLV % whole brain", AW221, BA221="Indirect rLV % whole brain", AW221, BA221="Direct rLV % hemisphere", AW221/2, BA221="Indirect rLV % hemisphere", AW221/2, AND(F221="Mouse", BA221="mm3"), (AW221/508.91)*100, AND(F221="Rat", BA221="mm3"), (AW221/1971)*100, AND(F221="Mouse", BA221="ul"), (AW221/508.91)*100, AND(F221="Rat", BA221="ul"), (AW221/1971)*100,  AND(F221="Mouse", BA221="nl"), (AW221/508910)*100, AND(F221="Rat", BA221="nl"), (AW221/1971000)*100, AND(F221="Mouse", BA221="cm3"), (AW221/0.50891)*100, AND(F221="Rat", BA221="cm3"), (AW221/1.971)*100, AND(F221="Mouse", BA221="mL"), (AW221/0.50891)*100, AND(F221="Rat", BA221="mL"), (AW221/1.971)*100, TRUE, "NA")</f>
        <v>4.9649923896499244</v>
      </c>
      <c r="BD221" t="str" cm="1">
        <f t="array" ref="BD221">_xlfn.IFS(AZ221="NA", "NA",BA221="Direct rLV % whole brain", AY221, BA221="Indirect rLV % whole brain", AY221, BA221="Direct rLV % hemisphere", AY221/2, BA221="Indirect rLV % hemisphere", AY221/2, AND(F221="Mouse", BA221="mm3"), (AY221/508.91)*100, AND(F221="Rat", BA221="mm3"), (AY221/1971)*100, AND(F221="Mouse", BA221="ul"), (AY221/508.91)*100, AND(F221="Rat", BA221="ul"), (AY221/1971)*100,  AND(F221="Mouse", BA221="nl"), (AY221/508910)*100, AND(F221="Rat", BA221="nl"), (AY221/1971000)*100, AND(F221="Mouse", BA221="cm3"), (AY221/0.50891)*100, AND(F221="Rat", BA221="cm3"), (AY221/1.971)*100, AND(F221="Mouse", BA221="mL"), (AY221/0.50891)*100, AND(F221="Rat", BA221="mL"), (AY221/1.971)*100, TRUE, "NA")</f>
        <v>NA</v>
      </c>
      <c r="BE221" cm="1">
        <f t="array" ref="BE221">_xlfn.IFS(AX221="NA", "NA", BB221="NR", "NA", BB221="SD", AX221, BB221="SE", AX221*(SQRT(R221)), BB221="SEM", AX221*(SQRT(R221)), TRUE, "NA")</f>
        <v>67.423808851176588</v>
      </c>
      <c r="BF221" cm="1">
        <f t="array" ref="BF221">_xlfn.IFS(BE221="NA", "NA",BA221="Direct rLV % whole brain", BE221, BA221="Indirect rLV % whole brain", BE221, BA221="Direct rLV % hemisphere", BE221/2, BA221="Indirect rLV % hemisphere", BE221/2, AND(F221="Mouse", BA221="mm3"), (BE221/508.91)*100, AND(F221="Rat", BA221="mm3"), (BE221/1971)*100, AND(F221="Mouse", BA221="ul"), (BE221/508.91)*100, AND(F221="Rat", BA221="ul"), (BE221/1971)*100,  AND(F221="Mouse", BA221="nl"), (BE221/508910)*100, AND(F221="Rat", BA221="nl"), (BE221/1971000)*100, AND(F221="Mouse", BA221="cm3"), (BE221/0.50891)*100, AND(F221="Rat", BA221="cm3"), (BE221/1.971)*100, AND(F221="Mouse", BA221="mL"), (BE221/0.50891)*100, AND(F221="Rat", BA221="mL"), (BE221/1.971)*100, TRUE, "NA")</f>
        <v>3.4207919254782642</v>
      </c>
      <c r="BG221" t="str" cm="1">
        <f t="array" ref="BG221">_xlfn.IFS(AZ221="NA", "NA", BB221="NR", "NA", BB221="SD", AZ221, BB221="SE", AZ221*(SQRT(R221)), BB221="SEM", AZ221*(SQRT(R221)), TRUE, "NA")</f>
        <v>NA</v>
      </c>
      <c r="BH221" s="18" t="s">
        <v>153</v>
      </c>
      <c r="BI221" t="s">
        <v>153</v>
      </c>
      <c r="BJ221" t="s">
        <v>154</v>
      </c>
    </row>
    <row r="222" spans="1:63" x14ac:dyDescent="0.3">
      <c r="A222" t="s">
        <v>1212</v>
      </c>
      <c r="B222" t="s">
        <v>1042</v>
      </c>
      <c r="C222">
        <v>2006</v>
      </c>
      <c r="D222" t="s">
        <v>1213</v>
      </c>
      <c r="E222" t="s">
        <v>1216</v>
      </c>
      <c r="F222" t="s">
        <v>23</v>
      </c>
      <c r="G222" t="s">
        <v>47</v>
      </c>
      <c r="H222" t="s">
        <v>34</v>
      </c>
      <c r="I222" t="s">
        <v>12</v>
      </c>
      <c r="J222" t="s">
        <v>8</v>
      </c>
      <c r="K222" t="s">
        <v>9</v>
      </c>
      <c r="L222" t="s">
        <v>9</v>
      </c>
      <c r="M222" t="s">
        <v>9</v>
      </c>
      <c r="N222" t="s">
        <v>8</v>
      </c>
      <c r="O222">
        <v>300</v>
      </c>
      <c r="P222" t="s">
        <v>8</v>
      </c>
      <c r="Q222">
        <v>9</v>
      </c>
      <c r="R222">
        <v>8</v>
      </c>
      <c r="S222" t="s">
        <v>8</v>
      </c>
      <c r="T222" t="s">
        <v>8</v>
      </c>
      <c r="U222" s="18" t="s">
        <v>66</v>
      </c>
      <c r="V222" t="s">
        <v>96</v>
      </c>
      <c r="W222" t="s">
        <v>8</v>
      </c>
      <c r="X222" t="s">
        <v>66</v>
      </c>
      <c r="Y222" t="s">
        <v>96</v>
      </c>
      <c r="Z222" t="s">
        <v>8</v>
      </c>
      <c r="AA222" t="s">
        <v>640</v>
      </c>
      <c r="AB222" t="s">
        <v>636</v>
      </c>
      <c r="AC222" t="s">
        <v>153</v>
      </c>
      <c r="AD222" t="s">
        <v>634</v>
      </c>
      <c r="AE222">
        <v>0</v>
      </c>
      <c r="AF222">
        <v>600</v>
      </c>
      <c r="AG222" t="s">
        <v>650</v>
      </c>
      <c r="AH222">
        <v>3</v>
      </c>
      <c r="AI222" cm="1">
        <f t="array" ref="AI222">_xlfn.IFS(AF222="NR", "NA", AG222="NR", "NA", AG222="NA","NA", AND(AG222="mg/ml", AH222&lt;&gt;"NR"), ((AF222/2492)*AH222*1000000), AND(AG222="mol/L", AH222&lt;&gt;"NR"), AF222*AH222*1000000, AG222="nmol", AF222*1000, AND(AG222="nmol/uL", AH222&lt;&gt;"NR"), AF222*AH222*1000, AG222="pg", AF222/2492, AG222="pmol", AF222, AND(AG222="pmol/uL", AH222&lt;&gt;"NR"), AF222*AH222, AG222="ug", AF222/2492*1000000, AND(AG222="ug/mL", AH222&lt;&gt;"NR"), (AF222/1000*AH222)/2492*1000000, AND(AG222="ug/uL", AH222&lt;&gt;"NR"), (AF222*AH222)/2492*1000000, AND(AG222="umol/L", AH222&lt;&gt;"NR"), AH222*AF222, TRUE, "NA")</f>
        <v>600</v>
      </c>
      <c r="AJ222">
        <f>3/0.5</f>
        <v>6</v>
      </c>
      <c r="AK222">
        <v>1</v>
      </c>
      <c r="AL222" t="s">
        <v>9</v>
      </c>
      <c r="AM222" t="s">
        <v>8</v>
      </c>
      <c r="AN222" t="s">
        <v>9</v>
      </c>
      <c r="AO222" s="18" t="s">
        <v>12</v>
      </c>
      <c r="AP222" t="s">
        <v>8</v>
      </c>
      <c r="AQ222" t="s">
        <v>8</v>
      </c>
      <c r="AR222" t="s">
        <v>8</v>
      </c>
      <c r="AS222" s="18">
        <v>720</v>
      </c>
      <c r="AT222" t="s">
        <v>271</v>
      </c>
      <c r="AU222" t="s">
        <v>652</v>
      </c>
      <c r="AV222" t="s">
        <v>8</v>
      </c>
      <c r="AW222">
        <v>41.18</v>
      </c>
      <c r="AX222">
        <v>9.1</v>
      </c>
      <c r="AY222" t="s">
        <v>8</v>
      </c>
      <c r="AZ222" t="s">
        <v>8</v>
      </c>
      <c r="BA222" t="s">
        <v>656</v>
      </c>
      <c r="BB222" t="s">
        <v>123</v>
      </c>
      <c r="BC222" cm="1">
        <f t="array" ref="BC222">_xlfn.IFS(BA222="Direct rLV % whole brain", AW222, BA222="Indirect rLV % whole brain", AW222, BA222="Direct rLV % hemisphere", AW222/2, BA222="Indirect rLV % hemisphere", AW222/2, AND(F222="Mouse", BA222="mm3"), (AW222/508.91)*100, AND(F222="Rat", BA222="mm3"), (AW222/1971)*100, AND(F222="Mouse", BA222="ul"), (AW222/508.91)*100, AND(F222="Rat", BA222="ul"), (AW222/1971)*100,  AND(F222="Mouse", BA222="nl"), (AW222/508910)*100, AND(F222="Rat", BA222="nl"), (AW222/1971000)*100, AND(F222="Mouse", BA222="cm3"), (AW222/0.50891)*100, AND(F222="Rat", BA222="cm3"), (AW222/1.971)*100, AND(F222="Mouse", BA222="mL"), (AW222/0.50891)*100, AND(F222="Rat", BA222="mL"), (AW222/1.971)*100, TRUE, "NA")</f>
        <v>2.0892947742262811</v>
      </c>
      <c r="BD222" t="str" cm="1">
        <f t="array" ref="BD222">_xlfn.IFS(AZ222="NA", "NA",BA222="Direct rLV % whole brain", AY222, BA222="Indirect rLV % whole brain", AY222, BA222="Direct rLV % hemisphere", AY222/2, BA222="Indirect rLV % hemisphere", AY222/2, AND(F222="Mouse", BA222="mm3"), (AY222/508.91)*100, AND(F222="Rat", BA222="mm3"), (AY222/1971)*100, AND(F222="Mouse", BA222="ul"), (AY222/508.91)*100, AND(F222="Rat", BA222="ul"), (AY222/1971)*100,  AND(F222="Mouse", BA222="nl"), (AY222/508910)*100, AND(F222="Rat", BA222="nl"), (AY222/1971000)*100, AND(F222="Mouse", BA222="cm3"), (AY222/0.50891)*100, AND(F222="Rat", BA222="cm3"), (AY222/1.971)*100, AND(F222="Mouse", BA222="mL"), (AY222/0.50891)*100, AND(F222="Rat", BA222="mL"), (AY222/1.971)*100, TRUE, "NA")</f>
        <v>NA</v>
      </c>
      <c r="BE222" cm="1">
        <f t="array" ref="BE222">_xlfn.IFS(AX222="NA", "NA", BB222="NR", "NA", BB222="SD", AX222, BB222="SE", AX222*(SQRT(R222)), BB222="SEM", AX222*(SQRT(R222)), TRUE, "NA")</f>
        <v>25.738686835190332</v>
      </c>
      <c r="BF222" cm="1">
        <f t="array" ref="BF222">_xlfn.IFS(BE222="NA", "NA",BA222="Direct rLV % whole brain", BE222, BA222="Indirect rLV % whole brain", BE222, BA222="Direct rLV % hemisphere", BE222/2, BA222="Indirect rLV % hemisphere", BE222/2, AND(F222="Mouse", BA222="mm3"), (BE222/508.91)*100, AND(F222="Rat", BA222="mm3"), (BE222/1971)*100, AND(F222="Mouse", BA222="ul"), (BE222/508.91)*100, AND(F222="Rat", BA222="ul"), (BE222/1971)*100,  AND(F222="Mouse", BA222="nl"), (BE222/508910)*100, AND(F222="Rat", BA222="nl"), (BE222/1971000)*100, AND(F222="Mouse", BA222="cm3"), (BE222/0.50891)*100, AND(F222="Rat", BA222="cm3"), (BE222/1.971)*100, AND(F222="Mouse", BA222="mL"), (BE222/0.50891)*100, AND(F222="Rat", BA222="mL"), (BE222/1.971)*100, TRUE, "NA")</f>
        <v>1.3058694487666329</v>
      </c>
      <c r="BG222" t="str" cm="1">
        <f t="array" ref="BG222">_xlfn.IFS(AZ222="NA", "NA", BB222="NR", "NA", BB222="SD", AZ222, BB222="SE", AZ222*(SQRT(R222)), BB222="SEM", AZ222*(SQRT(R222)), TRUE, "NA")</f>
        <v>NA</v>
      </c>
      <c r="BH222" s="18" t="s">
        <v>153</v>
      </c>
      <c r="BI222" t="s">
        <v>153</v>
      </c>
      <c r="BJ222" t="s">
        <v>154</v>
      </c>
    </row>
    <row r="223" spans="1:63" s="31" customFormat="1" x14ac:dyDescent="0.3">
      <c r="A223" s="31" t="s">
        <v>1218</v>
      </c>
      <c r="B223" s="31" t="s">
        <v>1217</v>
      </c>
      <c r="C223" s="31">
        <v>2016</v>
      </c>
      <c r="D223" s="31" t="s">
        <v>1219</v>
      </c>
      <c r="E223" s="31" t="s">
        <v>647</v>
      </c>
      <c r="F223" s="32" t="s">
        <v>36</v>
      </c>
      <c r="G223" s="31" t="s">
        <v>1220</v>
      </c>
      <c r="H223" s="31" t="s">
        <v>35</v>
      </c>
      <c r="I223" s="31" t="s">
        <v>12</v>
      </c>
      <c r="J223" s="31" t="s">
        <v>8</v>
      </c>
      <c r="K223" s="31" t="s">
        <v>9</v>
      </c>
      <c r="L223" s="31" t="s">
        <v>9</v>
      </c>
      <c r="M223" s="31" t="s">
        <v>9</v>
      </c>
      <c r="N223" s="31">
        <v>21000</v>
      </c>
      <c r="O223" s="31">
        <v>26000</v>
      </c>
      <c r="P223" s="31">
        <v>31000</v>
      </c>
      <c r="Q223" s="31">
        <v>1</v>
      </c>
      <c r="R223" s="31">
        <v>6</v>
      </c>
      <c r="S223" s="31" t="s">
        <v>8</v>
      </c>
      <c r="T223" s="31" t="s">
        <v>8</v>
      </c>
      <c r="U223" s="32" t="s">
        <v>68</v>
      </c>
      <c r="V223" s="31" t="s">
        <v>683</v>
      </c>
      <c r="W223" s="31" t="s">
        <v>8</v>
      </c>
      <c r="X223" s="31" t="s">
        <v>68</v>
      </c>
      <c r="Y223" s="31" t="s">
        <v>683</v>
      </c>
      <c r="Z223" s="31" t="s">
        <v>8</v>
      </c>
      <c r="AA223" s="31" t="s">
        <v>640</v>
      </c>
      <c r="AB223" s="31" t="s">
        <v>636</v>
      </c>
      <c r="AC223" s="31" t="s">
        <v>153</v>
      </c>
      <c r="AD223" s="31" t="s">
        <v>634</v>
      </c>
      <c r="AE223" s="31">
        <v>0</v>
      </c>
      <c r="AF223" s="31">
        <v>33</v>
      </c>
      <c r="AG223" s="31" t="s">
        <v>578</v>
      </c>
      <c r="AH223" s="31">
        <v>150</v>
      </c>
      <c r="AI223" cm="1">
        <f t="array" ref="AI223">_xlfn.IFS(AF223="NR", "NA", AG223="NR", "NA", AG223="NA","NA", AND(AG223="mg/ml", AH223&lt;&gt;"NR"), ((AF223/2492)*AH223*1000000), AND(AG223="mol/L", AH223&lt;&gt;"NR"), AF223*AH223*1000000, AG223="nmol", AF223*1000, AND(AG223="nmol/uL", AH223&lt;&gt;"NR"), AF223*AH223*1000, AG223="pg", AF223/2492, AG223="pmol", AF223, AND(AG223="pmol/uL", AH223&lt;&gt;"NR"), AF223*AH223, AG223="ug", AF223/2492*1000000, AND(AG223="ug/mL", AH223&lt;&gt;"NR"), (AF223/1000*AH223)/2492*1000000, AND(AG223="ug/uL", AH223&lt;&gt;"NR"), (AF223*AH223)/2492*1000000, AND(AG223="umol/L", AH223&lt;&gt;"NR"), AH223*AF223, TRUE, "NA")</f>
        <v>13242.375601926164</v>
      </c>
      <c r="AJ223" s="31">
        <v>3</v>
      </c>
      <c r="AK223" s="31">
        <v>1</v>
      </c>
      <c r="AL223" s="31" t="s">
        <v>9</v>
      </c>
      <c r="AM223" s="31" t="s">
        <v>8</v>
      </c>
      <c r="AN223" s="31" t="s">
        <v>9</v>
      </c>
      <c r="AO223" s="32" t="s">
        <v>12</v>
      </c>
      <c r="AP223" s="31" t="s">
        <v>8</v>
      </c>
      <c r="AQ223" s="31" t="s">
        <v>8</v>
      </c>
      <c r="AR223" s="31" t="s">
        <v>8</v>
      </c>
      <c r="AS223" s="32">
        <v>3</v>
      </c>
      <c r="AT223" s="31" t="s">
        <v>349</v>
      </c>
      <c r="AU223" s="31" t="s">
        <v>8</v>
      </c>
      <c r="AV223" s="31" t="s">
        <v>8</v>
      </c>
      <c r="AW223" s="31">
        <v>1.46</v>
      </c>
      <c r="AX223" s="31">
        <v>0.38</v>
      </c>
      <c r="AY223" s="31" t="s">
        <v>8</v>
      </c>
      <c r="AZ223" s="31" t="s">
        <v>8</v>
      </c>
      <c r="BA223" s="31" t="s">
        <v>246</v>
      </c>
      <c r="BB223" s="31" t="s">
        <v>123</v>
      </c>
      <c r="BC223" t="str" cm="1">
        <f t="array" ref="BC223">_xlfn.IFS(BA223="Direct rLV % whole brain", AW223, BA223="Indirect rLV % whole brain", AW223, BA223="Direct rLV % hemisphere", AW223/2, BA223="Indirect rLV % hemisphere", AW223/2, AND(F223="Mouse", BA223="mm3"), (AW223/508.91)*100, AND(F223="Rat", BA223="mm3"), (AW223/1971)*100, AND(F223="Mouse", BA223="ul"), (AW223/508.91)*100, AND(F223="Rat", BA223="ul"), (AW223/1971)*100,  AND(F223="Mouse", BA223="nl"), (AW223/508910)*100, AND(F223="Rat", BA223="nl"), (AW223/1971000)*100, AND(F223="Mouse", BA223="cm3"), (AW223/0.50891)*100, AND(F223="Rat", BA223="cm3"), (AW223/1.971)*100, AND(F223="Mouse", BA223="mL"), (AW223/0.50891)*100, AND(F223="Rat", BA223="mL"), (AW223/1.971)*100, TRUE, "NA")</f>
        <v>NA</v>
      </c>
      <c r="BD223" t="str" cm="1">
        <f t="array" ref="BD223">_xlfn.IFS(AZ223="NA", "NA",BA223="Direct rLV % whole brain", AY223, BA223="Indirect rLV % whole brain", AY223, BA223="Direct rLV % hemisphere", AY223/2, BA223="Indirect rLV % hemisphere", AY223/2, AND(F223="Mouse", BA223="mm3"), (AY223/508.91)*100, AND(F223="Rat", BA223="mm3"), (AY223/1971)*100, AND(F223="Mouse", BA223="ul"), (AY223/508.91)*100, AND(F223="Rat", BA223="ul"), (AY223/1971)*100,  AND(F223="Mouse", BA223="nl"), (AY223/508910)*100, AND(F223="Rat", BA223="nl"), (AY223/1971000)*100, AND(F223="Mouse", BA223="cm3"), (AY223/0.50891)*100, AND(F223="Rat", BA223="cm3"), (AY223/1.971)*100, AND(F223="Mouse", BA223="mL"), (AY223/0.50891)*100, AND(F223="Rat", BA223="mL"), (AY223/1.971)*100, TRUE, "NA")</f>
        <v>NA</v>
      </c>
      <c r="BE223" cm="1">
        <f t="array" ref="BE223">_xlfn.IFS(AX223="NA", "NA", BB223="NR", "NA", BB223="SD", AX223, BB223="SE", AX223*(SQRT(R223)), BB223="SEM", AX223*(SQRT(R223)), TRUE, "NA")</f>
        <v>0.93080610225760763</v>
      </c>
      <c r="BF223" t="str" cm="1">
        <f t="array" ref="BF223">_xlfn.IFS(BE223="NA", "NA",BA223="Direct rLV % whole brain", BE223, BA223="Indirect rLV % whole brain", BE223, BA223="Direct rLV % hemisphere", BE223/2, BA223="Indirect rLV % hemisphere", BE223/2, AND(F223="Mouse", BA223="mm3"), (BE223/508.91)*100, AND(F223="Rat", BA223="mm3"), (BE223/1971)*100, AND(F223="Mouse", BA223="ul"), (BE223/508.91)*100, AND(F223="Rat", BA223="ul"), (BE223/1971)*100,  AND(F223="Mouse", BA223="nl"), (BE223/508910)*100, AND(F223="Rat", BA223="nl"), (BE223/1971000)*100, AND(F223="Mouse", BA223="cm3"), (BE223/0.50891)*100, AND(F223="Rat", BA223="cm3"), (BE223/1.971)*100, AND(F223="Mouse", BA223="mL"), (BE223/0.50891)*100, AND(F223="Rat", BA223="mL"), (BE223/1.971)*100, TRUE, "NA")</f>
        <v>NA</v>
      </c>
      <c r="BG223" t="str" cm="1">
        <f t="array" ref="BG223">_xlfn.IFS(AZ223="NA", "NA", BB223="NR", "NA", BB223="SD", AZ223, BB223="SE", AZ223*(SQRT(R223)), BB223="SEM", AZ223*(SQRT(R223)), TRUE, "NA")</f>
        <v>NA</v>
      </c>
      <c r="BH223" s="32" t="s">
        <v>154</v>
      </c>
      <c r="BI223" s="31" t="s">
        <v>154</v>
      </c>
      <c r="BJ223" s="31" t="s">
        <v>154</v>
      </c>
    </row>
    <row r="224" spans="1:63" x14ac:dyDescent="0.3">
      <c r="A224" t="s">
        <v>1222</v>
      </c>
      <c r="B224" t="s">
        <v>1221</v>
      </c>
      <c r="C224">
        <v>2016</v>
      </c>
      <c r="D224" t="s">
        <v>1223</v>
      </c>
      <c r="E224" t="s">
        <v>647</v>
      </c>
      <c r="F224" s="18" t="s">
        <v>36</v>
      </c>
      <c r="G224" t="s">
        <v>1224</v>
      </c>
      <c r="H224" t="s">
        <v>34</v>
      </c>
      <c r="I224" t="s">
        <v>12</v>
      </c>
      <c r="J224" t="s">
        <v>8</v>
      </c>
      <c r="K224" t="s">
        <v>9</v>
      </c>
      <c r="L224" t="s">
        <v>9</v>
      </c>
      <c r="M224" t="s">
        <v>9</v>
      </c>
      <c r="N224">
        <v>30000</v>
      </c>
      <c r="O224">
        <f>AVERAGE(N224,P224)</f>
        <v>32500</v>
      </c>
      <c r="P224">
        <v>35000</v>
      </c>
      <c r="Q224">
        <v>1</v>
      </c>
      <c r="R224">
        <v>6</v>
      </c>
      <c r="S224" t="s">
        <v>8</v>
      </c>
      <c r="T224" t="s">
        <v>8</v>
      </c>
      <c r="U224" s="18" t="s">
        <v>71</v>
      </c>
      <c r="V224" t="s">
        <v>68</v>
      </c>
      <c r="W224" t="s">
        <v>96</v>
      </c>
      <c r="X224" t="s">
        <v>71</v>
      </c>
      <c r="Y224" t="s">
        <v>68</v>
      </c>
      <c r="Z224" t="s">
        <v>96</v>
      </c>
      <c r="AA224" t="s">
        <v>640</v>
      </c>
      <c r="AB224" t="s">
        <v>636</v>
      </c>
      <c r="AC224" t="s">
        <v>9</v>
      </c>
      <c r="AD224" t="s">
        <v>634</v>
      </c>
      <c r="AE224">
        <v>0</v>
      </c>
      <c r="AF224" t="s">
        <v>9</v>
      </c>
      <c r="AG224" t="s">
        <v>8</v>
      </c>
      <c r="AH224">
        <v>200</v>
      </c>
      <c r="AI224" t="str" cm="1">
        <f t="array" ref="AI224">_xlfn.IFS(AF224="NR", "NA", AG224="NR", "NA", AG224="NA","NA", AND(AG224="mg/ml", AH224&lt;&gt;"NR"), ((AF224/2492)*AH224*1000000), AND(AG224="mol/L", AH224&lt;&gt;"NR"), AF224*AH224*1000000, AG224="nmol", AF224*1000, AND(AG224="nmol/uL", AH224&lt;&gt;"NR"), AF224*AH224*1000, AG224="pg", AF224/2492, AG224="pmol", AF224, AND(AG224="pmol/uL", AH224&lt;&gt;"NR"), AF224*AH224, AG224="ug", AF224/2492*1000000, AND(AG224="ug/mL", AH224&lt;&gt;"NR"), (AF224/1000*AH224)/2492*1000000, AND(AG224="ug/uL", AH224&lt;&gt;"NR"), (AF224*AH224)/2492*1000000, AND(AG224="umol/L", AH224&lt;&gt;"NR"), AH224*AF224, TRUE, "NA")</f>
        <v>NA</v>
      </c>
      <c r="AJ224" t="s">
        <v>9</v>
      </c>
      <c r="AK224">
        <v>4</v>
      </c>
      <c r="AL224" t="s">
        <v>665</v>
      </c>
      <c r="AM224" t="s">
        <v>8</v>
      </c>
      <c r="AN224" t="s">
        <v>9</v>
      </c>
      <c r="AO224" s="18" t="s">
        <v>12</v>
      </c>
      <c r="AP224" t="s">
        <v>8</v>
      </c>
      <c r="AQ224" t="s">
        <v>8</v>
      </c>
      <c r="AR224" t="s">
        <v>8</v>
      </c>
      <c r="AS224" s="18">
        <v>24</v>
      </c>
      <c r="AT224" t="s">
        <v>269</v>
      </c>
      <c r="AU224" t="s">
        <v>8</v>
      </c>
      <c r="AV224" t="s">
        <v>8</v>
      </c>
      <c r="AW224">
        <v>1825</v>
      </c>
      <c r="AX224">
        <v>120.2</v>
      </c>
      <c r="AY224" t="s">
        <v>8</v>
      </c>
      <c r="AZ224" t="s">
        <v>8</v>
      </c>
      <c r="BA224" t="s">
        <v>656</v>
      </c>
      <c r="BB224" t="s">
        <v>122</v>
      </c>
      <c r="BC224" t="str" cm="1">
        <f t="array" ref="BC224">_xlfn.IFS(BA224="Direct rLV % whole brain", AW224, BA224="Indirect rLV % whole brain", AW224, BA224="Direct rLV % hemisphere", AW224/2, BA224="Indirect rLV % hemisphere", AW224/2, AND(F224="Mouse", BA224="mm3"), (AW224/508.91)*100, AND(F224="Rat", BA224="mm3"), (AW224/1971)*100, AND(F224="Mouse", BA224="ul"), (AW224/508.91)*100, AND(F224="Rat", BA224="ul"), (AW224/1971)*100,  AND(F224="Mouse", BA224="nl"), (AW224/508910)*100, AND(F224="Rat", BA224="nl"), (AW224/1971000)*100, AND(F224="Mouse", BA224="cm3"), (AW224/0.50891)*100, AND(F224="Rat", BA224="cm3"), (AW224/1.971)*100, AND(F224="Mouse", BA224="mL"), (AW224/0.50891)*100, AND(F224="Rat", BA224="mL"), (AW224/1.971)*100, TRUE, "NA")</f>
        <v>NA</v>
      </c>
      <c r="BD224" t="str" cm="1">
        <f t="array" ref="BD224">_xlfn.IFS(AZ224="NA", "NA",BA224="Direct rLV % whole brain", AY224, BA224="Indirect rLV % whole brain", AY224, BA224="Direct rLV % hemisphere", AY224/2, BA224="Indirect rLV % hemisphere", AY224/2, AND(F224="Mouse", BA224="mm3"), (AY224/508.91)*100, AND(F224="Rat", BA224="mm3"), (AY224/1971)*100, AND(F224="Mouse", BA224="ul"), (AY224/508.91)*100, AND(F224="Rat", BA224="ul"), (AY224/1971)*100,  AND(F224="Mouse", BA224="nl"), (AY224/508910)*100, AND(F224="Rat", BA224="nl"), (AY224/1971000)*100, AND(F224="Mouse", BA224="cm3"), (AY224/0.50891)*100, AND(F224="Rat", BA224="cm3"), (AY224/1.971)*100, AND(F224="Mouse", BA224="mL"), (AY224/0.50891)*100, AND(F224="Rat", BA224="mL"), (AY224/1.971)*100, TRUE, "NA")</f>
        <v>NA</v>
      </c>
      <c r="BE224" cm="1">
        <f t="array" ref="BE224">_xlfn.IFS(AX224="NA", "NA", BB224="NR", "NA", BB224="SD", AX224, BB224="SE", AX224*(SQRT(R224)), BB224="SEM", AX224*(SQRT(R224)), TRUE, "NA")</f>
        <v>120.2</v>
      </c>
      <c r="BF224" t="str" cm="1">
        <f t="array" ref="BF224">_xlfn.IFS(BE224="NA", "NA",BA224="Direct rLV % whole brain", BE224, BA224="Indirect rLV % whole brain", BE224, BA224="Direct rLV % hemisphere", BE224/2, BA224="Indirect rLV % hemisphere", BE224/2, AND(F224="Mouse", BA224="mm3"), (BE224/508.91)*100, AND(F224="Rat", BA224="mm3"), (BE224/1971)*100, AND(F224="Mouse", BA224="ul"), (BE224/508.91)*100, AND(F224="Rat", BA224="ul"), (BE224/1971)*100,  AND(F224="Mouse", BA224="nl"), (BE224/508910)*100, AND(F224="Rat", BA224="nl"), (BE224/1971000)*100, AND(F224="Mouse", BA224="cm3"), (BE224/0.50891)*100, AND(F224="Rat", BA224="cm3"), (BE224/1.971)*100, AND(F224="Mouse", BA224="mL"), (BE224/0.50891)*100, AND(F224="Rat", BA224="mL"), (BE224/1.971)*100, TRUE, "NA")</f>
        <v>NA</v>
      </c>
      <c r="BG224" t="str" cm="1">
        <f t="array" ref="BG224">_xlfn.IFS(AZ224="NA", "NA", BB224="NR", "NA", BB224="SD", AZ224, BB224="SE", AZ224*(SQRT(R224)), BB224="SEM", AZ224*(SQRT(R224)), TRUE, "NA")</f>
        <v>NA</v>
      </c>
      <c r="BH224" s="18" t="s">
        <v>153</v>
      </c>
      <c r="BI224" t="s">
        <v>154</v>
      </c>
      <c r="BJ224" t="s">
        <v>153</v>
      </c>
    </row>
  </sheetData>
  <conditionalFormatting sqref="P113:Z116">
    <cfRule type="containsBlanks" dxfId="12" priority="50">
      <formula>LEN(TRIM(P113))=0</formula>
    </cfRule>
  </conditionalFormatting>
  <conditionalFormatting sqref="U2:Z112">
    <cfRule type="containsBlanks" dxfId="11" priority="56">
      <formula>LEN(TRIM(U2))=0</formula>
    </cfRule>
  </conditionalFormatting>
  <conditionalFormatting sqref="U117:Z120">
    <cfRule type="containsBlanks" dxfId="10" priority="52">
      <formula>LEN(TRIM(U117))=0</formula>
    </cfRule>
  </conditionalFormatting>
  <conditionalFormatting sqref="U1:AA1">
    <cfRule type="containsBlanks" dxfId="9" priority="86">
      <formula>LEN(TRIM(U1))=0</formula>
    </cfRule>
  </conditionalFormatting>
  <conditionalFormatting sqref="AA2:AH120">
    <cfRule type="containsBlanks" dxfId="8" priority="5">
      <formula>LEN(TRIM(AA2))=0</formula>
    </cfRule>
  </conditionalFormatting>
  <conditionalFormatting sqref="AD1:AE1 AT1 F1:T111 BE2:BK2 AJ2:BD10 BE3:BJ16 BK4 AQ11:BD16 AJ11:AO20 AP11:AP31 AQ17:AW17 AY17:BK17 AQ18:BK20 BG21:BJ23 AO21:AO28 AQ21:BC28 AJ21:AN46 BD21:BF64 BH24:BJ33 BG24:BG64 AO29:BC37 BK32:BK33 BH34:BK35 BH36:BJ64 AQ38:BC40 AO38:AP41 AQ41:BB41 BC41:BC64 AO42:BB46 AJ47:BB64 AQ65:AW66 AY65:BJ66 AJ65:AP71 AQ67:BJ71 AJ72:BJ72 AQ73:BJ73 AJ73:AP74 AQ74:AW74 AY74:BJ74 AJ75:BJ87 AY88:BJ88 AQ88:AW90 AJ88:AP94 AY89 BA89:BJ89 AY90:BJ90 AQ91:BJ94 BK93 AJ95:BJ109 BK105 AQ110:BJ110 AJ110:AP112 AQ111:AW111 AY111:BJ111 P112:T112 AQ112:BJ112 F112:N113 O112:O118 AJ113:BJ120 M114:N118 F114:L120 P117:T118 M119:T120 BA121:BJ121 AQ125:BJ131 AJ125:AP135 AQ132:AW132 AY132 BA132:BJ132 AQ133:BJ135 AJ136:BJ177 BK176:BK177 AJ178:AW178 AY178:BC178 BD178:BJ192 AJ179:BC191 AJ192:AW192 AY192:BC192 AJ193:BC193 BD193:BK194 AJ194:AW194 AY194:BC194 AJ195:BJ224 BK208:BK213 F225:BJ1048576">
    <cfRule type="containsBlanks" dxfId="7" priority="92">
      <formula>LEN(TRIM(F1))=0</formula>
    </cfRule>
  </conditionalFormatting>
  <conditionalFormatting sqref="AJ121:AW124">
    <cfRule type="containsBlanks" dxfId="6" priority="1">
      <formula>LEN(TRIM(AJ121))=0</formula>
    </cfRule>
  </conditionalFormatting>
  <conditionalFormatting sqref="AO1:AR1">
    <cfRule type="containsBlanks" dxfId="5" priority="90">
      <formula>LEN(TRIM(AO1))=0</formula>
    </cfRule>
  </conditionalFormatting>
  <conditionalFormatting sqref="AW1:BK1">
    <cfRule type="containsBlanks" dxfId="4" priority="89">
      <formula>LEN(TRIM(AW1))=0</formula>
    </cfRule>
  </conditionalFormatting>
  <conditionalFormatting sqref="AY121 F121:AH224">
    <cfRule type="containsBlanks" dxfId="3" priority="3">
      <formula>LEN(TRIM(F121))=0</formula>
    </cfRule>
  </conditionalFormatting>
  <conditionalFormatting sqref="AY122:BK124">
    <cfRule type="containsBlanks" dxfId="2" priority="2">
      <formula>LEN(TRIM(AY122))=0</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2">
        <x14:dataValidation type="list" allowBlank="1" showInputMessage="1" showErrorMessage="1" xr:uid="{74B6B802-B640-44C0-BD86-8861A8F316C7}">
          <x14:formula1>
            <xm:f>'Data validation'!$W$8:$W$12</xm:f>
          </x14:formula1>
          <xm:sqref>AC2:AC1048576 BH2:BJ1048576</xm:sqref>
        </x14:dataValidation>
        <x14:dataValidation type="list" allowBlank="1" showInputMessage="1" showErrorMessage="1" xr:uid="{822864BE-CCB6-42E8-8051-622F418434BD}">
          <x14:formula1>
            <xm:f>'Data validation'!$E$8:$E$20</xm:f>
          </x14:formula1>
          <xm:sqref>J2:J1048576</xm:sqref>
        </x14:dataValidation>
        <x14:dataValidation type="list" allowBlank="1" showInputMessage="1" showErrorMessage="1" xr:uid="{7E9A5883-BA60-4906-B36B-9DADF6E9F7A1}">
          <x14:formula1>
            <xm:f>'Data validation'!$D$8:$D$21</xm:f>
          </x14:formula1>
          <xm:sqref>I2:I1048576</xm:sqref>
        </x14:dataValidation>
        <x14:dataValidation type="list" allowBlank="1" showInputMessage="1" showErrorMessage="1" xr:uid="{7D89950A-0930-4849-8112-0E671B766557}">
          <x14:formula1>
            <xm:f>'Data validation'!$B$8:$B$109</xm:f>
          </x14:formula1>
          <xm:sqref>G2:G1048576</xm:sqref>
        </x14:dataValidation>
        <x14:dataValidation type="list" allowBlank="1" showInputMessage="1" showErrorMessage="1" xr:uid="{9289DBAA-A13B-4F1A-AF03-1BEB2EF5E0AB}">
          <x14:formula1>
            <xm:f>'Data validation'!$C$8:$C$12</xm:f>
          </x14:formula1>
          <xm:sqref>H2:H1048576</xm:sqref>
        </x14:dataValidation>
        <x14:dataValidation type="list" allowBlank="1" showInputMessage="1" showErrorMessage="1" xr:uid="{78015D7F-C0D9-4068-8A7B-2F706A176275}">
          <x14:formula1>
            <xm:f>'Data validation'!$A$8:$A$21</xm:f>
          </x14:formula1>
          <xm:sqref>F2:F1048576</xm:sqref>
        </x14:dataValidation>
        <x14:dataValidation type="list" allowBlank="1" showInputMessage="1" showErrorMessage="1" xr:uid="{8100C958-FB15-473E-A249-270B71D6A70B}">
          <x14:formula1>
            <xm:f>'Data validation'!$H$8:$H$14</xm:f>
          </x14:formula1>
          <xm:sqref>AB2:AB1048576</xm:sqref>
        </x14:dataValidation>
        <x14:dataValidation type="list" allowBlank="1" showInputMessage="1" showErrorMessage="1" xr:uid="{70F0617B-8090-4308-90CA-87E4557F9FA3}">
          <x14:formula1>
            <xm:f>'Data validation'!$S$8:$S$33</xm:f>
          </x14:formula1>
          <xm:sqref>BA2:BA1048576</xm:sqref>
        </x14:dataValidation>
        <x14:dataValidation type="list" allowBlank="1" showInputMessage="1" showErrorMessage="1" xr:uid="{3885AB1F-A404-4FCD-9BA1-E6A38A44193A}">
          <x14:formula1>
            <xm:f>'Data validation'!$O$8:$O$22</xm:f>
          </x14:formula1>
          <xm:sqref>AP2:AP121 AP123:AP1048576</xm:sqref>
        </x14:dataValidation>
        <x14:dataValidation type="list" allowBlank="1" showInputMessage="1" showErrorMessage="1" xr:uid="{3CACD60A-69F2-44BF-9B17-527D6DA96EF6}">
          <x14:formula1>
            <xm:f>'Data validation'!$F$8:$F$12</xm:f>
          </x14:formula1>
          <xm:sqref>AD2:AD1048576</xm:sqref>
        </x14:dataValidation>
        <x14:dataValidation type="list" allowBlank="1" showInputMessage="1" showErrorMessage="1" xr:uid="{B8C641F9-B53C-4BE4-A261-BCC790AD2E2B}">
          <x14:formula1>
            <xm:f>'Data validation'!$Q$8:$Q$16</xm:f>
          </x14:formula1>
          <xm:sqref>AT2:AT1048576</xm:sqref>
        </x14:dataValidation>
        <x14:dataValidation type="list" allowBlank="1" showInputMessage="1" showErrorMessage="1" xr:uid="{9252B311-14CC-4C00-8E45-68818A670C54}">
          <x14:formula1>
            <xm:f>'Data validation'!$I$8:$I$21</xm:f>
          </x14:formula1>
          <xm:sqref>AG2:AG1048576</xm:sqref>
        </x14:dataValidation>
        <x14:dataValidation type="list" allowBlank="1" showInputMessage="1" showErrorMessage="1" xr:uid="{6C73ABCA-689C-44F1-B3A8-F300516466CB}">
          <x14:formula1>
            <xm:f>'Data validation'!$L$8:$L$16</xm:f>
          </x14:formula1>
          <xm:sqref>AN2:AN1048576</xm:sqref>
        </x14:dataValidation>
        <x14:dataValidation type="list" allowBlank="1" showInputMessage="1" showErrorMessage="1" xr:uid="{B6EB69B3-36EC-4CE3-9E98-D2FA725AC79B}">
          <x14:formula1>
            <xm:f>'Data validation'!$G$8:$G$45</xm:f>
          </x14:formula1>
          <xm:sqref>U2:Z1048576 AD2:AD1048576</xm:sqref>
        </x14:dataValidation>
        <x14:dataValidation type="list" allowBlank="1" showInputMessage="1" showErrorMessage="1" xr:uid="{B1CFFBBD-5396-401A-BFC5-024B7CF843B6}">
          <x14:formula1>
            <xm:f>'Data validation'!$J$8:$J$16</xm:f>
          </x14:formula1>
          <xm:sqref>AA2:AA1048576 AD2:AD1048576</xm:sqref>
        </x14:dataValidation>
        <x14:dataValidation type="list" allowBlank="1" showInputMessage="1" showErrorMessage="1" xr:uid="{D55FF4E5-451D-4918-B864-A431B9A9F5CD}">
          <x14:formula1>
            <xm:f>'Data validation'!$J$8:$J$15</xm:f>
          </x14:formula1>
          <xm:sqref>AA2:AA1048576</xm:sqref>
        </x14:dataValidation>
        <x14:dataValidation type="list" allowBlank="1" showInputMessage="1" showErrorMessage="1" xr:uid="{824FF15F-CB5B-4042-9810-C435864C34E1}">
          <x14:formula1>
            <xm:f>'Data validation'!$T$8:$T$14</xm:f>
          </x14:formula1>
          <xm:sqref>BB2:BB1048576</xm:sqref>
        </x14:dataValidation>
        <x14:dataValidation type="list" allowBlank="1" showInputMessage="1" showErrorMessage="1" xr:uid="{7B9A5279-D317-4CDD-A23A-A50D2763ADE3}">
          <x14:formula1>
            <xm:f>'Data validation'!$P$8:$P$12</xm:f>
          </x14:formula1>
          <xm:sqref>AR2:AR1048576</xm:sqref>
        </x14:dataValidation>
        <x14:dataValidation type="list" allowBlank="1" showInputMessage="1" showErrorMessage="1" xr:uid="{8A6B9432-601F-4DE3-AFA5-F7EAF95C3ED1}">
          <x14:formula1>
            <xm:f>'Data validation'!$M$8:$M$80</xm:f>
          </x14:formula1>
          <xm:sqref>AO2:AO1048576</xm:sqref>
        </x14:dataValidation>
        <x14:dataValidation type="list" allowBlank="1" showInputMessage="1" showErrorMessage="1" xr:uid="{F0D0083B-542B-40B7-B135-2C397042EC0B}">
          <x14:formula1>
            <xm:f>'Data validation'!$R$8:$R$20</xm:f>
          </x14:formula1>
          <xm:sqref>AU2:AU1048576</xm:sqref>
        </x14:dataValidation>
        <x14:dataValidation type="list" allowBlank="1" showInputMessage="1" showErrorMessage="1" xr:uid="{E230762F-A7FB-47EE-A920-6EBD188433E8}">
          <x14:formula1>
            <xm:f>'Data validation'!$K$8:$K$21</xm:f>
          </x14:formula1>
          <xm:sqref>AL2:AM1048576</xm:sqref>
        </x14:dataValidation>
        <x14:dataValidation type="list" allowBlank="1" showInputMessage="1" showErrorMessage="1" xr:uid="{B3F88E12-EF30-45EB-8034-1178B8B053D4}">
          <x14:formula1>
            <xm:f>'Data validation'!$O$8:$O$21</xm:f>
          </x14:formula1>
          <xm:sqref>AP122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07F93-07CD-454B-AFAB-DD47DEB7283E}">
  <sheetPr codeName="Sheet4"/>
  <dimension ref="A1:W286"/>
  <sheetViews>
    <sheetView topLeftCell="J3" zoomScaleNormal="100" workbookViewId="0">
      <selection activeCell="R11" sqref="R11:R17"/>
    </sheetView>
  </sheetViews>
  <sheetFormatPr defaultRowHeight="14.4" x14ac:dyDescent="0.3"/>
  <cols>
    <col min="1" max="1" width="13.6640625" customWidth="1"/>
    <col min="2" max="2" width="31.33203125" customWidth="1"/>
    <col min="4" max="4" width="13.5546875" customWidth="1"/>
    <col min="5" max="5" width="20.44140625" customWidth="1"/>
    <col min="6" max="6" width="23.6640625" customWidth="1"/>
    <col min="7" max="8" width="20.33203125" customWidth="1"/>
    <col min="9" max="12" width="25.44140625" customWidth="1"/>
    <col min="13" max="14" width="22.33203125" customWidth="1"/>
    <col min="15" max="15" width="24.5546875" customWidth="1"/>
    <col min="16" max="18" width="20.5546875" customWidth="1"/>
    <col min="19" max="19" width="22.6640625" customWidth="1"/>
    <col min="20" max="20" width="16.44140625" customWidth="1"/>
    <col min="21" max="21" width="21.33203125" customWidth="1"/>
    <col min="22" max="22" width="15.44140625" customWidth="1"/>
    <col min="23" max="23" width="17.6640625" customWidth="1"/>
  </cols>
  <sheetData>
    <row r="1" spans="1:23" ht="21" x14ac:dyDescent="0.4">
      <c r="A1" s="6" t="s">
        <v>26</v>
      </c>
    </row>
    <row r="2" spans="1:23" ht="15.6" x14ac:dyDescent="0.3">
      <c r="A2" s="5" t="s">
        <v>25</v>
      </c>
      <c r="U2" t="s">
        <v>643</v>
      </c>
    </row>
    <row r="3" spans="1:23" ht="15.6" x14ac:dyDescent="0.3">
      <c r="A3" s="5" t="s">
        <v>27</v>
      </c>
      <c r="S3" t="s">
        <v>151</v>
      </c>
    </row>
    <row r="4" spans="1:23" x14ac:dyDescent="0.3">
      <c r="U4" t="s">
        <v>329</v>
      </c>
      <c r="V4" s="2" t="s">
        <v>117</v>
      </c>
    </row>
    <row r="5" spans="1:23" x14ac:dyDescent="0.3">
      <c r="I5" t="s">
        <v>649</v>
      </c>
      <c r="S5" t="s">
        <v>577</v>
      </c>
      <c r="U5" t="s">
        <v>338</v>
      </c>
    </row>
    <row r="6" spans="1:23" s="3" customFormat="1" x14ac:dyDescent="0.3">
      <c r="A6" s="3" t="s">
        <v>15</v>
      </c>
      <c r="B6" s="3" t="s">
        <v>7</v>
      </c>
      <c r="C6" s="3" t="s">
        <v>14</v>
      </c>
      <c r="D6" s="3" t="s">
        <v>138</v>
      </c>
      <c r="E6" s="3" t="s">
        <v>139</v>
      </c>
      <c r="F6" s="3" t="s">
        <v>610</v>
      </c>
      <c r="G6" s="3" t="s">
        <v>16</v>
      </c>
      <c r="H6" s="3" t="s">
        <v>617</v>
      </c>
      <c r="I6" s="3" t="s">
        <v>612</v>
      </c>
      <c r="J6" s="3" t="s">
        <v>616</v>
      </c>
      <c r="K6" s="3" t="s">
        <v>627</v>
      </c>
      <c r="L6" s="3" t="s">
        <v>850</v>
      </c>
      <c r="M6" s="3" t="s">
        <v>75</v>
      </c>
      <c r="O6" s="3" t="s">
        <v>76</v>
      </c>
      <c r="P6" s="3" t="s">
        <v>99</v>
      </c>
      <c r="Q6" s="3" t="s">
        <v>144</v>
      </c>
      <c r="R6" s="3" t="s">
        <v>631</v>
      </c>
      <c r="S6" s="3" t="s">
        <v>91</v>
      </c>
      <c r="T6" s="3" t="s">
        <v>121</v>
      </c>
      <c r="V6" s="3" t="s">
        <v>92</v>
      </c>
      <c r="W6" s="3" t="s">
        <v>638</v>
      </c>
    </row>
    <row r="8" spans="1:23" x14ac:dyDescent="0.3">
      <c r="A8" t="s">
        <v>23</v>
      </c>
      <c r="B8" t="s">
        <v>9</v>
      </c>
      <c r="C8" t="s">
        <v>33</v>
      </c>
      <c r="D8" t="s">
        <v>9</v>
      </c>
      <c r="E8" t="s">
        <v>9</v>
      </c>
      <c r="F8" t="s">
        <v>9</v>
      </c>
      <c r="G8" t="s">
        <v>9</v>
      </c>
      <c r="H8" t="s">
        <v>9</v>
      </c>
      <c r="I8" t="s">
        <v>9</v>
      </c>
      <c r="J8" t="s">
        <v>9</v>
      </c>
      <c r="K8" t="s">
        <v>9</v>
      </c>
      <c r="L8" t="s">
        <v>9</v>
      </c>
      <c r="M8" t="s">
        <v>9</v>
      </c>
      <c r="O8" t="s">
        <v>8</v>
      </c>
      <c r="P8" t="s">
        <v>9</v>
      </c>
      <c r="Q8" t="s">
        <v>9</v>
      </c>
      <c r="R8" t="s">
        <v>9</v>
      </c>
      <c r="S8" t="s">
        <v>9</v>
      </c>
      <c r="T8" t="s">
        <v>9</v>
      </c>
      <c r="V8" t="s">
        <v>9</v>
      </c>
      <c r="W8" t="s">
        <v>9</v>
      </c>
    </row>
    <row r="9" spans="1:23" x14ac:dyDescent="0.3">
      <c r="A9" t="s">
        <v>24</v>
      </c>
      <c r="B9" t="s">
        <v>8</v>
      </c>
      <c r="C9" t="s">
        <v>34</v>
      </c>
      <c r="D9" t="s">
        <v>8</v>
      </c>
      <c r="E9" t="s">
        <v>8</v>
      </c>
      <c r="F9" t="s">
        <v>8</v>
      </c>
      <c r="G9" t="s">
        <v>8</v>
      </c>
      <c r="H9" t="s">
        <v>8</v>
      </c>
      <c r="I9" t="s">
        <v>8</v>
      </c>
      <c r="J9" t="s">
        <v>8</v>
      </c>
      <c r="K9" t="s">
        <v>8</v>
      </c>
      <c r="L9" t="s">
        <v>8</v>
      </c>
      <c r="M9" t="s">
        <v>8</v>
      </c>
      <c r="O9" t="s">
        <v>128</v>
      </c>
      <c r="P9" t="s">
        <v>8</v>
      </c>
      <c r="Q9" t="s">
        <v>8</v>
      </c>
      <c r="R9" t="s">
        <v>8</v>
      </c>
      <c r="S9" t="s">
        <v>8</v>
      </c>
      <c r="T9" t="s">
        <v>8</v>
      </c>
      <c r="V9" t="s">
        <v>8</v>
      </c>
      <c r="W9" t="s">
        <v>8</v>
      </c>
    </row>
    <row r="10" spans="1:23" x14ac:dyDescent="0.3">
      <c r="A10" t="s">
        <v>36</v>
      </c>
      <c r="B10" t="s">
        <v>45</v>
      </c>
      <c r="C10" t="s">
        <v>35</v>
      </c>
      <c r="D10" t="s">
        <v>12</v>
      </c>
      <c r="E10" t="s">
        <v>156</v>
      </c>
      <c r="F10" t="s">
        <v>610</v>
      </c>
      <c r="G10" t="s">
        <v>45</v>
      </c>
      <c r="H10" t="s">
        <v>635</v>
      </c>
      <c r="I10" t="s">
        <v>162</v>
      </c>
      <c r="J10" t="s">
        <v>639</v>
      </c>
      <c r="K10" t="s">
        <v>859</v>
      </c>
      <c r="L10" t="s">
        <v>852</v>
      </c>
      <c r="M10" t="s">
        <v>12</v>
      </c>
      <c r="O10" t="s">
        <v>133</v>
      </c>
      <c r="P10" t="s">
        <v>101</v>
      </c>
      <c r="Q10" t="s">
        <v>132</v>
      </c>
      <c r="R10" t="s">
        <v>652</v>
      </c>
      <c r="S10" s="14" t="s">
        <v>435</v>
      </c>
      <c r="T10" t="s">
        <v>122</v>
      </c>
      <c r="V10" t="s">
        <v>12</v>
      </c>
      <c r="W10" t="s">
        <v>153</v>
      </c>
    </row>
    <row r="11" spans="1:23" x14ac:dyDescent="0.3">
      <c r="A11" t="s">
        <v>37</v>
      </c>
      <c r="B11" t="s">
        <v>440</v>
      </c>
      <c r="C11" t="s">
        <v>8</v>
      </c>
      <c r="D11" t="s">
        <v>168</v>
      </c>
      <c r="E11" t="s">
        <v>140</v>
      </c>
      <c r="F11" t="s">
        <v>634</v>
      </c>
      <c r="G11" t="s">
        <v>72</v>
      </c>
      <c r="H11" t="s">
        <v>636</v>
      </c>
      <c r="I11" t="s">
        <v>1227</v>
      </c>
      <c r="J11" t="s">
        <v>640</v>
      </c>
      <c r="K11" t="s">
        <v>665</v>
      </c>
      <c r="L11" t="s">
        <v>857</v>
      </c>
      <c r="M11" t="s">
        <v>1016</v>
      </c>
      <c r="O11" t="s">
        <v>134</v>
      </c>
      <c r="P11" t="s">
        <v>102</v>
      </c>
      <c r="Q11" t="s">
        <v>269</v>
      </c>
      <c r="R11" t="s">
        <v>1243</v>
      </c>
      <c r="S11" s="14" t="s">
        <v>419</v>
      </c>
      <c r="T11" t="s">
        <v>123</v>
      </c>
      <c r="V11" t="s">
        <v>45</v>
      </c>
      <c r="W11" t="s">
        <v>154</v>
      </c>
    </row>
    <row r="12" spans="1:23" x14ac:dyDescent="0.3">
      <c r="A12" t="s">
        <v>38</v>
      </c>
      <c r="B12" t="s">
        <v>287</v>
      </c>
      <c r="C12" t="s">
        <v>9</v>
      </c>
      <c r="D12" t="s">
        <v>399</v>
      </c>
      <c r="E12" t="s">
        <v>141</v>
      </c>
      <c r="F12" t="s">
        <v>45</v>
      </c>
      <c r="G12" t="s">
        <v>603</v>
      </c>
      <c r="H12" t="s">
        <v>637</v>
      </c>
      <c r="I12" t="s">
        <v>115</v>
      </c>
      <c r="J12" t="s">
        <v>641</v>
      </c>
      <c r="K12" t="s">
        <v>886</v>
      </c>
      <c r="L12" t="s">
        <v>858</v>
      </c>
      <c r="M12" t="s">
        <v>673</v>
      </c>
      <c r="O12" t="s">
        <v>129</v>
      </c>
      <c r="P12" t="s">
        <v>103</v>
      </c>
      <c r="Q12" s="14" t="s">
        <v>349</v>
      </c>
      <c r="R12" s="14" t="s">
        <v>653</v>
      </c>
      <c r="S12" s="14" t="s">
        <v>258</v>
      </c>
      <c r="T12" t="s">
        <v>124</v>
      </c>
      <c r="U12" s="14"/>
      <c r="V12" t="s">
        <v>291</v>
      </c>
      <c r="W12" t="s">
        <v>132</v>
      </c>
    </row>
    <row r="13" spans="1:23" x14ac:dyDescent="0.3">
      <c r="A13" t="s">
        <v>39</v>
      </c>
      <c r="B13" t="s">
        <v>472</v>
      </c>
      <c r="D13" t="s">
        <v>250</v>
      </c>
      <c r="E13" t="s">
        <v>180</v>
      </c>
      <c r="G13" t="s">
        <v>294</v>
      </c>
      <c r="H13" t="s">
        <v>746</v>
      </c>
      <c r="I13" t="s">
        <v>1198</v>
      </c>
      <c r="J13" t="s">
        <v>642</v>
      </c>
      <c r="K13" t="s">
        <v>1189</v>
      </c>
      <c r="L13" t="s">
        <v>860</v>
      </c>
      <c r="M13" t="s">
        <v>725</v>
      </c>
      <c r="O13" t="s">
        <v>135</v>
      </c>
      <c r="Q13" t="s">
        <v>270</v>
      </c>
      <c r="R13" s="14" t="s">
        <v>654</v>
      </c>
      <c r="S13" t="s">
        <v>366</v>
      </c>
      <c r="T13" s="14" t="s">
        <v>197</v>
      </c>
      <c r="V13" t="s">
        <v>339</v>
      </c>
    </row>
    <row r="14" spans="1:23" x14ac:dyDescent="0.3">
      <c r="A14" t="s">
        <v>40</v>
      </c>
      <c r="B14" t="s">
        <v>534</v>
      </c>
      <c r="D14" t="s">
        <v>6</v>
      </c>
      <c r="E14" t="s">
        <v>251</v>
      </c>
      <c r="G14" t="s">
        <v>70</v>
      </c>
      <c r="H14" t="s">
        <v>132</v>
      </c>
      <c r="I14" t="s">
        <v>757</v>
      </c>
      <c r="J14" t="s">
        <v>648</v>
      </c>
      <c r="K14" t="s">
        <v>731</v>
      </c>
      <c r="L14" t="s">
        <v>925</v>
      </c>
      <c r="M14" t="s">
        <v>1072</v>
      </c>
      <c r="O14" t="s">
        <v>130</v>
      </c>
      <c r="Q14" t="s">
        <v>271</v>
      </c>
      <c r="R14" s="14" t="s">
        <v>732</v>
      </c>
      <c r="S14" t="s">
        <v>202</v>
      </c>
      <c r="T14" s="14" t="s">
        <v>205</v>
      </c>
      <c r="V14" t="s">
        <v>116</v>
      </c>
    </row>
    <row r="15" spans="1:23" x14ac:dyDescent="0.3">
      <c r="A15" t="s">
        <v>41</v>
      </c>
      <c r="B15" t="s">
        <v>535</v>
      </c>
      <c r="D15" t="s">
        <v>283</v>
      </c>
      <c r="E15" t="s">
        <v>284</v>
      </c>
      <c r="G15" t="s">
        <v>67</v>
      </c>
      <c r="I15" t="s">
        <v>650</v>
      </c>
      <c r="J15" t="s">
        <v>700</v>
      </c>
      <c r="K15" t="s">
        <v>701</v>
      </c>
      <c r="M15" t="s">
        <v>789</v>
      </c>
      <c r="O15" t="s">
        <v>136</v>
      </c>
      <c r="Q15" s="14" t="s">
        <v>655</v>
      </c>
      <c r="R15" t="s">
        <v>790</v>
      </c>
      <c r="S15" t="s">
        <v>200</v>
      </c>
      <c r="V15" t="s">
        <v>196</v>
      </c>
    </row>
    <row r="16" spans="1:23" x14ac:dyDescent="0.3">
      <c r="A16" t="s">
        <v>42</v>
      </c>
      <c r="B16" t="s">
        <v>188</v>
      </c>
      <c r="D16" t="s">
        <v>127</v>
      </c>
      <c r="E16" t="s">
        <v>522</v>
      </c>
      <c r="G16" t="s">
        <v>405</v>
      </c>
      <c r="I16" t="s">
        <v>745</v>
      </c>
      <c r="K16" t="s">
        <v>771</v>
      </c>
      <c r="M16" t="s">
        <v>767</v>
      </c>
      <c r="O16" t="s">
        <v>137</v>
      </c>
      <c r="Q16" t="s">
        <v>651</v>
      </c>
      <c r="R16" t="s">
        <v>684</v>
      </c>
      <c r="S16" s="14" t="s">
        <v>367</v>
      </c>
      <c r="V16" s="14" t="s">
        <v>187</v>
      </c>
    </row>
    <row r="17" spans="1:23" x14ac:dyDescent="0.3">
      <c r="A17" t="s">
        <v>43</v>
      </c>
      <c r="B17" t="s">
        <v>1108</v>
      </c>
      <c r="D17" t="s">
        <v>443</v>
      </c>
      <c r="E17" t="s">
        <v>554</v>
      </c>
      <c r="G17" t="s">
        <v>98</v>
      </c>
      <c r="I17" t="s">
        <v>578</v>
      </c>
      <c r="K17" t="s">
        <v>924</v>
      </c>
      <c r="M17" t="s">
        <v>949</v>
      </c>
      <c r="O17" t="s">
        <v>131</v>
      </c>
      <c r="R17" t="s">
        <v>663</v>
      </c>
      <c r="S17" s="14" t="s">
        <v>203</v>
      </c>
      <c r="V17" t="s">
        <v>204</v>
      </c>
    </row>
    <row r="18" spans="1:23" x14ac:dyDescent="0.3">
      <c r="A18" t="s">
        <v>44</v>
      </c>
      <c r="B18" t="s">
        <v>411</v>
      </c>
      <c r="D18" t="s">
        <v>548</v>
      </c>
      <c r="G18" t="s">
        <v>227</v>
      </c>
      <c r="I18" t="s">
        <v>579</v>
      </c>
      <c r="K18" t="s">
        <v>1035</v>
      </c>
      <c r="M18" t="s">
        <v>344</v>
      </c>
      <c r="O18" t="s">
        <v>93</v>
      </c>
      <c r="S18" s="14" t="s">
        <v>201</v>
      </c>
      <c r="V18" t="s">
        <v>326</v>
      </c>
    </row>
    <row r="19" spans="1:23" x14ac:dyDescent="0.3">
      <c r="A19" t="s">
        <v>45</v>
      </c>
      <c r="B19" t="s">
        <v>481</v>
      </c>
      <c r="D19" t="s">
        <v>553</v>
      </c>
      <c r="G19" t="s">
        <v>174</v>
      </c>
      <c r="I19" t="s">
        <v>580</v>
      </c>
      <c r="K19" t="s">
        <v>1190</v>
      </c>
      <c r="M19" t="s">
        <v>935</v>
      </c>
      <c r="O19" t="s">
        <v>45</v>
      </c>
      <c r="S19" s="14" t="s">
        <v>246</v>
      </c>
      <c r="V19" t="s">
        <v>191</v>
      </c>
    </row>
    <row r="20" spans="1:23" x14ac:dyDescent="0.3">
      <c r="A20" t="s">
        <v>9</v>
      </c>
      <c r="B20" t="s">
        <v>387</v>
      </c>
      <c r="D20" t="s">
        <v>1060</v>
      </c>
      <c r="G20" t="s">
        <v>346</v>
      </c>
      <c r="I20" t="s">
        <v>692</v>
      </c>
      <c r="K20" t="s">
        <v>1199</v>
      </c>
      <c r="M20" t="s">
        <v>920</v>
      </c>
      <c r="O20" t="s">
        <v>596</v>
      </c>
      <c r="S20" s="14" t="s">
        <v>184</v>
      </c>
      <c r="V20" t="s">
        <v>383</v>
      </c>
    </row>
    <row r="21" spans="1:23" x14ac:dyDescent="0.3">
      <c r="A21" t="s">
        <v>8</v>
      </c>
      <c r="B21" t="s">
        <v>241</v>
      </c>
      <c r="D21" t="s">
        <v>1109</v>
      </c>
      <c r="G21" t="s">
        <v>321</v>
      </c>
      <c r="I21" t="s">
        <v>692</v>
      </c>
      <c r="M21" t="s">
        <v>1011</v>
      </c>
      <c r="O21" t="s">
        <v>605</v>
      </c>
      <c r="S21" s="14" t="s">
        <v>179</v>
      </c>
      <c r="V21" s="14" t="s">
        <v>452</v>
      </c>
    </row>
    <row r="22" spans="1:23" x14ac:dyDescent="0.3">
      <c r="B22" t="s">
        <v>372</v>
      </c>
      <c r="G22" t="s">
        <v>396</v>
      </c>
      <c r="M22" t="s">
        <v>916</v>
      </c>
      <c r="O22" t="s">
        <v>1228</v>
      </c>
      <c r="S22" s="14" t="s">
        <v>228</v>
      </c>
      <c r="V22" t="s">
        <v>94</v>
      </c>
    </row>
    <row r="23" spans="1:23" ht="16.2" x14ac:dyDescent="0.3">
      <c r="B23" t="s">
        <v>373</v>
      </c>
      <c r="G23" t="s">
        <v>66</v>
      </c>
      <c r="I23" s="3"/>
      <c r="J23" s="14"/>
      <c r="K23" s="14"/>
      <c r="L23" s="14"/>
      <c r="M23" t="s">
        <v>984</v>
      </c>
      <c r="N23" s="3" t="s">
        <v>672</v>
      </c>
      <c r="S23" t="s">
        <v>88</v>
      </c>
      <c r="V23" t="s">
        <v>189</v>
      </c>
    </row>
    <row r="24" spans="1:23" ht="16.2" x14ac:dyDescent="0.3">
      <c r="A24" s="4"/>
      <c r="B24" t="s">
        <v>504</v>
      </c>
      <c r="C24" s="4"/>
      <c r="D24" s="4"/>
      <c r="E24" s="4"/>
      <c r="F24" s="4"/>
      <c r="G24" t="s">
        <v>68</v>
      </c>
      <c r="J24" s="14"/>
      <c r="K24" s="14"/>
      <c r="L24" s="14"/>
      <c r="M24" t="s">
        <v>237</v>
      </c>
      <c r="N24" t="s">
        <v>391</v>
      </c>
      <c r="S24" t="s">
        <v>87</v>
      </c>
      <c r="T24" s="4"/>
      <c r="U24" s="4"/>
      <c r="V24" s="14" t="s">
        <v>488</v>
      </c>
      <c r="W24" s="4"/>
    </row>
    <row r="25" spans="1:23" s="4" customFormat="1" x14ac:dyDescent="0.3">
      <c r="A25"/>
      <c r="B25" t="s">
        <v>297</v>
      </c>
      <c r="C25"/>
      <c r="D25"/>
      <c r="E25"/>
      <c r="F25"/>
      <c r="G25" t="s">
        <v>71</v>
      </c>
      <c r="H25"/>
      <c r="I25"/>
      <c r="J25" s="14"/>
      <c r="K25" s="14"/>
      <c r="L25" s="14"/>
      <c r="M25" t="s">
        <v>778</v>
      </c>
      <c r="N25" t="s">
        <v>317</v>
      </c>
      <c r="O25"/>
      <c r="P25"/>
      <c r="Q25"/>
      <c r="R25"/>
      <c r="S25" s="14" t="s">
        <v>519</v>
      </c>
      <c r="T25"/>
      <c r="U25"/>
      <c r="V25" t="s">
        <v>225</v>
      </c>
      <c r="W25"/>
    </row>
    <row r="26" spans="1:23" x14ac:dyDescent="0.3">
      <c r="B26" t="s">
        <v>408</v>
      </c>
      <c r="G26" t="s">
        <v>400</v>
      </c>
      <c r="M26" t="s">
        <v>186</v>
      </c>
      <c r="N26" t="s">
        <v>234</v>
      </c>
      <c r="S26" s="14" t="s">
        <v>166</v>
      </c>
      <c r="V26" s="14" t="s">
        <v>152</v>
      </c>
    </row>
    <row r="27" spans="1:23" x14ac:dyDescent="0.3">
      <c r="B27" t="s">
        <v>506</v>
      </c>
      <c r="G27" t="s">
        <v>363</v>
      </c>
      <c r="M27" t="s">
        <v>362</v>
      </c>
      <c r="N27" t="s">
        <v>541</v>
      </c>
      <c r="P27" s="13"/>
      <c r="Q27" s="13"/>
      <c r="R27" s="13"/>
      <c r="S27" s="14" t="s">
        <v>226</v>
      </c>
      <c r="V27" s="14" t="s">
        <v>471</v>
      </c>
    </row>
    <row r="28" spans="1:23" x14ac:dyDescent="0.3">
      <c r="B28" t="s">
        <v>403</v>
      </c>
      <c r="G28" t="s">
        <v>724</v>
      </c>
      <c r="M28" t="s">
        <v>693</v>
      </c>
      <c r="N28" t="s">
        <v>193</v>
      </c>
      <c r="S28" s="14" t="s">
        <v>483</v>
      </c>
      <c r="V28" s="14" t="s">
        <v>498</v>
      </c>
    </row>
    <row r="29" spans="1:23" x14ac:dyDescent="0.3">
      <c r="B29" t="s">
        <v>763</v>
      </c>
      <c r="G29" t="s">
        <v>397</v>
      </c>
      <c r="M29" t="s">
        <v>1025</v>
      </c>
      <c r="N29" t="s">
        <v>214</v>
      </c>
      <c r="S29" s="14" t="s">
        <v>581</v>
      </c>
    </row>
    <row r="30" spans="1:23" x14ac:dyDescent="0.3">
      <c r="B30" s="4" t="s">
        <v>192</v>
      </c>
      <c r="G30" t="s">
        <v>604</v>
      </c>
      <c r="M30" t="s">
        <v>753</v>
      </c>
      <c r="N30" t="s">
        <v>574</v>
      </c>
      <c r="S30" s="14" t="s">
        <v>582</v>
      </c>
    </row>
    <row r="31" spans="1:23" x14ac:dyDescent="0.3">
      <c r="B31" t="s">
        <v>465</v>
      </c>
      <c r="G31" t="s">
        <v>96</v>
      </c>
      <c r="M31" t="s">
        <v>280</v>
      </c>
      <c r="N31" t="s">
        <v>414</v>
      </c>
      <c r="S31" s="14" t="s">
        <v>583</v>
      </c>
    </row>
    <row r="32" spans="1:23" x14ac:dyDescent="0.3">
      <c r="B32" t="s">
        <v>224</v>
      </c>
      <c r="G32" t="s">
        <v>12</v>
      </c>
      <c r="M32" t="s">
        <v>328</v>
      </c>
      <c r="N32" t="s">
        <v>415</v>
      </c>
      <c r="S32" s="14" t="s">
        <v>584</v>
      </c>
    </row>
    <row r="33" spans="2:22" x14ac:dyDescent="0.3">
      <c r="B33" t="s">
        <v>206</v>
      </c>
      <c r="G33" t="s">
        <v>683</v>
      </c>
      <c r="M33" t="s">
        <v>843</v>
      </c>
      <c r="N33" t="s">
        <v>211</v>
      </c>
      <c r="S33" s="14" t="s">
        <v>688</v>
      </c>
    </row>
    <row r="34" spans="2:22" x14ac:dyDescent="0.3">
      <c r="B34" t="s">
        <v>575</v>
      </c>
      <c r="G34" t="s">
        <v>69</v>
      </c>
      <c r="M34" t="s">
        <v>501</v>
      </c>
      <c r="N34" t="s">
        <v>449</v>
      </c>
    </row>
    <row r="35" spans="2:22" x14ac:dyDescent="0.3">
      <c r="B35" t="s">
        <v>576</v>
      </c>
      <c r="G35" t="s">
        <v>111</v>
      </c>
      <c r="M35" t="s">
        <v>972</v>
      </c>
      <c r="N35" t="s">
        <v>466</v>
      </c>
    </row>
    <row r="36" spans="2:22" x14ac:dyDescent="0.3">
      <c r="B36" t="s">
        <v>233</v>
      </c>
      <c r="G36" t="s">
        <v>376</v>
      </c>
      <c r="M36" t="s">
        <v>805</v>
      </c>
      <c r="N36" t="s">
        <v>310</v>
      </c>
      <c r="S36" s="4"/>
      <c r="T36" s="4"/>
      <c r="U36" s="4"/>
      <c r="V36" s="19"/>
    </row>
    <row r="37" spans="2:22" x14ac:dyDescent="0.3">
      <c r="B37" t="s">
        <v>416</v>
      </c>
      <c r="G37" t="s">
        <v>320</v>
      </c>
      <c r="I37" s="14"/>
      <c r="M37" t="s">
        <v>238</v>
      </c>
      <c r="N37" t="s">
        <v>418</v>
      </c>
    </row>
    <row r="38" spans="2:22" x14ac:dyDescent="0.3">
      <c r="B38" t="s">
        <v>1224</v>
      </c>
      <c r="G38" t="s">
        <v>212</v>
      </c>
      <c r="I38" s="14"/>
      <c r="M38" t="s">
        <v>954</v>
      </c>
      <c r="N38" t="s">
        <v>407</v>
      </c>
    </row>
    <row r="39" spans="2:22" x14ac:dyDescent="0.3">
      <c r="B39" t="s">
        <v>155</v>
      </c>
      <c r="G39" t="s">
        <v>298</v>
      </c>
      <c r="I39" s="14"/>
      <c r="M39" t="s">
        <v>1056</v>
      </c>
      <c r="N39" t="s">
        <v>546</v>
      </c>
    </row>
    <row r="40" spans="2:22" x14ac:dyDescent="0.3">
      <c r="B40" t="s">
        <v>420</v>
      </c>
      <c r="G40" t="s">
        <v>243</v>
      </c>
      <c r="M40" t="s">
        <v>823</v>
      </c>
      <c r="N40" t="s">
        <v>431</v>
      </c>
    </row>
    <row r="41" spans="2:22" x14ac:dyDescent="0.3">
      <c r="B41" t="s">
        <v>296</v>
      </c>
      <c r="G41" t="s">
        <v>401</v>
      </c>
      <c r="M41" t="s">
        <v>93</v>
      </c>
      <c r="N41" t="s">
        <v>248</v>
      </c>
    </row>
    <row r="42" spans="2:22" x14ac:dyDescent="0.3">
      <c r="B42" t="s">
        <v>1220</v>
      </c>
      <c r="G42" t="s">
        <v>288</v>
      </c>
      <c r="M42" t="s">
        <v>963</v>
      </c>
      <c r="N42" t="s">
        <v>493</v>
      </c>
    </row>
    <row r="43" spans="2:22" x14ac:dyDescent="0.3">
      <c r="B43" t="s">
        <v>542</v>
      </c>
      <c r="G43" t="s">
        <v>562</v>
      </c>
      <c r="M43" t="s">
        <v>388</v>
      </c>
      <c r="N43" t="s">
        <v>357</v>
      </c>
    </row>
    <row r="44" spans="2:22" x14ac:dyDescent="0.3">
      <c r="B44" t="s">
        <v>1055</v>
      </c>
      <c r="G44" t="s">
        <v>208</v>
      </c>
      <c r="M44" t="s">
        <v>756</v>
      </c>
      <c r="N44" t="s">
        <v>398</v>
      </c>
    </row>
    <row r="45" spans="2:22" x14ac:dyDescent="0.3">
      <c r="B45" t="s">
        <v>49</v>
      </c>
      <c r="M45" s="4" t="s">
        <v>741</v>
      </c>
      <c r="N45" t="s">
        <v>530</v>
      </c>
    </row>
    <row r="46" spans="2:22" x14ac:dyDescent="0.3">
      <c r="B46" t="s">
        <v>254</v>
      </c>
      <c r="M46" t="s">
        <v>988</v>
      </c>
      <c r="N46" t="s">
        <v>531</v>
      </c>
    </row>
    <row r="47" spans="2:22" x14ac:dyDescent="0.3">
      <c r="B47" t="s">
        <v>508</v>
      </c>
      <c r="M47" t="s">
        <v>871</v>
      </c>
      <c r="N47" t="s">
        <v>532</v>
      </c>
    </row>
    <row r="48" spans="2:22" x14ac:dyDescent="0.3">
      <c r="B48" t="s">
        <v>1172</v>
      </c>
      <c r="M48" t="s">
        <v>907</v>
      </c>
      <c r="N48" t="s">
        <v>533</v>
      </c>
    </row>
    <row r="49" spans="2:14" x14ac:dyDescent="0.3">
      <c r="B49" t="s">
        <v>222</v>
      </c>
      <c r="M49" t="s">
        <v>750</v>
      </c>
      <c r="N49" t="s">
        <v>500</v>
      </c>
    </row>
    <row r="50" spans="2:14" x14ac:dyDescent="0.3">
      <c r="B50" t="s">
        <v>223</v>
      </c>
      <c r="M50" t="s">
        <v>818</v>
      </c>
      <c r="N50" t="s">
        <v>340</v>
      </c>
    </row>
    <row r="51" spans="2:14" x14ac:dyDescent="0.3">
      <c r="B51" t="s">
        <v>409</v>
      </c>
      <c r="M51" t="s">
        <v>711</v>
      </c>
      <c r="N51" t="s">
        <v>468</v>
      </c>
    </row>
    <row r="52" spans="2:14" x14ac:dyDescent="0.3">
      <c r="B52" t="s">
        <v>505</v>
      </c>
      <c r="M52" t="s">
        <v>706</v>
      </c>
      <c r="N52" t="s">
        <v>299</v>
      </c>
    </row>
    <row r="53" spans="2:14" x14ac:dyDescent="0.3">
      <c r="B53" t="s">
        <v>520</v>
      </c>
      <c r="M53" t="s">
        <v>819</v>
      </c>
      <c r="N53" t="s">
        <v>244</v>
      </c>
    </row>
    <row r="54" spans="2:14" x14ac:dyDescent="0.3">
      <c r="B54" t="s">
        <v>279</v>
      </c>
      <c r="M54" t="s">
        <v>944</v>
      </c>
      <c r="N54" t="s">
        <v>461</v>
      </c>
    </row>
    <row r="55" spans="2:14" x14ac:dyDescent="0.3">
      <c r="B55" t="s">
        <v>831</v>
      </c>
      <c r="M55" t="s">
        <v>945</v>
      </c>
      <c r="N55" t="s">
        <v>289</v>
      </c>
    </row>
    <row r="56" spans="2:14" x14ac:dyDescent="0.3">
      <c r="B56" t="s">
        <v>832</v>
      </c>
      <c r="M56" t="s">
        <v>794</v>
      </c>
      <c r="N56" t="s">
        <v>344</v>
      </c>
    </row>
    <row r="57" spans="2:14" x14ac:dyDescent="0.3">
      <c r="B57" t="s">
        <v>404</v>
      </c>
      <c r="M57" t="s">
        <v>393</v>
      </c>
      <c r="N57" t="s">
        <v>306</v>
      </c>
    </row>
    <row r="58" spans="2:14" x14ac:dyDescent="0.3">
      <c r="B58" t="s">
        <v>341</v>
      </c>
      <c r="M58" t="s">
        <v>176</v>
      </c>
      <c r="N58" t="s">
        <v>402</v>
      </c>
    </row>
    <row r="59" spans="2:14" x14ac:dyDescent="0.3">
      <c r="B59" t="s">
        <v>517</v>
      </c>
      <c r="M59" t="s">
        <v>773</v>
      </c>
      <c r="N59" t="s">
        <v>334</v>
      </c>
    </row>
    <row r="60" spans="2:14" x14ac:dyDescent="0.3">
      <c r="B60" t="s">
        <v>1012</v>
      </c>
      <c r="M60" t="s">
        <v>898</v>
      </c>
      <c r="N60" t="s">
        <v>165</v>
      </c>
    </row>
    <row r="61" spans="2:14" x14ac:dyDescent="0.3">
      <c r="B61" t="s">
        <v>524</v>
      </c>
      <c r="M61" t="s">
        <v>1030</v>
      </c>
      <c r="N61" t="s">
        <v>239</v>
      </c>
    </row>
    <row r="62" spans="2:14" x14ac:dyDescent="0.3">
      <c r="B62" t="s">
        <v>199</v>
      </c>
      <c r="M62" t="s">
        <v>772</v>
      </c>
      <c r="N62" t="s">
        <v>434</v>
      </c>
    </row>
    <row r="63" spans="2:14" x14ac:dyDescent="0.3">
      <c r="B63" t="s">
        <v>378</v>
      </c>
      <c r="M63" t="s">
        <v>451</v>
      </c>
      <c r="N63" t="s">
        <v>322</v>
      </c>
    </row>
    <row r="64" spans="2:14" x14ac:dyDescent="0.3">
      <c r="B64" t="s">
        <v>215</v>
      </c>
      <c r="M64" t="s">
        <v>304</v>
      </c>
      <c r="N64" t="s">
        <v>423</v>
      </c>
    </row>
    <row r="65" spans="2:14" x14ac:dyDescent="0.3">
      <c r="B65" t="s">
        <v>343</v>
      </c>
      <c r="M65" t="s">
        <v>256</v>
      </c>
      <c r="N65" t="s">
        <v>293</v>
      </c>
    </row>
    <row r="66" spans="2:14" x14ac:dyDescent="0.3">
      <c r="B66" t="s">
        <v>303</v>
      </c>
      <c r="M66" t="s">
        <v>913</v>
      </c>
      <c r="N66" t="s">
        <v>507</v>
      </c>
    </row>
    <row r="67" spans="2:14" x14ac:dyDescent="0.3">
      <c r="B67" t="s">
        <v>536</v>
      </c>
      <c r="M67" t="s">
        <v>917</v>
      </c>
      <c r="N67" t="s">
        <v>421</v>
      </c>
    </row>
    <row r="68" spans="2:14" x14ac:dyDescent="0.3">
      <c r="B68" t="s">
        <v>442</v>
      </c>
      <c r="M68" t="s">
        <v>902</v>
      </c>
      <c r="N68" t="s">
        <v>422</v>
      </c>
    </row>
    <row r="69" spans="2:14" ht="28.8" x14ac:dyDescent="0.3">
      <c r="B69" s="4" t="s">
        <v>545</v>
      </c>
      <c r="M69" t="s">
        <v>929</v>
      </c>
      <c r="N69" t="s">
        <v>381</v>
      </c>
    </row>
    <row r="70" spans="2:14" x14ac:dyDescent="0.3">
      <c r="B70" t="s">
        <v>95</v>
      </c>
      <c r="M70" t="s">
        <v>967</v>
      </c>
      <c r="N70" t="s">
        <v>305</v>
      </c>
    </row>
    <row r="71" spans="2:14" x14ac:dyDescent="0.3">
      <c r="B71" t="s">
        <v>73</v>
      </c>
      <c r="M71" t="s">
        <v>683</v>
      </c>
      <c r="N71" t="s">
        <v>516</v>
      </c>
    </row>
    <row r="72" spans="2:14" x14ac:dyDescent="0.3">
      <c r="B72" t="s">
        <v>47</v>
      </c>
      <c r="M72" t="s">
        <v>497</v>
      </c>
      <c r="N72" t="s">
        <v>209</v>
      </c>
    </row>
    <row r="73" spans="2:14" x14ac:dyDescent="0.3">
      <c r="B73" t="s">
        <v>564</v>
      </c>
      <c r="M73" t="s">
        <v>1034</v>
      </c>
      <c r="N73" t="s">
        <v>360</v>
      </c>
    </row>
    <row r="74" spans="2:14" x14ac:dyDescent="0.3">
      <c r="B74" t="s">
        <v>563</v>
      </c>
      <c r="M74" t="s">
        <v>717</v>
      </c>
      <c r="N74" t="s">
        <v>161</v>
      </c>
    </row>
    <row r="75" spans="2:14" x14ac:dyDescent="0.3">
      <c r="B75" t="s">
        <v>551</v>
      </c>
      <c r="M75" t="s">
        <v>864</v>
      </c>
      <c r="N75" t="s">
        <v>311</v>
      </c>
    </row>
    <row r="76" spans="2:14" x14ac:dyDescent="0.3">
      <c r="B76" t="s">
        <v>332</v>
      </c>
      <c r="M76" t="s">
        <v>319</v>
      </c>
      <c r="N76" t="s">
        <v>371</v>
      </c>
    </row>
    <row r="77" spans="2:14" x14ac:dyDescent="0.3">
      <c r="B77" t="s">
        <v>316</v>
      </c>
      <c r="M77" t="s">
        <v>801</v>
      </c>
    </row>
    <row r="78" spans="2:14" x14ac:dyDescent="0.3">
      <c r="B78" t="s">
        <v>315</v>
      </c>
      <c r="M78" t="s">
        <v>1061</v>
      </c>
      <c r="N78" t="s">
        <v>236</v>
      </c>
    </row>
    <row r="79" spans="2:14" x14ac:dyDescent="0.3">
      <c r="B79" t="s">
        <v>253</v>
      </c>
      <c r="M79" t="s">
        <v>707</v>
      </c>
      <c r="N79" t="s">
        <v>492</v>
      </c>
    </row>
    <row r="80" spans="2:14" x14ac:dyDescent="0.3">
      <c r="B80" t="s">
        <v>695</v>
      </c>
      <c r="N80" t="s">
        <v>312</v>
      </c>
    </row>
    <row r="81" spans="2:14" x14ac:dyDescent="0.3">
      <c r="B81" t="s">
        <v>213</v>
      </c>
      <c r="N81" t="s">
        <v>309</v>
      </c>
    </row>
    <row r="82" spans="2:14" x14ac:dyDescent="0.3">
      <c r="B82" t="s">
        <v>544</v>
      </c>
      <c r="N82" t="s">
        <v>308</v>
      </c>
    </row>
    <row r="83" spans="2:14" x14ac:dyDescent="0.3">
      <c r="B83" t="s">
        <v>444</v>
      </c>
      <c r="N83" t="s">
        <v>232</v>
      </c>
    </row>
    <row r="84" spans="2:14" x14ac:dyDescent="0.3">
      <c r="B84" t="s">
        <v>568</v>
      </c>
      <c r="N84" t="s">
        <v>347</v>
      </c>
    </row>
    <row r="85" spans="2:14" x14ac:dyDescent="0.3">
      <c r="B85" t="s">
        <v>573</v>
      </c>
      <c r="N85" t="s">
        <v>386</v>
      </c>
    </row>
    <row r="86" spans="2:14" x14ac:dyDescent="0.3">
      <c r="B86" t="s">
        <v>572</v>
      </c>
      <c r="N86" t="s">
        <v>503</v>
      </c>
    </row>
    <row r="87" spans="2:14" x14ac:dyDescent="0.3">
      <c r="B87" t="s">
        <v>361</v>
      </c>
      <c r="N87" t="s">
        <v>217</v>
      </c>
    </row>
    <row r="88" spans="2:14" x14ac:dyDescent="0.3">
      <c r="B88" t="s">
        <v>547</v>
      </c>
    </row>
    <row r="89" spans="2:14" x14ac:dyDescent="0.3">
      <c r="B89" t="s">
        <v>473</v>
      </c>
      <c r="N89" t="s">
        <v>252</v>
      </c>
    </row>
    <row r="90" spans="2:14" x14ac:dyDescent="0.3">
      <c r="B90" t="s">
        <v>149</v>
      </c>
      <c r="N90" t="s">
        <v>565</v>
      </c>
    </row>
    <row r="91" spans="2:14" x14ac:dyDescent="0.3">
      <c r="B91" t="s">
        <v>230</v>
      </c>
      <c r="N91" t="s">
        <v>285</v>
      </c>
    </row>
    <row r="92" spans="2:14" x14ac:dyDescent="0.3">
      <c r="B92" t="s">
        <v>229</v>
      </c>
      <c r="N92" t="s">
        <v>496</v>
      </c>
    </row>
    <row r="93" spans="2:14" x14ac:dyDescent="0.3">
      <c r="B93" t="s">
        <v>561</v>
      </c>
      <c r="N93" t="s">
        <v>98</v>
      </c>
    </row>
    <row r="94" spans="2:14" x14ac:dyDescent="0.3">
      <c r="B94" t="s">
        <v>558</v>
      </c>
      <c r="N94" t="s">
        <v>448</v>
      </c>
    </row>
    <row r="95" spans="2:14" x14ac:dyDescent="0.3">
      <c r="B95" t="s">
        <v>410</v>
      </c>
      <c r="N95" t="s">
        <v>362</v>
      </c>
    </row>
    <row r="96" spans="2:14" x14ac:dyDescent="0.3">
      <c r="B96" t="s">
        <v>479</v>
      </c>
      <c r="N96" t="s">
        <v>169</v>
      </c>
    </row>
    <row r="97" spans="2:14" x14ac:dyDescent="0.3">
      <c r="B97" t="s">
        <v>48</v>
      </c>
      <c r="N97" t="s">
        <v>460</v>
      </c>
    </row>
    <row r="98" spans="2:14" x14ac:dyDescent="0.3">
      <c r="B98" t="s">
        <v>10</v>
      </c>
      <c r="N98" t="s">
        <v>406</v>
      </c>
    </row>
    <row r="99" spans="2:14" x14ac:dyDescent="0.3">
      <c r="B99" t="s">
        <v>324</v>
      </c>
      <c r="N99" t="s">
        <v>463</v>
      </c>
    </row>
    <row r="100" spans="2:14" x14ac:dyDescent="0.3">
      <c r="B100" t="s">
        <v>330</v>
      </c>
      <c r="N100" t="s">
        <v>242</v>
      </c>
    </row>
    <row r="101" spans="2:14" x14ac:dyDescent="0.3">
      <c r="B101" t="s">
        <v>245</v>
      </c>
      <c r="N101" t="s">
        <v>190</v>
      </c>
    </row>
    <row r="102" spans="2:14" x14ac:dyDescent="0.3">
      <c r="B102" t="s">
        <v>480</v>
      </c>
      <c r="N102" t="s">
        <v>433</v>
      </c>
    </row>
    <row r="103" spans="2:14" x14ac:dyDescent="0.3">
      <c r="B103" s="15" t="s">
        <v>292</v>
      </c>
      <c r="N103" t="s">
        <v>392</v>
      </c>
    </row>
    <row r="104" spans="2:14" x14ac:dyDescent="0.3">
      <c r="B104" t="s">
        <v>470</v>
      </c>
      <c r="N104" t="s">
        <v>351</v>
      </c>
    </row>
    <row r="105" spans="2:14" x14ac:dyDescent="0.3">
      <c r="B105" t="s">
        <v>446</v>
      </c>
      <c r="N105" t="s">
        <v>527</v>
      </c>
    </row>
    <row r="106" spans="2:14" x14ac:dyDescent="0.3">
      <c r="B106" t="s">
        <v>157</v>
      </c>
      <c r="N106" t="s">
        <v>114</v>
      </c>
    </row>
    <row r="107" spans="2:14" x14ac:dyDescent="0.3">
      <c r="B107" t="s">
        <v>11</v>
      </c>
      <c r="N107" t="s">
        <v>441</v>
      </c>
    </row>
    <row r="108" spans="2:14" x14ac:dyDescent="0.3">
      <c r="B108" t="s">
        <v>46</v>
      </c>
    </row>
    <row r="109" spans="2:14" x14ac:dyDescent="0.3">
      <c r="B109" t="s">
        <v>560</v>
      </c>
      <c r="N109" t="s">
        <v>514</v>
      </c>
    </row>
    <row r="110" spans="2:14" x14ac:dyDescent="0.3">
      <c r="N110" t="s">
        <v>158</v>
      </c>
    </row>
    <row r="111" spans="2:14" x14ac:dyDescent="0.3">
      <c r="N111" t="s">
        <v>255</v>
      </c>
    </row>
    <row r="112" spans="2:14" x14ac:dyDescent="0.3">
      <c r="N112" t="s">
        <v>475</v>
      </c>
    </row>
    <row r="113" spans="14:14" x14ac:dyDescent="0.3">
      <c r="N113" t="s">
        <v>476</v>
      </c>
    </row>
    <row r="114" spans="14:14" x14ac:dyDescent="0.3">
      <c r="N114" t="s">
        <v>597</v>
      </c>
    </row>
    <row r="116" spans="14:14" x14ac:dyDescent="0.3">
      <c r="N116" t="s">
        <v>300</v>
      </c>
    </row>
    <row r="117" spans="14:14" x14ac:dyDescent="0.3">
      <c r="N117" t="s">
        <v>281</v>
      </c>
    </row>
    <row r="118" spans="14:14" x14ac:dyDescent="0.3">
      <c r="N118" t="s">
        <v>495</v>
      </c>
    </row>
    <row r="119" spans="14:14" x14ac:dyDescent="0.3">
      <c r="N119" t="s">
        <v>375</v>
      </c>
    </row>
    <row r="120" spans="14:14" x14ac:dyDescent="0.3">
      <c r="N120" t="s">
        <v>259</v>
      </c>
    </row>
    <row r="122" spans="14:14" x14ac:dyDescent="0.3">
      <c r="N122" t="s">
        <v>430</v>
      </c>
    </row>
    <row r="123" spans="14:14" x14ac:dyDescent="0.3">
      <c r="N123" t="s">
        <v>183</v>
      </c>
    </row>
    <row r="124" spans="14:14" x14ac:dyDescent="0.3">
      <c r="N124" t="s">
        <v>437</v>
      </c>
    </row>
    <row r="125" spans="14:14" x14ac:dyDescent="0.3">
      <c r="N125" t="s">
        <v>278</v>
      </c>
    </row>
    <row r="126" spans="14:14" x14ac:dyDescent="0.3">
      <c r="N126" t="s">
        <v>219</v>
      </c>
    </row>
    <row r="128" spans="14:14" x14ac:dyDescent="0.3">
      <c r="N128" t="s">
        <v>218</v>
      </c>
    </row>
    <row r="129" spans="14:14" x14ac:dyDescent="0.3">
      <c r="N129" t="s">
        <v>356</v>
      </c>
    </row>
    <row r="130" spans="14:14" x14ac:dyDescent="0.3">
      <c r="N130" t="s">
        <v>313</v>
      </c>
    </row>
    <row r="131" spans="14:14" x14ac:dyDescent="0.3">
      <c r="N131" t="s">
        <v>571</v>
      </c>
    </row>
    <row r="132" spans="14:14" x14ac:dyDescent="0.3">
      <c r="N132" t="s">
        <v>469</v>
      </c>
    </row>
    <row r="134" spans="14:14" x14ac:dyDescent="0.3">
      <c r="N134" t="s">
        <v>526</v>
      </c>
    </row>
    <row r="135" spans="14:14" x14ac:dyDescent="0.3">
      <c r="N135" t="s">
        <v>523</v>
      </c>
    </row>
    <row r="136" spans="14:14" x14ac:dyDescent="0.3">
      <c r="N136" t="s">
        <v>585</v>
      </c>
    </row>
    <row r="137" spans="14:14" x14ac:dyDescent="0.3">
      <c r="N137" t="s">
        <v>235</v>
      </c>
    </row>
    <row r="138" spans="14:14" x14ac:dyDescent="0.3">
      <c r="N138" t="s">
        <v>456</v>
      </c>
    </row>
    <row r="139" spans="14:14" x14ac:dyDescent="0.3">
      <c r="N139" t="s">
        <v>382</v>
      </c>
    </row>
    <row r="140" spans="14:14" x14ac:dyDescent="0.3">
      <c r="N140" t="s">
        <v>436</v>
      </c>
    </row>
    <row r="141" spans="14:14" x14ac:dyDescent="0.3">
      <c r="N141" t="s">
        <v>147</v>
      </c>
    </row>
    <row r="142" spans="14:14" x14ac:dyDescent="0.3">
      <c r="N142" t="s">
        <v>327</v>
      </c>
    </row>
    <row r="143" spans="14:14" x14ac:dyDescent="0.3">
      <c r="N143" t="s">
        <v>445</v>
      </c>
    </row>
    <row r="144" spans="14:14" x14ac:dyDescent="0.3">
      <c r="N144" t="s">
        <v>247</v>
      </c>
    </row>
    <row r="145" spans="14:14" x14ac:dyDescent="0.3">
      <c r="N145" t="s">
        <v>257</v>
      </c>
    </row>
    <row r="146" spans="14:14" x14ac:dyDescent="0.3">
      <c r="N146" t="s">
        <v>295</v>
      </c>
    </row>
    <row r="149" spans="14:14" x14ac:dyDescent="0.3">
      <c r="N149" t="s">
        <v>314</v>
      </c>
    </row>
    <row r="150" spans="14:14" x14ac:dyDescent="0.3">
      <c r="N150" t="s">
        <v>216</v>
      </c>
    </row>
    <row r="151" spans="14:14" x14ac:dyDescent="0.3">
      <c r="N151" t="s">
        <v>175</v>
      </c>
    </row>
    <row r="152" spans="14:14" x14ac:dyDescent="0.3">
      <c r="N152" t="s">
        <v>427</v>
      </c>
    </row>
    <row r="153" spans="14:14" x14ac:dyDescent="0.3">
      <c r="N153" t="s">
        <v>521</v>
      </c>
    </row>
    <row r="154" spans="14:14" x14ac:dyDescent="0.3">
      <c r="N154" t="s">
        <v>429</v>
      </c>
    </row>
    <row r="155" spans="14:14" x14ac:dyDescent="0.3">
      <c r="N155" t="s">
        <v>159</v>
      </c>
    </row>
    <row r="156" spans="14:14" x14ac:dyDescent="0.3">
      <c r="N156" t="s">
        <v>413</v>
      </c>
    </row>
    <row r="157" spans="14:14" x14ac:dyDescent="0.3">
      <c r="N157" t="s">
        <v>358</v>
      </c>
    </row>
    <row r="158" spans="14:14" x14ac:dyDescent="0.3">
      <c r="N158" t="s">
        <v>566</v>
      </c>
    </row>
    <row r="159" spans="14:14" x14ac:dyDescent="0.3">
      <c r="N159" t="s">
        <v>457</v>
      </c>
    </row>
    <row r="160" spans="14:14" x14ac:dyDescent="0.3">
      <c r="N160" t="s">
        <v>307</v>
      </c>
    </row>
    <row r="161" spans="14:14" x14ac:dyDescent="0.3">
      <c r="N161" t="s">
        <v>240</v>
      </c>
    </row>
    <row r="162" spans="14:14" x14ac:dyDescent="0.3">
      <c r="N162" t="s">
        <v>231</v>
      </c>
    </row>
    <row r="163" spans="14:14" x14ac:dyDescent="0.3">
      <c r="N163" t="s">
        <v>598</v>
      </c>
    </row>
    <row r="164" spans="14:14" x14ac:dyDescent="0.3">
      <c r="N164" t="s">
        <v>333</v>
      </c>
    </row>
    <row r="165" spans="14:14" x14ac:dyDescent="0.3">
      <c r="N165" t="s">
        <v>150</v>
      </c>
    </row>
    <row r="166" spans="14:14" x14ac:dyDescent="0.3">
      <c r="N166" t="s">
        <v>348</v>
      </c>
    </row>
    <row r="167" spans="14:14" x14ac:dyDescent="0.3">
      <c r="N167" t="s">
        <v>335</v>
      </c>
    </row>
    <row r="168" spans="14:14" x14ac:dyDescent="0.3">
      <c r="N168" t="s">
        <v>389</v>
      </c>
    </row>
    <row r="169" spans="14:14" x14ac:dyDescent="0.3">
      <c r="N169" t="s">
        <v>365</v>
      </c>
    </row>
    <row r="170" spans="14:14" x14ac:dyDescent="0.3">
      <c r="N170" t="s">
        <v>359</v>
      </c>
    </row>
    <row r="171" spans="14:14" x14ac:dyDescent="0.3">
      <c r="N171" t="s">
        <v>118</v>
      </c>
    </row>
    <row r="172" spans="14:14" x14ac:dyDescent="0.3">
      <c r="N172" t="s">
        <v>302</v>
      </c>
    </row>
    <row r="173" spans="14:14" x14ac:dyDescent="0.3">
      <c r="N173" t="s">
        <v>555</v>
      </c>
    </row>
    <row r="174" spans="14:14" x14ac:dyDescent="0.3">
      <c r="N174" t="s">
        <v>177</v>
      </c>
    </row>
    <row r="175" spans="14:14" x14ac:dyDescent="0.3">
      <c r="N175" t="s">
        <v>220</v>
      </c>
    </row>
    <row r="176" spans="14:14" x14ac:dyDescent="0.3">
      <c r="N176" t="s">
        <v>380</v>
      </c>
    </row>
    <row r="177" spans="14:14" x14ac:dyDescent="0.3">
      <c r="N177" t="s">
        <v>490</v>
      </c>
    </row>
    <row r="178" spans="14:14" x14ac:dyDescent="0.3">
      <c r="N178" t="s">
        <v>489</v>
      </c>
    </row>
    <row r="179" spans="14:14" x14ac:dyDescent="0.3">
      <c r="N179" t="s">
        <v>221</v>
      </c>
    </row>
    <row r="180" spans="14:14" x14ac:dyDescent="0.3">
      <c r="N180" t="s">
        <v>286</v>
      </c>
    </row>
    <row r="181" spans="14:14" x14ac:dyDescent="0.3">
      <c r="N181" t="s">
        <v>491</v>
      </c>
    </row>
    <row r="182" spans="14:14" x14ac:dyDescent="0.3">
      <c r="N182" t="s">
        <v>424</v>
      </c>
    </row>
    <row r="183" spans="14:14" x14ac:dyDescent="0.3">
      <c r="N183" t="s">
        <v>342</v>
      </c>
    </row>
    <row r="184" spans="14:14" x14ac:dyDescent="0.3">
      <c r="N184" t="s">
        <v>428</v>
      </c>
    </row>
    <row r="185" spans="14:14" x14ac:dyDescent="0.3">
      <c r="N185" t="s">
        <v>198</v>
      </c>
    </row>
    <row r="186" spans="14:14" x14ac:dyDescent="0.3">
      <c r="N186" t="s">
        <v>412</v>
      </c>
    </row>
    <row r="187" spans="14:14" x14ac:dyDescent="0.3">
      <c r="N187" t="s">
        <v>482</v>
      </c>
    </row>
    <row r="188" spans="14:14" x14ac:dyDescent="0.3">
      <c r="N188" t="s">
        <v>112</v>
      </c>
    </row>
    <row r="189" spans="14:14" x14ac:dyDescent="0.3">
      <c r="N189" t="s">
        <v>462</v>
      </c>
    </row>
    <row r="190" spans="14:14" x14ac:dyDescent="0.3">
      <c r="N190" t="s">
        <v>194</v>
      </c>
    </row>
    <row r="191" spans="14:14" x14ac:dyDescent="0.3">
      <c r="N191" t="s">
        <v>487</v>
      </c>
    </row>
    <row r="192" spans="14:14" x14ac:dyDescent="0.3">
      <c r="N192" t="s">
        <v>486</v>
      </c>
    </row>
    <row r="195" spans="14:14" x14ac:dyDescent="0.3">
      <c r="N195" t="s">
        <v>379</v>
      </c>
    </row>
    <row r="196" spans="14:14" x14ac:dyDescent="0.3">
      <c r="N196" t="s">
        <v>301</v>
      </c>
    </row>
    <row r="197" spans="14:14" x14ac:dyDescent="0.3">
      <c r="N197" t="s">
        <v>539</v>
      </c>
    </row>
    <row r="198" spans="14:14" x14ac:dyDescent="0.3">
      <c r="N198" t="s">
        <v>478</v>
      </c>
    </row>
    <row r="199" spans="14:14" x14ac:dyDescent="0.3">
      <c r="N199" t="s">
        <v>538</v>
      </c>
    </row>
    <row r="200" spans="14:14" x14ac:dyDescent="0.3">
      <c r="N200" t="s">
        <v>537</v>
      </c>
    </row>
    <row r="201" spans="14:14" x14ac:dyDescent="0.3">
      <c r="N201" t="s">
        <v>425</v>
      </c>
    </row>
    <row r="202" spans="14:14" x14ac:dyDescent="0.3">
      <c r="N202" t="s">
        <v>510</v>
      </c>
    </row>
    <row r="203" spans="14:14" x14ac:dyDescent="0.3">
      <c r="N203" t="s">
        <v>171</v>
      </c>
    </row>
    <row r="204" spans="14:14" x14ac:dyDescent="0.3">
      <c r="N204" t="s">
        <v>477</v>
      </c>
    </row>
    <row r="207" spans="14:14" x14ac:dyDescent="0.3">
      <c r="N207" t="s">
        <v>499</v>
      </c>
    </row>
    <row r="208" spans="14:14" x14ac:dyDescent="0.3">
      <c r="N208" t="s">
        <v>364</v>
      </c>
    </row>
    <row r="210" spans="14:14" x14ac:dyDescent="0.3">
      <c r="N210" t="s">
        <v>447</v>
      </c>
    </row>
    <row r="211" spans="14:14" x14ac:dyDescent="0.3">
      <c r="N211" t="s">
        <v>146</v>
      </c>
    </row>
    <row r="212" spans="14:14" x14ac:dyDescent="0.3">
      <c r="N212" t="s">
        <v>290</v>
      </c>
    </row>
    <row r="213" spans="14:14" x14ac:dyDescent="0.3">
      <c r="N213" t="s">
        <v>337</v>
      </c>
    </row>
    <row r="214" spans="14:14" x14ac:dyDescent="0.3">
      <c r="N214" t="s">
        <v>464</v>
      </c>
    </row>
    <row r="215" spans="14:14" x14ac:dyDescent="0.3">
      <c r="N215" t="s">
        <v>163</v>
      </c>
    </row>
    <row r="216" spans="14:14" x14ac:dyDescent="0.3">
      <c r="N216" t="s">
        <v>207</v>
      </c>
    </row>
    <row r="217" spans="14:14" x14ac:dyDescent="0.3">
      <c r="N217" t="s">
        <v>557</v>
      </c>
    </row>
    <row r="218" spans="14:14" x14ac:dyDescent="0.3">
      <c r="N218" t="s">
        <v>454</v>
      </c>
    </row>
    <row r="219" spans="14:14" x14ac:dyDescent="0.3">
      <c r="N219" t="s">
        <v>485</v>
      </c>
    </row>
    <row r="220" spans="14:14" x14ac:dyDescent="0.3">
      <c r="N220" t="s">
        <v>384</v>
      </c>
    </row>
    <row r="221" spans="14:14" x14ac:dyDescent="0.3">
      <c r="N221" t="s">
        <v>385</v>
      </c>
    </row>
    <row r="222" spans="14:14" x14ac:dyDescent="0.3">
      <c r="N222" t="s">
        <v>556</v>
      </c>
    </row>
    <row r="223" spans="14:14" x14ac:dyDescent="0.3">
      <c r="N223" t="s">
        <v>458</v>
      </c>
    </row>
    <row r="224" spans="14:14" x14ac:dyDescent="0.3">
      <c r="N224" t="s">
        <v>370</v>
      </c>
    </row>
    <row r="225" spans="14:14" x14ac:dyDescent="0.3">
      <c r="N225" t="s">
        <v>368</v>
      </c>
    </row>
    <row r="226" spans="14:14" x14ac:dyDescent="0.3">
      <c r="N226" t="s">
        <v>369</v>
      </c>
    </row>
    <row r="227" spans="14:14" x14ac:dyDescent="0.3">
      <c r="N227" t="s">
        <v>455</v>
      </c>
    </row>
    <row r="228" spans="14:14" x14ac:dyDescent="0.3">
      <c r="N228" t="s">
        <v>549</v>
      </c>
    </row>
    <row r="229" spans="14:14" x14ac:dyDescent="0.3">
      <c r="N229" t="s">
        <v>550</v>
      </c>
    </row>
    <row r="230" spans="14:14" x14ac:dyDescent="0.3">
      <c r="N230" t="s">
        <v>528</v>
      </c>
    </row>
    <row r="231" spans="14:14" x14ac:dyDescent="0.3">
      <c r="N231" t="s">
        <v>377</v>
      </c>
    </row>
    <row r="232" spans="14:14" x14ac:dyDescent="0.3">
      <c r="N232" t="s">
        <v>172</v>
      </c>
    </row>
    <row r="233" spans="14:14" x14ac:dyDescent="0.3">
      <c r="N233" t="s">
        <v>529</v>
      </c>
    </row>
    <row r="234" spans="14:14" x14ac:dyDescent="0.3">
      <c r="N234" t="s">
        <v>515</v>
      </c>
    </row>
    <row r="235" spans="14:14" x14ac:dyDescent="0.3">
      <c r="N235" t="s">
        <v>178</v>
      </c>
    </row>
    <row r="236" spans="14:14" x14ac:dyDescent="0.3">
      <c r="N236" t="s">
        <v>525</v>
      </c>
    </row>
    <row r="237" spans="14:14" x14ac:dyDescent="0.3">
      <c r="N237" t="s">
        <v>170</v>
      </c>
    </row>
    <row r="238" spans="14:14" x14ac:dyDescent="0.3">
      <c r="N238" t="s">
        <v>570</v>
      </c>
    </row>
    <row r="240" spans="14:14" x14ac:dyDescent="0.3">
      <c r="N240" t="s">
        <v>543</v>
      </c>
    </row>
    <row r="241" spans="14:14" ht="28.8" x14ac:dyDescent="0.3">
      <c r="N241" s="4" t="s">
        <v>164</v>
      </c>
    </row>
    <row r="242" spans="14:14" x14ac:dyDescent="0.3">
      <c r="N242" t="s">
        <v>181</v>
      </c>
    </row>
    <row r="243" spans="14:14" x14ac:dyDescent="0.3">
      <c r="N243" t="s">
        <v>513</v>
      </c>
    </row>
    <row r="244" spans="14:14" x14ac:dyDescent="0.3">
      <c r="N244" t="s">
        <v>318</v>
      </c>
    </row>
    <row r="245" spans="14:14" x14ac:dyDescent="0.3">
      <c r="N245" t="s">
        <v>518</v>
      </c>
    </row>
    <row r="246" spans="14:14" x14ac:dyDescent="0.3">
      <c r="N246" t="s">
        <v>559</v>
      </c>
    </row>
    <row r="247" spans="14:14" x14ac:dyDescent="0.3">
      <c r="N247" t="s">
        <v>167</v>
      </c>
    </row>
    <row r="248" spans="14:14" x14ac:dyDescent="0.3">
      <c r="N248" t="s">
        <v>552</v>
      </c>
    </row>
    <row r="249" spans="14:14" x14ac:dyDescent="0.3">
      <c r="N249" t="s">
        <v>502</v>
      </c>
    </row>
    <row r="250" spans="14:14" x14ac:dyDescent="0.3">
      <c r="N250" t="s">
        <v>353</v>
      </c>
    </row>
    <row r="251" spans="14:14" x14ac:dyDescent="0.3">
      <c r="N251" t="s">
        <v>432</v>
      </c>
    </row>
    <row r="252" spans="14:14" x14ac:dyDescent="0.3">
      <c r="N252" t="s">
        <v>567</v>
      </c>
    </row>
    <row r="253" spans="14:14" x14ac:dyDescent="0.3">
      <c r="N253" t="s">
        <v>336</v>
      </c>
    </row>
    <row r="254" spans="14:14" x14ac:dyDescent="0.3">
      <c r="N254" t="s">
        <v>509</v>
      </c>
    </row>
    <row r="255" spans="14:14" x14ac:dyDescent="0.3">
      <c r="N255" t="s">
        <v>474</v>
      </c>
    </row>
    <row r="256" spans="14:14" x14ac:dyDescent="0.3">
      <c r="N256" t="s">
        <v>394</v>
      </c>
    </row>
    <row r="258" spans="14:14" x14ac:dyDescent="0.3">
      <c r="N258" t="s">
        <v>467</v>
      </c>
    </row>
    <row r="259" spans="14:14" x14ac:dyDescent="0.3">
      <c r="N259" t="s">
        <v>426</v>
      </c>
    </row>
    <row r="260" spans="14:14" x14ac:dyDescent="0.3">
      <c r="N260" t="s">
        <v>439</v>
      </c>
    </row>
    <row r="261" spans="14:14" x14ac:dyDescent="0.3">
      <c r="N261" t="s">
        <v>249</v>
      </c>
    </row>
    <row r="262" spans="14:14" x14ac:dyDescent="0.3">
      <c r="N262" t="s">
        <v>210</v>
      </c>
    </row>
    <row r="263" spans="14:14" x14ac:dyDescent="0.3">
      <c r="N263" t="s">
        <v>450</v>
      </c>
    </row>
    <row r="264" spans="14:14" x14ac:dyDescent="0.3">
      <c r="N264" t="s">
        <v>390</v>
      </c>
    </row>
    <row r="265" spans="14:14" x14ac:dyDescent="0.3">
      <c r="N265" t="s">
        <v>438</v>
      </c>
    </row>
    <row r="266" spans="14:14" x14ac:dyDescent="0.3">
      <c r="N266" t="s">
        <v>453</v>
      </c>
    </row>
    <row r="267" spans="14:14" x14ac:dyDescent="0.3">
      <c r="N267" t="s">
        <v>195</v>
      </c>
    </row>
    <row r="268" spans="14:14" x14ac:dyDescent="0.3">
      <c r="N268" t="s">
        <v>323</v>
      </c>
    </row>
    <row r="269" spans="14:14" x14ac:dyDescent="0.3">
      <c r="N269" t="s">
        <v>417</v>
      </c>
    </row>
    <row r="270" spans="14:14" x14ac:dyDescent="0.3">
      <c r="N270" t="s">
        <v>331</v>
      </c>
    </row>
    <row r="271" spans="14:14" x14ac:dyDescent="0.3">
      <c r="N271" t="s">
        <v>540</v>
      </c>
    </row>
    <row r="272" spans="14:14" x14ac:dyDescent="0.3">
      <c r="N272" t="s">
        <v>350</v>
      </c>
    </row>
    <row r="273" spans="14:14" x14ac:dyDescent="0.3">
      <c r="N273" t="s">
        <v>484</v>
      </c>
    </row>
    <row r="274" spans="14:14" x14ac:dyDescent="0.3">
      <c r="N274" t="s">
        <v>182</v>
      </c>
    </row>
    <row r="275" spans="14:14" x14ac:dyDescent="0.3">
      <c r="N275" t="s">
        <v>355</v>
      </c>
    </row>
    <row r="276" spans="14:14" x14ac:dyDescent="0.3">
      <c r="N276" t="s">
        <v>282</v>
      </c>
    </row>
    <row r="277" spans="14:14" x14ac:dyDescent="0.3">
      <c r="N277" t="s">
        <v>494</v>
      </c>
    </row>
    <row r="278" spans="14:14" x14ac:dyDescent="0.3">
      <c r="N278" t="s">
        <v>173</v>
      </c>
    </row>
    <row r="279" spans="14:14" x14ac:dyDescent="0.3">
      <c r="N279" t="s">
        <v>511</v>
      </c>
    </row>
    <row r="280" spans="14:14" x14ac:dyDescent="0.3">
      <c r="N280" t="s">
        <v>374</v>
      </c>
    </row>
    <row r="281" spans="14:14" x14ac:dyDescent="0.3">
      <c r="N281" t="s">
        <v>325</v>
      </c>
    </row>
    <row r="282" spans="14:14" x14ac:dyDescent="0.3">
      <c r="N282" t="s">
        <v>512</v>
      </c>
    </row>
    <row r="283" spans="14:14" x14ac:dyDescent="0.3">
      <c r="N283" t="s">
        <v>354</v>
      </c>
    </row>
    <row r="284" spans="14:14" x14ac:dyDescent="0.3">
      <c r="N284" t="s">
        <v>395</v>
      </c>
    </row>
    <row r="285" spans="14:14" x14ac:dyDescent="0.3">
      <c r="N285" t="s">
        <v>459</v>
      </c>
    </row>
    <row r="286" spans="14:14" x14ac:dyDescent="0.3">
      <c r="N286" t="s">
        <v>569</v>
      </c>
    </row>
  </sheetData>
  <sortState xmlns:xlrd2="http://schemas.microsoft.com/office/spreadsheetml/2017/richdata2" ref="R11:R17">
    <sortCondition ref="R10:R17"/>
  </sortState>
  <conditionalFormatting sqref="V17:V28">
    <cfRule type="containsBlanks" dxfId="1" priority="1">
      <formula>LEN(TRIM(V17))=0</formula>
    </cfRule>
  </conditionalFormatting>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050A0-7554-40B6-A78C-B5EF6AA80B73}">
  <sheetPr codeName="Sheet5"/>
  <dimension ref="A1:F64"/>
  <sheetViews>
    <sheetView workbookViewId="0">
      <pane ySplit="1" topLeftCell="A2" activePane="bottomLeft" state="frozen"/>
      <selection pane="bottomLeft" activeCell="F12" sqref="F10:F12"/>
    </sheetView>
  </sheetViews>
  <sheetFormatPr defaultRowHeight="14.4" x14ac:dyDescent="0.3"/>
  <cols>
    <col min="1" max="1" width="29.6640625" customWidth="1"/>
    <col min="2" max="2" width="24" customWidth="1"/>
    <col min="3" max="3" width="52.33203125" style="4" customWidth="1"/>
    <col min="4" max="4" width="62.6640625" style="4" customWidth="1"/>
    <col min="6" max="6" width="37.6640625" customWidth="1"/>
  </cols>
  <sheetData>
    <row r="1" spans="1:6" ht="18" thickBot="1" x14ac:dyDescent="0.4">
      <c r="A1" s="1" t="s">
        <v>0</v>
      </c>
      <c r="B1" s="1" t="s">
        <v>1</v>
      </c>
      <c r="C1" s="7" t="s">
        <v>2</v>
      </c>
      <c r="D1" s="7" t="s">
        <v>3</v>
      </c>
      <c r="F1" s="1" t="s">
        <v>50</v>
      </c>
    </row>
    <row r="2" spans="1:6" ht="72.599999999999994" thickTop="1" x14ac:dyDescent="0.3">
      <c r="A2" s="9" t="s">
        <v>17</v>
      </c>
      <c r="B2" t="s">
        <v>18</v>
      </c>
      <c r="C2" s="4" t="s">
        <v>21</v>
      </c>
      <c r="F2" s="9" t="s">
        <v>52</v>
      </c>
    </row>
    <row r="3" spans="1:6" ht="28.8" x14ac:dyDescent="0.3">
      <c r="A3" s="8" t="s">
        <v>13</v>
      </c>
      <c r="B3" t="s">
        <v>18</v>
      </c>
      <c r="C3" s="4" t="s">
        <v>145</v>
      </c>
      <c r="F3" s="10" t="s">
        <v>53</v>
      </c>
    </row>
    <row r="4" spans="1:6" x14ac:dyDescent="0.3">
      <c r="A4" s="8" t="s">
        <v>4</v>
      </c>
      <c r="B4" t="s">
        <v>19</v>
      </c>
      <c r="C4" s="4" t="s">
        <v>22</v>
      </c>
      <c r="F4" s="20" t="s">
        <v>54</v>
      </c>
    </row>
    <row r="5" spans="1:6" x14ac:dyDescent="0.3">
      <c r="A5" s="8" t="s">
        <v>5</v>
      </c>
      <c r="B5" t="s">
        <v>18</v>
      </c>
      <c r="C5" s="4" t="s">
        <v>20</v>
      </c>
      <c r="F5" s="11" t="s">
        <v>55</v>
      </c>
    </row>
    <row r="6" spans="1:6" ht="86.4" x14ac:dyDescent="0.3">
      <c r="A6" s="8" t="s">
        <v>30</v>
      </c>
      <c r="B6" t="s">
        <v>18</v>
      </c>
      <c r="C6" s="4" t="s">
        <v>32</v>
      </c>
      <c r="F6" s="12" t="s">
        <v>51</v>
      </c>
    </row>
    <row r="7" spans="1:6" ht="43.2" x14ac:dyDescent="0.3">
      <c r="A7" s="10" t="s">
        <v>15</v>
      </c>
      <c r="B7" t="s">
        <v>74</v>
      </c>
      <c r="C7" s="4" t="s">
        <v>62</v>
      </c>
      <c r="F7" s="17" t="s">
        <v>265</v>
      </c>
    </row>
    <row r="8" spans="1:6" ht="43.2" x14ac:dyDescent="0.3">
      <c r="A8" s="10" t="s">
        <v>7</v>
      </c>
      <c r="B8" t="s">
        <v>74</v>
      </c>
      <c r="C8" s="4" t="s">
        <v>61</v>
      </c>
      <c r="D8" s="4" t="s">
        <v>29</v>
      </c>
      <c r="F8" s="16" t="s">
        <v>266</v>
      </c>
    </row>
    <row r="9" spans="1:6" x14ac:dyDescent="0.3">
      <c r="A9" s="10" t="s">
        <v>14</v>
      </c>
      <c r="B9" t="s">
        <v>74</v>
      </c>
      <c r="C9" s="4" t="s">
        <v>31</v>
      </c>
      <c r="D9" s="4" t="s">
        <v>28</v>
      </c>
    </row>
    <row r="10" spans="1:6" ht="28.8" x14ac:dyDescent="0.3">
      <c r="A10" s="10" t="s">
        <v>138</v>
      </c>
      <c r="B10" t="s">
        <v>74</v>
      </c>
      <c r="C10" s="4" t="s">
        <v>142</v>
      </c>
      <c r="D10" s="4" t="s">
        <v>345</v>
      </c>
    </row>
    <row r="11" spans="1:6" ht="43.2" x14ac:dyDescent="0.3">
      <c r="A11" s="10" t="s">
        <v>139</v>
      </c>
      <c r="B11" t="s">
        <v>74</v>
      </c>
      <c r="C11" s="4" t="s">
        <v>143</v>
      </c>
    </row>
    <row r="12" spans="1:6" ht="72" customHeight="1" x14ac:dyDescent="0.3">
      <c r="A12" s="10" t="s">
        <v>105</v>
      </c>
      <c r="B12" t="s">
        <v>89</v>
      </c>
      <c r="C12" s="4" t="s">
        <v>272</v>
      </c>
      <c r="D12" s="43" t="s">
        <v>606</v>
      </c>
    </row>
    <row r="13" spans="1:6" ht="28.8" x14ac:dyDescent="0.3">
      <c r="A13" s="10" t="s">
        <v>104</v>
      </c>
      <c r="B13" t="s">
        <v>89</v>
      </c>
      <c r="C13" s="4" t="s">
        <v>273</v>
      </c>
      <c r="D13" s="43"/>
    </row>
    <row r="14" spans="1:6" ht="28.8" x14ac:dyDescent="0.3">
      <c r="A14" s="10" t="s">
        <v>106</v>
      </c>
      <c r="B14" t="s">
        <v>89</v>
      </c>
      <c r="C14" s="4" t="s">
        <v>274</v>
      </c>
      <c r="D14" s="43"/>
    </row>
    <row r="15" spans="1:6" ht="28.8" x14ac:dyDescent="0.3">
      <c r="A15" s="10" t="s">
        <v>108</v>
      </c>
      <c r="B15" t="s">
        <v>89</v>
      </c>
      <c r="C15" s="4" t="s">
        <v>275</v>
      </c>
      <c r="D15" s="43" t="s">
        <v>607</v>
      </c>
    </row>
    <row r="16" spans="1:6" ht="28.8" x14ac:dyDescent="0.3">
      <c r="A16" s="10" t="s">
        <v>109</v>
      </c>
      <c r="B16" t="s">
        <v>89</v>
      </c>
      <c r="C16" s="4" t="s">
        <v>276</v>
      </c>
      <c r="D16" s="43"/>
    </row>
    <row r="17" spans="1:4" ht="28.8" x14ac:dyDescent="0.3">
      <c r="A17" s="10" t="s">
        <v>110</v>
      </c>
      <c r="B17" t="s">
        <v>89</v>
      </c>
      <c r="C17" s="4" t="s">
        <v>277</v>
      </c>
      <c r="D17" s="43"/>
    </row>
    <row r="18" spans="1:4" x14ac:dyDescent="0.3">
      <c r="A18" s="10" t="s">
        <v>64</v>
      </c>
      <c r="B18" t="s">
        <v>107</v>
      </c>
      <c r="C18" s="4" t="s">
        <v>60</v>
      </c>
    </row>
    <row r="19" spans="1:4" ht="28.8" x14ac:dyDescent="0.3">
      <c r="A19" s="10" t="s">
        <v>56</v>
      </c>
      <c r="B19" t="s">
        <v>107</v>
      </c>
      <c r="C19" s="4" t="s">
        <v>58</v>
      </c>
      <c r="D19" s="4" t="s">
        <v>608</v>
      </c>
    </row>
    <row r="20" spans="1:4" x14ac:dyDescent="0.3">
      <c r="A20" s="10" t="s">
        <v>65</v>
      </c>
      <c r="B20" t="s">
        <v>107</v>
      </c>
      <c r="C20" s="4" t="s">
        <v>63</v>
      </c>
    </row>
    <row r="21" spans="1:4" ht="28.8" x14ac:dyDescent="0.3">
      <c r="A21" s="10" t="s">
        <v>57</v>
      </c>
      <c r="B21" t="s">
        <v>107</v>
      </c>
      <c r="C21" s="4" t="s">
        <v>59</v>
      </c>
      <c r="D21" s="4" t="s">
        <v>608</v>
      </c>
    </row>
    <row r="22" spans="1:4" ht="28.8" x14ac:dyDescent="0.3">
      <c r="A22" s="20" t="s">
        <v>610</v>
      </c>
      <c r="B22" t="s">
        <v>74</v>
      </c>
      <c r="C22" s="4" t="s">
        <v>633</v>
      </c>
    </row>
    <row r="23" spans="1:4" ht="28.8" x14ac:dyDescent="0.3">
      <c r="A23" s="20" t="s">
        <v>624</v>
      </c>
      <c r="B23" t="s">
        <v>89</v>
      </c>
      <c r="C23" s="4" t="s">
        <v>622</v>
      </c>
    </row>
    <row r="24" spans="1:4" ht="28.8" x14ac:dyDescent="0.3">
      <c r="A24" s="20" t="s">
        <v>1229</v>
      </c>
      <c r="B24" t="s">
        <v>74</v>
      </c>
      <c r="C24" s="4" t="s">
        <v>1235</v>
      </c>
      <c r="D24" s="4" t="s">
        <v>609</v>
      </c>
    </row>
    <row r="25" spans="1:4" ht="43.2" x14ac:dyDescent="0.3">
      <c r="A25" s="20" t="s">
        <v>1230</v>
      </c>
      <c r="B25" t="s">
        <v>74</v>
      </c>
      <c r="C25" s="4" t="s">
        <v>1236</v>
      </c>
      <c r="D25" s="4" t="s">
        <v>97</v>
      </c>
    </row>
    <row r="26" spans="1:4" ht="28.8" x14ac:dyDescent="0.3">
      <c r="A26" s="20" t="s">
        <v>1231</v>
      </c>
      <c r="B26" t="s">
        <v>74</v>
      </c>
      <c r="C26" s="4" t="s">
        <v>1237</v>
      </c>
      <c r="D26" s="4" t="s">
        <v>97</v>
      </c>
    </row>
    <row r="27" spans="1:4" ht="86.4" x14ac:dyDescent="0.3">
      <c r="A27" s="20" t="s">
        <v>1232</v>
      </c>
      <c r="B27" t="s">
        <v>74</v>
      </c>
      <c r="C27" s="4" t="s">
        <v>1241</v>
      </c>
      <c r="D27" s="4" t="s">
        <v>1238</v>
      </c>
    </row>
    <row r="28" spans="1:4" ht="43.2" x14ac:dyDescent="0.3">
      <c r="A28" s="20" t="s">
        <v>1233</v>
      </c>
      <c r="B28" t="s">
        <v>74</v>
      </c>
      <c r="C28" s="4" t="s">
        <v>1240</v>
      </c>
      <c r="D28" s="4" t="s">
        <v>97</v>
      </c>
    </row>
    <row r="29" spans="1:4" ht="28.8" x14ac:dyDescent="0.3">
      <c r="A29" s="20" t="s">
        <v>1234</v>
      </c>
      <c r="B29" t="s">
        <v>74</v>
      </c>
      <c r="C29" s="4" t="s">
        <v>1239</v>
      </c>
      <c r="D29" s="4" t="s">
        <v>97</v>
      </c>
    </row>
    <row r="30" spans="1:4" ht="57.6" x14ac:dyDescent="0.3">
      <c r="A30" s="20" t="s">
        <v>617</v>
      </c>
      <c r="B30" t="s">
        <v>74</v>
      </c>
      <c r="C30" s="4" t="s">
        <v>620</v>
      </c>
      <c r="D30" s="4" t="s">
        <v>827</v>
      </c>
    </row>
    <row r="31" spans="1:4" ht="28.8" x14ac:dyDescent="0.3">
      <c r="A31" s="20" t="s">
        <v>618</v>
      </c>
      <c r="B31" t="s">
        <v>261</v>
      </c>
      <c r="C31" s="4" t="s">
        <v>619</v>
      </c>
    </row>
    <row r="32" spans="1:4" x14ac:dyDescent="0.3">
      <c r="A32" s="20" t="s">
        <v>616</v>
      </c>
      <c r="B32" t="s">
        <v>74</v>
      </c>
      <c r="C32" s="4" t="s">
        <v>621</v>
      </c>
    </row>
    <row r="33" spans="1:4" ht="28.8" x14ac:dyDescent="0.3">
      <c r="A33" s="20" t="s">
        <v>611</v>
      </c>
      <c r="B33" t="s">
        <v>89</v>
      </c>
      <c r="C33" s="4" t="s">
        <v>613</v>
      </c>
    </row>
    <row r="34" spans="1:4" ht="86.4" x14ac:dyDescent="0.3">
      <c r="A34" s="20" t="s">
        <v>612</v>
      </c>
      <c r="B34" t="s">
        <v>74</v>
      </c>
      <c r="C34" s="4" t="s">
        <v>614</v>
      </c>
    </row>
    <row r="35" spans="1:4" ht="72" x14ac:dyDescent="0.3">
      <c r="A35" s="20" t="s">
        <v>715</v>
      </c>
      <c r="B35" t="s">
        <v>89</v>
      </c>
      <c r="C35" s="4" t="s">
        <v>849</v>
      </c>
      <c r="D35" s="4" t="s">
        <v>716</v>
      </c>
    </row>
    <row r="36" spans="1:4" ht="28.8" x14ac:dyDescent="0.3">
      <c r="A36" s="20" t="s">
        <v>1225</v>
      </c>
      <c r="B36" t="s">
        <v>89</v>
      </c>
      <c r="C36" s="4" t="s">
        <v>1226</v>
      </c>
      <c r="D36" s="4" t="s">
        <v>615</v>
      </c>
    </row>
    <row r="37" spans="1:4" ht="57.6" x14ac:dyDescent="0.3">
      <c r="A37" s="20" t="s">
        <v>848</v>
      </c>
      <c r="B37" t="s">
        <v>107</v>
      </c>
      <c r="C37" s="4" t="s">
        <v>847</v>
      </c>
    </row>
    <row r="38" spans="1:4" ht="43.2" x14ac:dyDescent="0.3">
      <c r="A38" s="20" t="s">
        <v>623</v>
      </c>
      <c r="B38" t="s">
        <v>89</v>
      </c>
      <c r="C38" s="4" t="s">
        <v>626</v>
      </c>
      <c r="D38" s="4" t="s">
        <v>625</v>
      </c>
    </row>
    <row r="39" spans="1:4" ht="28.8" x14ac:dyDescent="0.3">
      <c r="A39" s="20" t="s">
        <v>702</v>
      </c>
      <c r="B39" t="s">
        <v>74</v>
      </c>
      <c r="C39" s="4" t="s">
        <v>704</v>
      </c>
      <c r="D39" s="4" t="s">
        <v>851</v>
      </c>
    </row>
    <row r="40" spans="1:4" ht="43.2" x14ac:dyDescent="0.3">
      <c r="A40" s="20" t="s">
        <v>703</v>
      </c>
      <c r="B40" t="s">
        <v>74</v>
      </c>
      <c r="C40" s="4" t="s">
        <v>705</v>
      </c>
      <c r="D40" s="4" t="s">
        <v>851</v>
      </c>
    </row>
    <row r="41" spans="1:4" ht="57.6" x14ac:dyDescent="0.3">
      <c r="A41" s="20" t="s">
        <v>850</v>
      </c>
      <c r="B41" t="s">
        <v>74</v>
      </c>
      <c r="C41" s="4" t="s">
        <v>856</v>
      </c>
    </row>
    <row r="42" spans="1:4" ht="57.6" x14ac:dyDescent="0.3">
      <c r="A42" s="11" t="s">
        <v>75</v>
      </c>
      <c r="B42" t="s">
        <v>74</v>
      </c>
      <c r="C42" s="4" t="s">
        <v>78</v>
      </c>
      <c r="D42" s="4" t="s">
        <v>77</v>
      </c>
    </row>
    <row r="43" spans="1:4" ht="43.2" x14ac:dyDescent="0.3">
      <c r="A43" s="11" t="s">
        <v>76</v>
      </c>
      <c r="B43" t="s">
        <v>74</v>
      </c>
      <c r="C43" s="4" t="s">
        <v>79</v>
      </c>
      <c r="D43" s="4" t="s">
        <v>260</v>
      </c>
    </row>
    <row r="44" spans="1:4" ht="72" x14ac:dyDescent="0.3">
      <c r="A44" s="11" t="s">
        <v>113</v>
      </c>
      <c r="B44" t="s">
        <v>89</v>
      </c>
      <c r="C44" s="4" t="s">
        <v>148</v>
      </c>
    </row>
    <row r="45" spans="1:4" ht="28.8" x14ac:dyDescent="0.3">
      <c r="A45" s="11" t="s">
        <v>99</v>
      </c>
      <c r="B45" t="s">
        <v>74</v>
      </c>
      <c r="C45" s="4" t="s">
        <v>100</v>
      </c>
    </row>
    <row r="46" spans="1:4" ht="28.8" x14ac:dyDescent="0.3">
      <c r="A46" s="12" t="s">
        <v>658</v>
      </c>
      <c r="B46" t="s">
        <v>89</v>
      </c>
      <c r="C46" s="4" t="s">
        <v>160</v>
      </c>
    </row>
    <row r="47" spans="1:4" ht="43.2" x14ac:dyDescent="0.3">
      <c r="A47" s="12" t="s">
        <v>144</v>
      </c>
      <c r="B47" t="s">
        <v>74</v>
      </c>
      <c r="C47" s="4" t="s">
        <v>268</v>
      </c>
      <c r="D47" s="4" t="s">
        <v>267</v>
      </c>
    </row>
    <row r="48" spans="1:4" ht="43.2" x14ac:dyDescent="0.3">
      <c r="A48" s="12" t="s">
        <v>631</v>
      </c>
      <c r="B48" t="s">
        <v>74</v>
      </c>
      <c r="C48" s="4" t="s">
        <v>632</v>
      </c>
    </row>
    <row r="49" spans="1:4" ht="28.8" x14ac:dyDescent="0.3">
      <c r="A49" s="12" t="s">
        <v>668</v>
      </c>
      <c r="B49" t="s">
        <v>669</v>
      </c>
      <c r="C49" s="4" t="s">
        <v>670</v>
      </c>
    </row>
    <row r="50" spans="1:4" ht="28.8" x14ac:dyDescent="0.3">
      <c r="A50" s="12" t="s">
        <v>80</v>
      </c>
      <c r="B50" t="s">
        <v>89</v>
      </c>
      <c r="C50" s="4" t="s">
        <v>84</v>
      </c>
      <c r="D50" s="4" t="s">
        <v>185</v>
      </c>
    </row>
    <row r="51" spans="1:4" ht="28.8" x14ac:dyDescent="0.3">
      <c r="A51" s="12" t="s">
        <v>119</v>
      </c>
      <c r="B51" t="s">
        <v>89</v>
      </c>
      <c r="C51" s="4" t="s">
        <v>81</v>
      </c>
    </row>
    <row r="52" spans="1:4" ht="28.8" x14ac:dyDescent="0.3">
      <c r="A52" s="12" t="s">
        <v>82</v>
      </c>
      <c r="B52" t="s">
        <v>89</v>
      </c>
      <c r="C52" s="4" t="s">
        <v>83</v>
      </c>
      <c r="D52" s="4" t="s">
        <v>85</v>
      </c>
    </row>
    <row r="53" spans="1:4" ht="28.8" x14ac:dyDescent="0.3">
      <c r="A53" s="12" t="s">
        <v>120</v>
      </c>
      <c r="B53" t="s">
        <v>89</v>
      </c>
      <c r="C53" s="4" t="s">
        <v>86</v>
      </c>
    </row>
    <row r="54" spans="1:4" ht="28.8" x14ac:dyDescent="0.3">
      <c r="A54" s="12" t="s">
        <v>91</v>
      </c>
      <c r="B54" t="s">
        <v>74</v>
      </c>
      <c r="C54" s="4" t="s">
        <v>90</v>
      </c>
    </row>
    <row r="55" spans="1:4" ht="43.2" x14ac:dyDescent="0.3">
      <c r="A55" s="12" t="s">
        <v>125</v>
      </c>
      <c r="B55" t="s">
        <v>74</v>
      </c>
      <c r="C55" s="4" t="s">
        <v>126</v>
      </c>
      <c r="D55" s="4" t="s">
        <v>590</v>
      </c>
    </row>
    <row r="56" spans="1:4" ht="57.6" x14ac:dyDescent="0.3">
      <c r="A56" s="12" t="s">
        <v>588</v>
      </c>
      <c r="B56" t="s">
        <v>89</v>
      </c>
      <c r="C56" s="4" t="s">
        <v>594</v>
      </c>
      <c r="D56" s="4" t="s">
        <v>591</v>
      </c>
    </row>
    <row r="57" spans="1:4" ht="57.6" x14ac:dyDescent="0.3">
      <c r="A57" s="12" t="s">
        <v>589</v>
      </c>
      <c r="B57" t="s">
        <v>89</v>
      </c>
      <c r="C57" s="4" t="s">
        <v>595</v>
      </c>
      <c r="D57" s="4" t="s">
        <v>591</v>
      </c>
    </row>
    <row r="58" spans="1:4" ht="43.2" x14ac:dyDescent="0.3">
      <c r="A58" s="12" t="s">
        <v>586</v>
      </c>
      <c r="B58" t="s">
        <v>89</v>
      </c>
      <c r="C58" s="4" t="s">
        <v>592</v>
      </c>
      <c r="D58" s="4" t="s">
        <v>600</v>
      </c>
    </row>
    <row r="59" spans="1:4" ht="72" x14ac:dyDescent="0.3">
      <c r="A59" s="12" t="s">
        <v>599</v>
      </c>
      <c r="B59" t="s">
        <v>89</v>
      </c>
      <c r="C59" s="4" t="s">
        <v>601</v>
      </c>
      <c r="D59" s="4" t="s">
        <v>602</v>
      </c>
    </row>
    <row r="60" spans="1:4" ht="43.2" x14ac:dyDescent="0.3">
      <c r="A60" s="12" t="s">
        <v>587</v>
      </c>
      <c r="B60" t="s">
        <v>89</v>
      </c>
      <c r="C60" s="4" t="s">
        <v>593</v>
      </c>
      <c r="D60" s="4" t="s">
        <v>600</v>
      </c>
    </row>
    <row r="61" spans="1:4" ht="72" x14ac:dyDescent="0.3">
      <c r="A61" s="17" t="s">
        <v>263</v>
      </c>
      <c r="B61" t="s">
        <v>261</v>
      </c>
      <c r="C61" s="4" t="s">
        <v>352</v>
      </c>
    </row>
    <row r="62" spans="1:4" ht="129.6" x14ac:dyDescent="0.3">
      <c r="A62" s="17" t="s">
        <v>264</v>
      </c>
      <c r="B62" t="s">
        <v>261</v>
      </c>
      <c r="C62" s="4" t="s">
        <v>723</v>
      </c>
      <c r="D62" s="4" t="s">
        <v>722</v>
      </c>
    </row>
    <row r="63" spans="1:4" ht="28.8" x14ac:dyDescent="0.3">
      <c r="A63" s="17" t="s">
        <v>628</v>
      </c>
      <c r="B63" t="s">
        <v>261</v>
      </c>
      <c r="C63" s="4" t="s">
        <v>629</v>
      </c>
      <c r="D63" s="4" t="s">
        <v>630</v>
      </c>
    </row>
    <row r="64" spans="1:4" x14ac:dyDescent="0.3">
      <c r="A64" s="17" t="s">
        <v>3</v>
      </c>
      <c r="B64" t="s">
        <v>18</v>
      </c>
      <c r="C64" s="4" t="s">
        <v>262</v>
      </c>
    </row>
  </sheetData>
  <mergeCells count="2">
    <mergeCell ref="D12:D14"/>
    <mergeCell ref="D15:D17"/>
  </mergeCells>
  <conditionalFormatting sqref="A56:A63">
    <cfRule type="containsBlanks" dxfId="0" priority="1">
      <formula>LEN(TRIM(A56))=0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Extraction Controls</vt:lpstr>
      <vt:lpstr>Data validation</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Allanna Russell</dc:creator>
  <cp:lastModifiedBy>Ash Russell</cp:lastModifiedBy>
  <dcterms:created xsi:type="dcterms:W3CDTF">2020-03-02T06:39:11Z</dcterms:created>
  <dcterms:modified xsi:type="dcterms:W3CDTF">2023-09-20T04:19:47Z</dcterms:modified>
</cp:coreProperties>
</file>