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29"/>
  <workbookPr defaultThemeVersion="166925"/>
  <mc:AlternateContent xmlns:mc="http://schemas.openxmlformats.org/markup-compatibility/2006">
    <mc:Choice Requires="x15">
      <x15ac:absPath xmlns:x15ac="http://schemas.microsoft.com/office/spreadsheetml/2010/11/ac" url="C:\Allanna\University\2018 PhD\PUBLICATIONS\2021 What has preclinical systematic review ever done for us\Data and analysis\"/>
    </mc:Choice>
  </mc:AlternateContent>
  <xr:revisionPtr revIDLastSave="0" documentId="13_ncr:1_{C2DFCAA4-53FA-4AA9-83D4-3BDA7712D620}" xr6:coauthVersionLast="46" xr6:coauthVersionMax="46" xr10:uidLastSave="{00000000-0000-0000-0000-000000000000}"/>
  <bookViews>
    <workbookView xWindow="-108" yWindow="-108" windowWidth="23256" windowHeight="12576" tabRatio="605" xr2:uid="{C7110CDD-F2E6-48CC-AB00-5DC8E1CAB485}"/>
  </bookViews>
  <sheets>
    <sheet name="Dictionary" sheetId="14" r:id="rId1"/>
    <sheet name="Exclusion numbers" sheetId="8" r:id="rId2"/>
    <sheet name="Conclusions, ROB, pub bias" sheetId="9" r:id="rId3"/>
    <sheet name="Calculating ROB scores" sheetId="10" r:id="rId4"/>
    <sheet name="Pubmed search terms" sheetId="12" r:id="rId5"/>
    <sheet name="Data validation" sheetId="2"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R28" i="8" l="1"/>
  <c r="Q28" i="8"/>
  <c r="P28" i="8"/>
  <c r="O28" i="8"/>
  <c r="N28" i="8"/>
  <c r="M28" i="8"/>
  <c r="L28" i="8"/>
  <c r="K28" i="8"/>
  <c r="J28" i="8"/>
  <c r="G120" i="10"/>
  <c r="K23" i="8"/>
  <c r="H660" i="10" l="1"/>
  <c r="H661" i="10"/>
  <c r="H668" i="10"/>
  <c r="H669" i="10"/>
  <c r="H676" i="10"/>
  <c r="H677" i="10"/>
  <c r="H684" i="10"/>
  <c r="H685" i="10"/>
  <c r="H692" i="10"/>
  <c r="H693" i="10"/>
  <c r="H700" i="10"/>
  <c r="H701" i="10"/>
  <c r="G657" i="10"/>
  <c r="H657" i="10" s="1"/>
  <c r="G658" i="10"/>
  <c r="H658" i="10" s="1"/>
  <c r="G659" i="10"/>
  <c r="H659" i="10" s="1"/>
  <c r="G660" i="10"/>
  <c r="G661" i="10"/>
  <c r="G662" i="10"/>
  <c r="H662" i="10" s="1"/>
  <c r="G663" i="10"/>
  <c r="H663" i="10" s="1"/>
  <c r="G664" i="10"/>
  <c r="H664" i="10" s="1"/>
  <c r="G665" i="10"/>
  <c r="H665" i="10" s="1"/>
  <c r="G666" i="10"/>
  <c r="H666" i="10" s="1"/>
  <c r="G667" i="10"/>
  <c r="H667" i="10" s="1"/>
  <c r="G668" i="10"/>
  <c r="G669" i="10"/>
  <c r="G670" i="10"/>
  <c r="H670" i="10" s="1"/>
  <c r="G671" i="10"/>
  <c r="H671" i="10" s="1"/>
  <c r="G672" i="10"/>
  <c r="H672" i="10" s="1"/>
  <c r="G673" i="10"/>
  <c r="H673" i="10" s="1"/>
  <c r="G674" i="10"/>
  <c r="H674" i="10" s="1"/>
  <c r="G675" i="10"/>
  <c r="H675" i="10" s="1"/>
  <c r="G676" i="10"/>
  <c r="G677" i="10"/>
  <c r="G678" i="10"/>
  <c r="H678" i="10" s="1"/>
  <c r="G679" i="10"/>
  <c r="H679" i="10" s="1"/>
  <c r="G680" i="10"/>
  <c r="H680" i="10" s="1"/>
  <c r="G681" i="10"/>
  <c r="H681" i="10" s="1"/>
  <c r="G682" i="10"/>
  <c r="H682" i="10" s="1"/>
  <c r="G683" i="10"/>
  <c r="H683" i="10" s="1"/>
  <c r="G684" i="10"/>
  <c r="G685" i="10"/>
  <c r="G686" i="10"/>
  <c r="H686" i="10" s="1"/>
  <c r="G687" i="10"/>
  <c r="H687" i="10" s="1"/>
  <c r="G688" i="10"/>
  <c r="H688" i="10" s="1"/>
  <c r="G689" i="10"/>
  <c r="H689" i="10" s="1"/>
  <c r="G690" i="10"/>
  <c r="H690" i="10" s="1"/>
  <c r="G691" i="10"/>
  <c r="H691" i="10" s="1"/>
  <c r="G692" i="10"/>
  <c r="G693" i="10"/>
  <c r="G694" i="10"/>
  <c r="H694" i="10" s="1"/>
  <c r="G695" i="10"/>
  <c r="H695" i="10" s="1"/>
  <c r="G696" i="10"/>
  <c r="H696" i="10" s="1"/>
  <c r="G697" i="10"/>
  <c r="H697" i="10" s="1"/>
  <c r="G698" i="10"/>
  <c r="H698" i="10" s="1"/>
  <c r="G699" i="10"/>
  <c r="H699" i="10" s="1"/>
  <c r="G700" i="10"/>
  <c r="G701" i="10"/>
  <c r="G702" i="10"/>
  <c r="H702" i="10" s="1"/>
  <c r="G703" i="10"/>
  <c r="H703" i="10" s="1"/>
  <c r="G704" i="10"/>
  <c r="H704" i="10" s="1"/>
  <c r="G705" i="10"/>
  <c r="H705" i="10" s="1"/>
  <c r="G706" i="10"/>
  <c r="H706" i="10" s="1"/>
  <c r="G656" i="10"/>
  <c r="H656" i="10" s="1"/>
  <c r="G655" i="10"/>
  <c r="H655" i="10" s="1"/>
  <c r="O19" i="8"/>
  <c r="P19" i="8"/>
  <c r="N19" i="8"/>
  <c r="E603" i="10"/>
  <c r="E604" i="10"/>
  <c r="E605" i="10"/>
  <c r="E606" i="10"/>
  <c r="E607" i="10"/>
  <c r="E608" i="10"/>
  <c r="E609" i="10"/>
  <c r="E610" i="10"/>
  <c r="E611" i="10"/>
  <c r="E612" i="10"/>
  <c r="E613" i="10"/>
  <c r="E614" i="10"/>
  <c r="E615" i="10"/>
  <c r="E616" i="10"/>
  <c r="E617" i="10"/>
  <c r="E618" i="10"/>
  <c r="E619" i="10"/>
  <c r="E620" i="10"/>
  <c r="E621" i="10"/>
  <c r="E622" i="10"/>
  <c r="E623" i="10"/>
  <c r="E624" i="10"/>
  <c r="E625" i="10"/>
  <c r="E626" i="10"/>
  <c r="E627" i="10"/>
  <c r="E628" i="10"/>
  <c r="E629" i="10"/>
  <c r="E630" i="10"/>
  <c r="E631" i="10"/>
  <c r="E632" i="10"/>
  <c r="E633" i="10"/>
  <c r="E634" i="10"/>
  <c r="E635" i="10"/>
  <c r="E636" i="10"/>
  <c r="E637" i="10"/>
  <c r="E638" i="10"/>
  <c r="E639" i="10"/>
  <c r="E640" i="10"/>
  <c r="E641" i="10"/>
  <c r="E642" i="10"/>
  <c r="E643" i="10"/>
  <c r="E644" i="10"/>
  <c r="E645" i="10"/>
  <c r="E646" i="10"/>
  <c r="E647" i="10"/>
  <c r="E648" i="10"/>
  <c r="E602" i="10"/>
  <c r="L19" i="8"/>
  <c r="P6" i="8"/>
  <c r="N6" i="8"/>
  <c r="Q6" i="8" s="1"/>
  <c r="L6" i="8"/>
  <c r="N16" i="8"/>
  <c r="M16" i="8"/>
  <c r="J16" i="8"/>
  <c r="L16" i="8" s="1"/>
  <c r="P15" i="8"/>
  <c r="O15" i="8"/>
  <c r="N15" i="8"/>
  <c r="L15" i="8"/>
  <c r="Q15" i="8" l="1"/>
  <c r="J655" i="10"/>
  <c r="I655" i="10"/>
  <c r="G602" i="10"/>
  <c r="R6" i="8"/>
  <c r="Q19" i="8"/>
  <c r="R19" i="8" s="1"/>
  <c r="Q16" i="8"/>
  <c r="R16" i="8" s="1"/>
  <c r="F602" i="10"/>
  <c r="R15" i="8"/>
  <c r="E585" i="10" l="1"/>
  <c r="E586" i="10"/>
  <c r="E587" i="10"/>
  <c r="E588" i="10"/>
  <c r="E589" i="10"/>
  <c r="E590" i="10"/>
  <c r="E591" i="10"/>
  <c r="E592" i="10"/>
  <c r="E593" i="10"/>
  <c r="E594" i="10"/>
  <c r="E595" i="10"/>
  <c r="E596" i="10"/>
  <c r="E597" i="10"/>
  <c r="E598" i="10"/>
  <c r="E599" i="10"/>
  <c r="E584" i="10"/>
  <c r="G584" i="10" s="1"/>
  <c r="E527" i="10"/>
  <c r="E528" i="10"/>
  <c r="E529" i="10"/>
  <c r="E530" i="10"/>
  <c r="E531" i="10"/>
  <c r="E532" i="10"/>
  <c r="E533" i="10"/>
  <c r="E534" i="10"/>
  <c r="E535" i="10"/>
  <c r="E536" i="10"/>
  <c r="E537" i="10"/>
  <c r="E538" i="10"/>
  <c r="E539" i="10"/>
  <c r="E540" i="10"/>
  <c r="E541" i="10"/>
  <c r="E542" i="10"/>
  <c r="E543" i="10"/>
  <c r="E544" i="10"/>
  <c r="E545" i="10"/>
  <c r="E546" i="10"/>
  <c r="E547" i="10"/>
  <c r="E548" i="10"/>
  <c r="E549" i="10"/>
  <c r="E550" i="10"/>
  <c r="E551" i="10"/>
  <c r="E552" i="10"/>
  <c r="E553" i="10"/>
  <c r="E554" i="10"/>
  <c r="E555" i="10"/>
  <c r="E556" i="10"/>
  <c r="E557" i="10"/>
  <c r="E558" i="10"/>
  <c r="E559" i="10"/>
  <c r="E560" i="10"/>
  <c r="E561" i="10"/>
  <c r="E562" i="10"/>
  <c r="E563" i="10"/>
  <c r="E564" i="10"/>
  <c r="E565" i="10"/>
  <c r="E566" i="10"/>
  <c r="E567" i="10"/>
  <c r="E568" i="10"/>
  <c r="E569" i="10"/>
  <c r="E570" i="10"/>
  <c r="E571" i="10"/>
  <c r="E572" i="10"/>
  <c r="E573" i="10"/>
  <c r="E574" i="10"/>
  <c r="E575" i="10"/>
  <c r="E576" i="10"/>
  <c r="E577" i="10"/>
  <c r="E578" i="10"/>
  <c r="E579" i="10"/>
  <c r="E580" i="10"/>
  <c r="E581" i="10"/>
  <c r="E526" i="10"/>
  <c r="G526" i="10" s="1"/>
  <c r="F526" i="10" l="1"/>
  <c r="F584" i="10"/>
  <c r="E430" i="10"/>
  <c r="E431" i="10"/>
  <c r="E432" i="10"/>
  <c r="E433" i="10"/>
  <c r="E434" i="10"/>
  <c r="E435" i="10"/>
  <c r="E436" i="10"/>
  <c r="E437" i="10"/>
  <c r="E438" i="10"/>
  <c r="E439" i="10"/>
  <c r="E440" i="10"/>
  <c r="E441" i="10"/>
  <c r="E442" i="10"/>
  <c r="E443" i="10"/>
  <c r="E444" i="10"/>
  <c r="E445" i="10"/>
  <c r="E446" i="10"/>
  <c r="E447" i="10"/>
  <c r="E448" i="10"/>
  <c r="E449" i="10"/>
  <c r="E450" i="10"/>
  <c r="E451" i="10"/>
  <c r="E452" i="10"/>
  <c r="E453" i="10"/>
  <c r="E454" i="10"/>
  <c r="E455" i="10"/>
  <c r="E456" i="10"/>
  <c r="E457" i="10"/>
  <c r="E458" i="10"/>
  <c r="E459" i="10"/>
  <c r="E460" i="10"/>
  <c r="E461" i="10"/>
  <c r="E462" i="10"/>
  <c r="E463" i="10"/>
  <c r="E464" i="10"/>
  <c r="E465" i="10"/>
  <c r="E466" i="10"/>
  <c r="E467" i="10"/>
  <c r="E468" i="10"/>
  <c r="E469" i="10"/>
  <c r="E470" i="10"/>
  <c r="E471" i="10"/>
  <c r="E472" i="10"/>
  <c r="E473" i="10"/>
  <c r="E474" i="10"/>
  <c r="E475" i="10"/>
  <c r="E476" i="10"/>
  <c r="E477" i="10"/>
  <c r="E478" i="10"/>
  <c r="E479" i="10"/>
  <c r="E480" i="10"/>
  <c r="E481" i="10"/>
  <c r="E482" i="10"/>
  <c r="E483" i="10"/>
  <c r="E484" i="10"/>
  <c r="E485" i="10"/>
  <c r="E486" i="10"/>
  <c r="E487" i="10"/>
  <c r="E488" i="10"/>
  <c r="E489" i="10"/>
  <c r="E490" i="10"/>
  <c r="E491" i="10"/>
  <c r="E492" i="10"/>
  <c r="E493" i="10"/>
  <c r="E494" i="10"/>
  <c r="E495" i="10"/>
  <c r="E496" i="10"/>
  <c r="E497" i="10"/>
  <c r="E498" i="10"/>
  <c r="E499" i="10"/>
  <c r="E500" i="10"/>
  <c r="E501" i="10"/>
  <c r="E502" i="10"/>
  <c r="E503" i="10"/>
  <c r="E504" i="10"/>
  <c r="E505" i="10"/>
  <c r="E506" i="10"/>
  <c r="E507" i="10"/>
  <c r="E508" i="10"/>
  <c r="E509" i="10"/>
  <c r="E510" i="10"/>
  <c r="E511" i="10"/>
  <c r="E512" i="10"/>
  <c r="E513" i="10"/>
  <c r="E514" i="10"/>
  <c r="E515" i="10"/>
  <c r="E516" i="10"/>
  <c r="E517" i="10"/>
  <c r="E518" i="10"/>
  <c r="E519" i="10"/>
  <c r="E520" i="10"/>
  <c r="E521" i="10"/>
  <c r="E522" i="10"/>
  <c r="E523" i="10"/>
  <c r="E429" i="10"/>
  <c r="E387" i="10"/>
  <c r="E388" i="10"/>
  <c r="F386" i="10" s="1"/>
  <c r="E389" i="10"/>
  <c r="E390" i="10"/>
  <c r="E391" i="10"/>
  <c r="E392" i="10"/>
  <c r="E393" i="10"/>
  <c r="E394" i="10"/>
  <c r="E395" i="10"/>
  <c r="E396" i="10"/>
  <c r="E397" i="10"/>
  <c r="E398" i="10"/>
  <c r="E399" i="10"/>
  <c r="E400" i="10"/>
  <c r="E401" i="10"/>
  <c r="E402" i="10"/>
  <c r="E403" i="10"/>
  <c r="E404" i="10"/>
  <c r="E405" i="10"/>
  <c r="E406" i="10"/>
  <c r="E407" i="10"/>
  <c r="E408" i="10"/>
  <c r="E409" i="10"/>
  <c r="E410" i="10"/>
  <c r="E411" i="10"/>
  <c r="E412" i="10"/>
  <c r="E413" i="10"/>
  <c r="E414" i="10"/>
  <c r="E415" i="10"/>
  <c r="E416" i="10"/>
  <c r="E417" i="10"/>
  <c r="E418" i="10"/>
  <c r="E419" i="10"/>
  <c r="E420" i="10"/>
  <c r="E421" i="10"/>
  <c r="E422" i="10"/>
  <c r="E423" i="10"/>
  <c r="E424" i="10"/>
  <c r="E425" i="10"/>
  <c r="E426" i="10"/>
  <c r="E386" i="10"/>
  <c r="F332" i="10"/>
  <c r="E333" i="10"/>
  <c r="E334" i="10"/>
  <c r="E335" i="10"/>
  <c r="E336" i="10"/>
  <c r="E337" i="10"/>
  <c r="E338" i="10"/>
  <c r="E339" i="10"/>
  <c r="E340" i="10"/>
  <c r="G332" i="10" s="1"/>
  <c r="E341" i="10"/>
  <c r="E342" i="10"/>
  <c r="E343" i="10"/>
  <c r="E344" i="10"/>
  <c r="E345" i="10"/>
  <c r="E346" i="10"/>
  <c r="E347" i="10"/>
  <c r="E348" i="10"/>
  <c r="E349" i="10"/>
  <c r="E350" i="10"/>
  <c r="E351" i="10"/>
  <c r="E352" i="10"/>
  <c r="E353" i="10"/>
  <c r="E354" i="10"/>
  <c r="E355" i="10"/>
  <c r="E356" i="10"/>
  <c r="E357" i="10"/>
  <c r="E358" i="10"/>
  <c r="E359" i="10"/>
  <c r="E360" i="10"/>
  <c r="E361" i="10"/>
  <c r="E362" i="10"/>
  <c r="E363" i="10"/>
  <c r="E364" i="10"/>
  <c r="E365" i="10"/>
  <c r="E366" i="10"/>
  <c r="E367" i="10"/>
  <c r="E368" i="10"/>
  <c r="E369" i="10"/>
  <c r="E370" i="10"/>
  <c r="E371" i="10"/>
  <c r="E372" i="10"/>
  <c r="E373" i="10"/>
  <c r="E374" i="10"/>
  <c r="E375" i="10"/>
  <c r="E376" i="10"/>
  <c r="E377" i="10"/>
  <c r="E378" i="10"/>
  <c r="E379" i="10"/>
  <c r="E380" i="10"/>
  <c r="E381" i="10"/>
  <c r="E382" i="10"/>
  <c r="E383" i="10"/>
  <c r="E332" i="10"/>
  <c r="E278" i="10"/>
  <c r="E279" i="10"/>
  <c r="E280" i="10"/>
  <c r="E281" i="10"/>
  <c r="E282" i="10"/>
  <c r="E283" i="10"/>
  <c r="E284" i="10"/>
  <c r="E285" i="10"/>
  <c r="E286" i="10"/>
  <c r="E287" i="10"/>
  <c r="E288" i="10"/>
  <c r="E289" i="10"/>
  <c r="E290" i="10"/>
  <c r="E291" i="10"/>
  <c r="E292" i="10"/>
  <c r="E293" i="10"/>
  <c r="E294" i="10"/>
  <c r="E295" i="10"/>
  <c r="E296" i="10"/>
  <c r="E297" i="10"/>
  <c r="E298" i="10"/>
  <c r="E299" i="10"/>
  <c r="E300" i="10"/>
  <c r="E301" i="10"/>
  <c r="E302" i="10"/>
  <c r="E303" i="10"/>
  <c r="E304" i="10"/>
  <c r="E305" i="10"/>
  <c r="E306" i="10"/>
  <c r="E307" i="10"/>
  <c r="E308" i="10"/>
  <c r="E309" i="10"/>
  <c r="E310" i="10"/>
  <c r="E311" i="10"/>
  <c r="E312" i="10"/>
  <c r="E313" i="10"/>
  <c r="E314" i="10"/>
  <c r="E315" i="10"/>
  <c r="E316" i="10"/>
  <c r="E317" i="10"/>
  <c r="E318" i="10"/>
  <c r="E319" i="10"/>
  <c r="E320" i="10"/>
  <c r="E321" i="10"/>
  <c r="E322" i="10"/>
  <c r="E323" i="10"/>
  <c r="E324" i="10"/>
  <c r="E325" i="10"/>
  <c r="E326" i="10"/>
  <c r="E327" i="10"/>
  <c r="E328" i="10"/>
  <c r="E329" i="10"/>
  <c r="G386" i="10" l="1"/>
  <c r="G429" i="10"/>
  <c r="F429" i="10"/>
  <c r="E254" i="10"/>
  <c r="E255" i="10"/>
  <c r="E256" i="10"/>
  <c r="E257" i="10"/>
  <c r="E258" i="10"/>
  <c r="E259" i="10"/>
  <c r="E260" i="10"/>
  <c r="E261" i="10"/>
  <c r="E262" i="10"/>
  <c r="E263" i="10"/>
  <c r="E264" i="10"/>
  <c r="E265" i="10"/>
  <c r="E266" i="10"/>
  <c r="E267" i="10"/>
  <c r="E268" i="10"/>
  <c r="E269" i="10"/>
  <c r="E270" i="10"/>
  <c r="E271" i="10"/>
  <c r="E272" i="10"/>
  <c r="E273" i="10"/>
  <c r="E274" i="10"/>
  <c r="E275" i="10"/>
  <c r="E253" i="10"/>
  <c r="F253" i="10" s="1"/>
  <c r="E232" i="10"/>
  <c r="E233" i="10"/>
  <c r="E234" i="10"/>
  <c r="E235" i="10"/>
  <c r="E236" i="10"/>
  <c r="E237" i="10"/>
  <c r="E238" i="10"/>
  <c r="E239" i="10"/>
  <c r="E240" i="10"/>
  <c r="E241" i="10"/>
  <c r="E242" i="10"/>
  <c r="E243" i="10"/>
  <c r="E244" i="10"/>
  <c r="E245" i="10"/>
  <c r="E246" i="10"/>
  <c r="E247" i="10"/>
  <c r="E248" i="10"/>
  <c r="E249" i="10"/>
  <c r="E250" i="10"/>
  <c r="E231" i="10"/>
  <c r="G217" i="10"/>
  <c r="G218" i="10"/>
  <c r="G219" i="10"/>
  <c r="G220" i="10"/>
  <c r="G221" i="10"/>
  <c r="G222" i="10"/>
  <c r="G223" i="10"/>
  <c r="G224" i="10"/>
  <c r="G225" i="10"/>
  <c r="G226" i="10"/>
  <c r="G227" i="10"/>
  <c r="G216" i="10"/>
  <c r="E217" i="10"/>
  <c r="E218" i="10"/>
  <c r="E219" i="10"/>
  <c r="E220" i="10"/>
  <c r="E221" i="10"/>
  <c r="E222" i="10"/>
  <c r="E223" i="10"/>
  <c r="E216" i="10"/>
  <c r="E192" i="10"/>
  <c r="E193" i="10"/>
  <c r="E194" i="10"/>
  <c r="E195" i="10"/>
  <c r="E196" i="10"/>
  <c r="E197" i="10"/>
  <c r="E198" i="10"/>
  <c r="E199" i="10"/>
  <c r="E200" i="10"/>
  <c r="E201" i="10"/>
  <c r="E202" i="10"/>
  <c r="E203" i="10"/>
  <c r="E204" i="10"/>
  <c r="E205" i="10"/>
  <c r="E206" i="10"/>
  <c r="E207" i="10"/>
  <c r="E208" i="10"/>
  <c r="E209" i="10"/>
  <c r="E210" i="10"/>
  <c r="E211" i="10"/>
  <c r="E212" i="10"/>
  <c r="E213" i="10"/>
  <c r="E191" i="10"/>
  <c r="E182" i="10"/>
  <c r="E183" i="10"/>
  <c r="E184" i="10"/>
  <c r="E185" i="10"/>
  <c r="E186" i="10"/>
  <c r="E187" i="10"/>
  <c r="E188" i="10"/>
  <c r="E181" i="10"/>
  <c r="F2" i="10"/>
  <c r="E170" i="10"/>
  <c r="E171" i="10"/>
  <c r="E172" i="10"/>
  <c r="F169" i="10" s="1"/>
  <c r="E173" i="10"/>
  <c r="E174" i="10"/>
  <c r="E175" i="10"/>
  <c r="E176" i="10"/>
  <c r="E177" i="10"/>
  <c r="E178" i="10"/>
  <c r="E169" i="10"/>
  <c r="E121" i="10"/>
  <c r="E122" i="10"/>
  <c r="E123" i="10"/>
  <c r="E124" i="10"/>
  <c r="E125" i="10"/>
  <c r="E126" i="10"/>
  <c r="E127" i="10"/>
  <c r="E128" i="10"/>
  <c r="E129" i="10"/>
  <c r="E130" i="10"/>
  <c r="E131" i="10"/>
  <c r="E132" i="10"/>
  <c r="E133" i="10"/>
  <c r="E134" i="10"/>
  <c r="E135" i="10"/>
  <c r="E136" i="10"/>
  <c r="E137" i="10"/>
  <c r="E138" i="10"/>
  <c r="E139" i="10"/>
  <c r="E140" i="10"/>
  <c r="E141" i="10"/>
  <c r="E142" i="10"/>
  <c r="E143" i="10"/>
  <c r="E144" i="10"/>
  <c r="E145" i="10"/>
  <c r="E146" i="10"/>
  <c r="E147" i="10"/>
  <c r="E148" i="10"/>
  <c r="E149" i="10"/>
  <c r="E150" i="10"/>
  <c r="E151" i="10"/>
  <c r="E152" i="10"/>
  <c r="E153" i="10"/>
  <c r="E154" i="10"/>
  <c r="E155" i="10"/>
  <c r="E156" i="10"/>
  <c r="E157" i="10"/>
  <c r="E158" i="10"/>
  <c r="E159" i="10"/>
  <c r="E160" i="10"/>
  <c r="E161" i="10"/>
  <c r="E162" i="10"/>
  <c r="E163" i="10"/>
  <c r="E164" i="10"/>
  <c r="E165" i="10"/>
  <c r="E166" i="10"/>
  <c r="E120" i="10"/>
  <c r="E82" i="10"/>
  <c r="E83" i="10"/>
  <c r="E84" i="10"/>
  <c r="E85" i="10"/>
  <c r="E86" i="10"/>
  <c r="E87" i="10"/>
  <c r="E88" i="10"/>
  <c r="E89" i="10"/>
  <c r="E90" i="10"/>
  <c r="E91" i="10"/>
  <c r="E92" i="10"/>
  <c r="E93" i="10"/>
  <c r="E94" i="10"/>
  <c r="E95" i="10"/>
  <c r="E96" i="10"/>
  <c r="E97" i="10"/>
  <c r="E98" i="10"/>
  <c r="E99" i="10"/>
  <c r="E100" i="10"/>
  <c r="E101" i="10"/>
  <c r="E102" i="10"/>
  <c r="E103" i="10"/>
  <c r="E104" i="10"/>
  <c r="E105" i="10"/>
  <c r="E106" i="10"/>
  <c r="E107" i="10"/>
  <c r="E108" i="10"/>
  <c r="E109" i="10"/>
  <c r="E110" i="10"/>
  <c r="E111" i="10"/>
  <c r="E112" i="10"/>
  <c r="E113" i="10"/>
  <c r="E114" i="10"/>
  <c r="E115" i="10"/>
  <c r="E116" i="10"/>
  <c r="E117" i="10"/>
  <c r="E81" i="10"/>
  <c r="E64" i="10"/>
  <c r="E65" i="10"/>
  <c r="E66" i="10"/>
  <c r="E67" i="10"/>
  <c r="E68" i="10"/>
  <c r="E69" i="10"/>
  <c r="E70" i="10"/>
  <c r="E71" i="10"/>
  <c r="E72" i="10"/>
  <c r="E73" i="10"/>
  <c r="E74" i="10"/>
  <c r="E75" i="10"/>
  <c r="E76" i="10"/>
  <c r="E77" i="10"/>
  <c r="E78" i="10"/>
  <c r="E63" i="10"/>
  <c r="M53" i="10"/>
  <c r="L42" i="10"/>
  <c r="M42" i="10" s="1"/>
  <c r="L43" i="10"/>
  <c r="M43" i="10" s="1"/>
  <c r="L44" i="10"/>
  <c r="M44" i="10" s="1"/>
  <c r="L45" i="10"/>
  <c r="M45" i="10" s="1"/>
  <c r="L46" i="10"/>
  <c r="M46" i="10" s="1"/>
  <c r="L47" i="10"/>
  <c r="M47" i="10" s="1"/>
  <c r="L48" i="10"/>
  <c r="M48" i="10" s="1"/>
  <c r="L49" i="10"/>
  <c r="M49" i="10" s="1"/>
  <c r="L50" i="10"/>
  <c r="M50" i="10" s="1"/>
  <c r="L51" i="10"/>
  <c r="M51" i="10" s="1"/>
  <c r="L52" i="10"/>
  <c r="M52" i="10" s="1"/>
  <c r="L53" i="10"/>
  <c r="L54" i="10"/>
  <c r="M54" i="10" s="1"/>
  <c r="L55" i="10"/>
  <c r="M55" i="10" s="1"/>
  <c r="L56" i="10"/>
  <c r="M56" i="10" s="1"/>
  <c r="L57" i="10"/>
  <c r="M57" i="10" s="1"/>
  <c r="L58" i="10"/>
  <c r="M58" i="10" s="1"/>
  <c r="L59" i="10"/>
  <c r="M59" i="10" s="1"/>
  <c r="L41" i="10"/>
  <c r="M41" i="10" s="1"/>
  <c r="E2" i="10"/>
  <c r="F231" i="10" l="1"/>
  <c r="F120" i="10"/>
  <c r="G169" i="10"/>
  <c r="G63" i="10"/>
  <c r="F81" i="10"/>
  <c r="G181" i="10"/>
  <c r="I216" i="10"/>
  <c r="G231" i="10"/>
  <c r="F181" i="10"/>
  <c r="G191" i="10"/>
  <c r="G253" i="10"/>
  <c r="F63" i="10"/>
  <c r="G81" i="10"/>
  <c r="H216" i="10"/>
  <c r="O41" i="10"/>
  <c r="N41" i="10"/>
  <c r="F191" i="10"/>
  <c r="K27" i="8"/>
  <c r="K26" i="8"/>
  <c r="K25" i="8"/>
  <c r="K24" i="8"/>
  <c r="P4" i="8"/>
  <c r="N4" i="8"/>
  <c r="M4" i="8"/>
  <c r="L4" i="8"/>
  <c r="N10" i="8"/>
  <c r="Q10" i="8" s="1"/>
  <c r="U10" i="8" s="1"/>
  <c r="L10" i="8"/>
  <c r="O2" i="8"/>
  <c r="J2" i="8"/>
  <c r="L2" i="8" l="1"/>
  <c r="Q2" i="8"/>
  <c r="T2" i="8" s="1"/>
  <c r="Q4" i="8"/>
  <c r="V4" i="8" s="1"/>
  <c r="V10" i="8"/>
  <c r="T10" i="8"/>
  <c r="W10" i="8"/>
  <c r="R10" i="8"/>
  <c r="X10" i="8" s="1"/>
  <c r="W2" i="8" l="1"/>
  <c r="R2" i="8"/>
  <c r="X2" i="8" s="1"/>
  <c r="U2" i="8"/>
  <c r="T4" i="8"/>
  <c r="R4" i="8"/>
  <c r="X4" i="8" s="1"/>
  <c r="U4" i="8"/>
  <c r="W4" i="8"/>
  <c r="V2" i="8"/>
  <c r="P14" i="8" l="1"/>
  <c r="O14" i="8"/>
  <c r="M14" i="8"/>
  <c r="N14" i="8"/>
  <c r="L14" i="8"/>
  <c r="U6" i="8"/>
  <c r="M21" i="8"/>
  <c r="N21" i="8"/>
  <c r="J21" i="8"/>
  <c r="L21" i="8" s="1"/>
  <c r="O17" i="8"/>
  <c r="P17" i="8"/>
  <c r="N17" i="8"/>
  <c r="L17" i="8"/>
  <c r="O5" i="8"/>
  <c r="N5" i="8"/>
  <c r="J5" i="8"/>
  <c r="J23" i="8" s="1"/>
  <c r="O20" i="8"/>
  <c r="M20" i="8"/>
  <c r="P20" i="8"/>
  <c r="N20" i="8"/>
  <c r="N18" i="8"/>
  <c r="O13" i="8"/>
  <c r="N13" i="8"/>
  <c r="L5" i="8" l="1"/>
  <c r="J26" i="8"/>
  <c r="J24" i="8"/>
  <c r="J25" i="8"/>
  <c r="J27" i="8"/>
  <c r="X6" i="8"/>
  <c r="Q14" i="8"/>
  <c r="T14" i="8" s="1"/>
  <c r="V6" i="8"/>
  <c r="W6" i="8"/>
  <c r="T6" i="8"/>
  <c r="Q5" i="8"/>
  <c r="T15" i="8"/>
  <c r="Q21" i="8"/>
  <c r="Q17" i="8"/>
  <c r="V17" i="8" s="1"/>
  <c r="R5" i="8" l="1"/>
  <c r="X5" i="8" s="1"/>
  <c r="R14" i="8"/>
  <c r="X14" i="8" s="1"/>
  <c r="V14" i="8"/>
  <c r="U14" i="8"/>
  <c r="W14" i="8"/>
  <c r="R21" i="8"/>
  <c r="X21" i="8" s="1"/>
  <c r="V21" i="8"/>
  <c r="W21" i="8"/>
  <c r="R17" i="8"/>
  <c r="X17" i="8" s="1"/>
  <c r="T17" i="8"/>
  <c r="U21" i="8"/>
  <c r="T21" i="8"/>
  <c r="U15" i="8"/>
  <c r="V15" i="8"/>
  <c r="W15" i="8"/>
  <c r="X15" i="8"/>
  <c r="U17" i="8"/>
  <c r="T5" i="8"/>
  <c r="U5" i="8"/>
  <c r="W5" i="8"/>
  <c r="W17" i="8"/>
  <c r="V5" i="8"/>
  <c r="Q20" i="8" l="1"/>
  <c r="L20" i="8"/>
  <c r="Q18" i="8"/>
  <c r="L18" i="8"/>
  <c r="Q13" i="8"/>
  <c r="L13" i="8"/>
  <c r="P12" i="8"/>
  <c r="P23" i="8" s="1"/>
  <c r="N12" i="8"/>
  <c r="M12" i="8"/>
  <c r="L12" i="8"/>
  <c r="O11" i="8"/>
  <c r="M11" i="8"/>
  <c r="L11" i="8"/>
  <c r="O9" i="8"/>
  <c r="N9" i="8"/>
  <c r="L9" i="8"/>
  <c r="O8" i="8"/>
  <c r="M8" i="8"/>
  <c r="L8" i="8"/>
  <c r="O7" i="8"/>
  <c r="L7" i="8"/>
  <c r="O3" i="8"/>
  <c r="O23" i="8" s="1"/>
  <c r="L3" i="8"/>
  <c r="L23" i="8" l="1"/>
  <c r="N23" i="8"/>
  <c r="M23" i="8"/>
  <c r="M25" i="8"/>
  <c r="M24" i="8"/>
  <c r="M26" i="8"/>
  <c r="M27" i="8"/>
  <c r="N25" i="8"/>
  <c r="N26" i="8"/>
  <c r="N24" i="8"/>
  <c r="N27" i="8"/>
  <c r="P25" i="8"/>
  <c r="P24" i="8"/>
  <c r="P26" i="8"/>
  <c r="P27" i="8"/>
  <c r="O27" i="8"/>
  <c r="O25" i="8"/>
  <c r="O24" i="8"/>
  <c r="O26" i="8"/>
  <c r="L24" i="8"/>
  <c r="L26" i="8"/>
  <c r="L27" i="8"/>
  <c r="L25" i="8"/>
  <c r="V19" i="8"/>
  <c r="W19" i="8"/>
  <c r="U19" i="8"/>
  <c r="T19" i="8"/>
  <c r="Q7" i="8"/>
  <c r="R7" i="8" s="1"/>
  <c r="X7" i="8" s="1"/>
  <c r="V18" i="8"/>
  <c r="T18" i="8"/>
  <c r="W18" i="8"/>
  <c r="U18" i="8"/>
  <c r="T13" i="8"/>
  <c r="W13" i="8"/>
  <c r="V13" i="8"/>
  <c r="U13" i="8"/>
  <c r="T20" i="8"/>
  <c r="V20" i="8"/>
  <c r="U20" i="8"/>
  <c r="W20" i="8"/>
  <c r="Q3" i="8"/>
  <c r="T16" i="8"/>
  <c r="W16" i="8"/>
  <c r="V16" i="8"/>
  <c r="U16" i="8"/>
  <c r="Q8" i="8"/>
  <c r="R8" i="8" s="1"/>
  <c r="X8" i="8" s="1"/>
  <c r="Q11" i="8"/>
  <c r="T11" i="8" s="1"/>
  <c r="Q12" i="8"/>
  <c r="V12" i="8" s="1"/>
  <c r="Q9" i="8"/>
  <c r="X16" i="8"/>
  <c r="R20" i="8"/>
  <c r="X20" i="8" s="1"/>
  <c r="R18" i="8"/>
  <c r="X18" i="8" s="1"/>
  <c r="X19" i="8"/>
  <c r="R13" i="8"/>
  <c r="X13" i="8" s="1"/>
  <c r="Q23" i="8" l="1"/>
  <c r="R3" i="8"/>
  <c r="Q24" i="8"/>
  <c r="Q27" i="8"/>
  <c r="Q26" i="8"/>
  <c r="Q25" i="8"/>
  <c r="V7" i="8"/>
  <c r="U12" i="8"/>
  <c r="W12" i="8"/>
  <c r="W7" i="8"/>
  <c r="U7" i="8"/>
  <c r="T7" i="8"/>
  <c r="U3" i="8"/>
  <c r="T3" i="8"/>
  <c r="W3" i="8"/>
  <c r="W9" i="8"/>
  <c r="T9" i="8"/>
  <c r="V11" i="8"/>
  <c r="W8" i="8"/>
  <c r="U8" i="8"/>
  <c r="V9" i="8"/>
  <c r="R12" i="8"/>
  <c r="X12" i="8" s="1"/>
  <c r="T12" i="8"/>
  <c r="U9" i="8"/>
  <c r="R11" i="8"/>
  <c r="X11" i="8" s="1"/>
  <c r="W11" i="8"/>
  <c r="U11" i="8"/>
  <c r="R9" i="8"/>
  <c r="X9" i="8" s="1"/>
  <c r="V3" i="8"/>
  <c r="T8" i="8"/>
  <c r="V8" i="8"/>
  <c r="X3" i="8" l="1"/>
  <c r="R23" i="8"/>
  <c r="W24" i="8"/>
  <c r="X24" i="8"/>
  <c r="T24" i="8"/>
  <c r="V24" i="8"/>
  <c r="U24" i="8"/>
  <c r="R25" i="8"/>
  <c r="R24" i="8"/>
  <c r="R26" i="8"/>
  <c r="R27" i="8"/>
  <c r="F278" i="10" l="1"/>
  <c r="G278" i="1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tc={7F7CE02C-3A85-4282-B068-D3A9A2119144}</author>
    <author>tc={EBA87D54-C860-4E45-BF19-05B182F20752}</author>
    <author>tc={19C7E376-6D98-4E88-847B-E142E944C6D0}</author>
    <author>tc={47B239C7-4701-4327-BB3F-F1F7ABFDD71A}</author>
  </authors>
  <commentList>
    <comment ref="K7" authorId="0" shapeId="0" xr:uid="{7F7CE02C-3A85-4282-B068-D3A9A2119144}">
      <text>
        <t>[Threaded comment]
Your version of Excel allows you to read this threaded comment; however, any edits to it will get removed if the file is opened in a newer version of Excel. Learn more: https://go.microsoft.com/fwlink/?linkid=870924
Comment:
    note: I think these are the same as CAMARADES, the listed criteria in the text seem to match
Reply:
    Changed to "CAMARADES" in cell, previously had "STAIR guidelines"</t>
      </text>
    </comment>
    <comment ref="G8" authorId="1" shapeId="0" xr:uid="{EBA87D54-C860-4E45-BF19-05B182F20752}">
      <text>
        <t>[Threaded comment]
Your version of Excel allows you to read this threaded comment; however, any edits to it will get removed if the file is opened in a newer version of Excel. Learn more: https://go.microsoft.com/fwlink/?linkid=870924
Comment:
    Were looking for side effects, not efficacy, found evidence of neurological side effects</t>
      </text>
    </comment>
    <comment ref="H8" authorId="2" shapeId="0" xr:uid="{19C7E376-6D98-4E88-847B-E142E944C6D0}">
      <text>
        <t>[Threaded comment]
Your version of Excel allows you to read this threaded comment; however, any edits to it will get removed if the file is opened in a newer version of Excel. Learn more: https://go.microsoft.com/fwlink/?linkid=870924
Comment:
    can't find any comments on robustness of work, some limitations listed but don't really comment on the quality of this work</t>
      </text>
    </comment>
    <comment ref="K8" authorId="3" shapeId="0" xr:uid="{47B239C7-4701-4327-BB3F-F1F7ABFDD71A}">
      <text>
        <t>[Threaded comment]
Your version of Excel allows you to read this threaded comment; however, any edits to it will get removed if the file is opened in a newer version of Excel. Learn more: https://go.microsoft.com/fwlink/?linkid=870924
Comment:
    Changed to "CAMARADES" in cell, previously had "STAIR guidelines"</t>
      </text>
    </comment>
  </commentList>
</comments>
</file>

<file path=xl/sharedStrings.xml><?xml version="1.0" encoding="utf-8"?>
<sst xmlns="http://schemas.openxmlformats.org/spreadsheetml/2006/main" count="1345" uniqueCount="369">
  <si>
    <t>Yes</t>
  </si>
  <si>
    <t>No</t>
  </si>
  <si>
    <t>Author</t>
  </si>
  <si>
    <t>Title</t>
  </si>
  <si>
    <t>Year</t>
  </si>
  <si>
    <t>PDF in Endnote?</t>
  </si>
  <si>
    <t>Notes</t>
  </si>
  <si>
    <t>Maybe</t>
  </si>
  <si>
    <t>Contains PRISMA Diagram</t>
  </si>
  <si>
    <t>Contains numbers for exclusions</t>
  </si>
  <si>
    <t>NA</t>
  </si>
  <si>
    <t>All studies identified</t>
  </si>
  <si>
    <t>Duplicates excluded</t>
  </si>
  <si>
    <t>Irrelevant excluded</t>
  </si>
  <si>
    <t>Ineligible excluded</t>
  </si>
  <si>
    <t>Final included</t>
  </si>
  <si>
    <t>Review</t>
  </si>
  <si>
    <t>Not a primary study</t>
  </si>
  <si>
    <t>not the right model</t>
  </si>
  <si>
    <t>no control</t>
  </si>
  <si>
    <t>outcome measures not usable</t>
  </si>
  <si>
    <t>language</t>
  </si>
  <si>
    <t>Total excluded</t>
  </si>
  <si>
    <t>not correct treatment</t>
  </si>
  <si>
    <t>Other reasons</t>
  </si>
  <si>
    <t>Reasons to count as ineligible:</t>
  </si>
  <si>
    <t>Other reasons:</t>
  </si>
  <si>
    <t>Electronically found</t>
  </si>
  <si>
    <t>Manually found</t>
  </si>
  <si>
    <t>Mean</t>
  </si>
  <si>
    <t>Range min</t>
  </si>
  <si>
    <t>Range max</t>
  </si>
  <si>
    <t>not correct disease</t>
  </si>
  <si>
    <t>exclude from this analysis: papers that give no reason for exclusions, papers that say what stage exclusions occurred at but no reasons</t>
  </si>
  <si>
    <t>generally studies that would be included but there are minor problems with the methods</t>
  </si>
  <si>
    <t>couldn't find full text</t>
  </si>
  <si>
    <t>K. R. S. P. Albuquerque, N. M.:Del Rosario Loyo Casao, T.:de Melo, Fcsa:Novaes, R. D.:Goncalves, R. V.</t>
  </si>
  <si>
    <t>Applicability of Plant Extracts in Preclinical Studies of Melanoma: A Systematic Review</t>
  </si>
  <si>
    <t>J. M. Archambault, A.:McDaniel, D.:Winter, L.:Sun, L.:Hornsby, P.</t>
  </si>
  <si>
    <t>Therapeutic potential of mesenchymal stromal cells for hypoxic ischemic encephalopathy: A systematic review and meta-analysis of preclinical studies</t>
  </si>
  <si>
    <t>K. A. P. Ashcraft, R. M.:Betof, A. S.:Dewhirst, M. W.:Jones, L. W.</t>
  </si>
  <si>
    <t>Efficacy and Mechanisms of Aerobic Exercise on Cancer Initiation, Progression, and Metastasis: A Critical Systematic Review of In Vivo Preclinical Data</t>
  </si>
  <si>
    <t>L. S. Auboire, C. A.:Hyvelin, J. M.:Ossant, F.:Escoffre, J. M.:Tranquart, F.:Bouakaz, A.</t>
  </si>
  <si>
    <t>Microbubbles combined with ultrasound therapy in ischemic stroke: A systematic review of in-vivo preclinical studies</t>
  </si>
  <si>
    <t>Z. J. Bahadoran, S.:Gheibi, S.:Mirmiran, P.:Kashfi, K.:Ghasemi, A.</t>
  </si>
  <si>
    <t>Inorganic nitrate, a natural anti-obesity agent: A systematic review and meta-analysis of animal studies</t>
  </si>
  <si>
    <t>T. T. B. W. Cao, K. C.:Hsu, J. L.:Chang, C. S.:Chou, C.:Lin, C. Y.:Liao, Y. M.:Lin, P. C.:Yang, L. Y.:Lin, H. W.</t>
  </si>
  <si>
    <t>Effects of Non-insulin Anti-hyperglycemic Agents on Gut Microbiota: A Systematic Review on Human and Animal Studies</t>
  </si>
  <si>
    <t>L. Z. Chen, G.:Gu, Y.:Guo, X.</t>
  </si>
  <si>
    <t>Meta-Analysis and Systematic Review of Neural Stem Cells therapy for experimental ischemia stroke in preclinical studies</t>
  </si>
  <si>
    <t>E. P. Cottrill, Z.:Ahmed, A. K.:Lubelski, D.:Goodwin, M. L.:Perdomo-Pantoja, A.:Westbroek, E. M.:Theodore, N.:Witham, T.:Sciubba, D.</t>
  </si>
  <si>
    <t>The effect of electrical stimulation therapies on spinal fusion: a cross-disciplinary systematic review and meta-analysis of the preclinical and clinical data</t>
  </si>
  <si>
    <t>X. F. L. Ding, H. Y.:Yuan, B.:Li, L. F.:Wang, T.:Kan, Q. C.:Wang, L. X.:Sun, T. W.</t>
  </si>
  <si>
    <t>Efficacy of stem cell therapy for pulmonary arterial hypertension: a systematic review and meta-analysis of preclinical studies</t>
  </si>
  <si>
    <t>M. X. H. Dong, Q. C.:Shen, P.:Pan, J. X.:Wei, Y. D.:Liu, Y. Y.:Ren, Y. F.:Liang, Z. H.:Wang, H. Y.:Zhao, L. B.:Xie, P.</t>
  </si>
  <si>
    <t>Recombinant Tissue Plasminogen Activator Induces Neurological Side Effects Independent on Thrombolysis in Mechanical Animal Models of Focal Cerebral Infarction: A Systematic Review and Meta-Analysis</t>
  </si>
  <si>
    <t>A. P. Gaubys, V.:Pranskunas, M.</t>
  </si>
  <si>
    <t>Use of Autologous Stem Cells for the Regeneration of Periodontal Defects in Animal Studies: a Systematic Review and Meta-Analysis</t>
  </si>
  <si>
    <t>C. L. M. Gibson, A. N.:Murphy, S. P.</t>
  </si>
  <si>
    <t>Stroke outcome in the ketogenic state--a systematic review of the animal data</t>
  </si>
  <si>
    <t>H. S. Janssen, S.:Spratt, N. J.:Sena, E. S.:Ada, L.:Hannan, A. J.:McElduff, P.:Bernhardt, J.</t>
  </si>
  <si>
    <t>Exploring the efficacy of constraint in animal models of stroke: meta-analysis and systematic review of the current evidence</t>
  </si>
  <si>
    <t>N. J. W. Lambrecht, M. L.:Jones, A. D.</t>
  </si>
  <si>
    <t>Assessing the Impact of Animal Husbandry and Capture on Anemia among Women and Children in Low- and Middle-Income Countries: A Systematic Review</t>
  </si>
  <si>
    <t>J. H. Li, P. Y.:Bramer, W. M.:Peppelenbosch, M. P.:van Luijk, J.:Pan, Q.</t>
  </si>
  <si>
    <t>Anti-tumor effects of metformin in animal models of hepatocellular carcinoma: a systematic review and meta-analysis</t>
  </si>
  <si>
    <t>Y. Z. Liao, X. L.:Li, L.:Shen, F. M.:Zhong, M. K.</t>
  </si>
  <si>
    <t>Stem cell therapy for bone repair: a systematic review and meta-analysis of preclinical studies with large animal models</t>
  </si>
  <si>
    <t>R. M. Ma, X.:Wen, J.:Wang, J.:Xie, Q.:Chen, N.:Dong, T.</t>
  </si>
  <si>
    <t>Preclinical Evidence and Mechanism of Xingnaojing Injection for Cerebral Ischemia: A Systematic Review and Meta-Analysis of Animal Studies</t>
  </si>
  <si>
    <t>J. T. M. Senders, I. S.:Schnoor, R.:Karhade, A. V.:Cote, D. J.:Smith, T. R.:Broekman, M. L.</t>
  </si>
  <si>
    <t>Agents for fluorescence-guided glioma surgery: a systematic review of preclinical and clinical results</t>
  </si>
  <si>
    <t>J. A. Z. Silverblatt, O. J.:Dancy, L.:Daniel, A.:Carter, B.:Scott, P.:Sado, D. M.:Shah, A.:Bromage, D. I.</t>
  </si>
  <si>
    <t>Therapies to limit myocardial injury in animal models of myocarditis: a systematic review and meta-analysis</t>
  </si>
  <si>
    <t>B. S. Smit, Y. M.:Eringa, E. C.:Oudemans-van Straaten, H. M.:Girbes, A. R. J.:Wever, K. E.:Hooijmans, C. R.:Spoelstra-de Man, A. M. E.</t>
  </si>
  <si>
    <t>Effects of hyperoxia on vascular tone in animal models: systematic review and meta-analysis</t>
  </si>
  <si>
    <t>C. M. S. Suen, D. J.:Montroy, J.:Welsh, C.:Levac, B.:Wesch, N.:Zhai, A.:Fergusson, D.:McIntyre, L.:Lalu, M. M.</t>
  </si>
  <si>
    <t>Regenerative cell therapy for pulmonary arterial hypertension in animal models: a systematic review</t>
  </si>
  <si>
    <t>M. L. P. d. S. F. van der Bent, O.:van Luijk, J.:Brock, R.:Wansink, D. G.</t>
  </si>
  <si>
    <t>Assisted delivery of antisense therapeutics in animal models of heritable neurodegenerative and neuromuscular disorders: a systematic review and meta-analysis</t>
  </si>
  <si>
    <t>T. I. J. o. L. van der Spoel, S. J.:Agostoni, P.:van Belle, E.:Gyongyosi, M.:Sluijter, J. P.:Cramer, M. J.:Doevendans, P. A.:Chamuleau, S. A.</t>
  </si>
  <si>
    <t>Human relevance of pre-clinical studies in stem cell therapy: systematic review and meta-analysis of large animal models of ischaemic heart disease</t>
  </si>
  <si>
    <t>R. L. T. Wei, H. J.:Yin, B.:Xu, Y.:Du, Y.:He, F. P.:Chu, K. T.:Luo, B. Y.:Zheng, G. Q.</t>
  </si>
  <si>
    <t>A systematic review and meta-analysis of buyang huanwu decoction in animal model of focal cerebral ischemia</t>
  </si>
  <si>
    <t>V. L. G. L. Wingstrand, C.:Jensen, D. H.:Bork, K.:Sebbesen, L.:Balle, J.:Fischer-Nielsen, A.:von Buchwald, C.</t>
  </si>
  <si>
    <t>Mesenchymal Stem Cell Therapy for the Treatment of Vocal Fold Scarring: A Systematic Review of Preclinical Studies</t>
  </si>
  <si>
    <t>Z. Y. L. Zhang, Z.:Deng, H. H.:Chen, Q.</t>
  </si>
  <si>
    <t>Effects of acupuncture on vascular dementia (VD) animal models: a systematic review and meta-analysis</t>
  </si>
  <si>
    <t>in supplementary doc</t>
  </si>
  <si>
    <t>Eligible? (gives reasons for exclusions)</t>
  </si>
  <si>
    <t>excluded based only on title and abstract</t>
  </si>
  <si>
    <t>is only abstract/conference proceedings/book/letter etc</t>
  </si>
  <si>
    <t>numbers didn't add up, final number should be 10 but they said 11, leaving as is</t>
  </si>
  <si>
    <t>numbers don't add up, supposed to equal 28 but equals 33. Missing 5 excluded at full text stage so I added 5 to irrelevant</t>
  </si>
  <si>
    <t>Median</t>
  </si>
  <si>
    <t>Standard Dev</t>
  </si>
  <si>
    <t>% exc duplicate</t>
  </si>
  <si>
    <t>% exc irrelevant</t>
  </si>
  <si>
    <t>% exc other</t>
  </si>
  <si>
    <t>% exc ineligible</t>
  </si>
  <si>
    <t>Inappropriate methods for the review</t>
  </si>
  <si>
    <t>Reasons to count as irrelevant:</t>
  </si>
  <si>
    <t>Conclusion drawn on robustness of work</t>
  </si>
  <si>
    <t>NR</t>
  </si>
  <si>
    <t>Treatment</t>
  </si>
  <si>
    <t>Conclusion drawn on treatment</t>
  </si>
  <si>
    <t>Assessed quality?</t>
  </si>
  <si>
    <t>Quality scale used</t>
  </si>
  <si>
    <t>SD quality score</t>
  </si>
  <si>
    <t>Assessed risk of bias?</t>
  </si>
  <si>
    <t>ROB scale used</t>
  </si>
  <si>
    <t>SD ROB score</t>
  </si>
  <si>
    <t>Melanoma</t>
  </si>
  <si>
    <t>Plant extracts</t>
  </si>
  <si>
    <t>Effective</t>
  </si>
  <si>
    <t>Unsure</t>
  </si>
  <si>
    <t>Not Effective</t>
  </si>
  <si>
    <t>Quotes</t>
  </si>
  <si>
    <t>More evidence would be beneficial</t>
  </si>
  <si>
    <t>Not enough evidence, more needed</t>
  </si>
  <si>
    <t>ARRIVE</t>
  </si>
  <si>
    <t>Quality/ROB scores</t>
  </si>
  <si>
    <t>SD</t>
  </si>
  <si>
    <t>Neonatal hypoxic ischemic encephalopathy (HIE)</t>
  </si>
  <si>
    <t>Mesenchymal stem/stromal cells (MSCs)</t>
  </si>
  <si>
    <t>SYRCLE's Risk of Bias Tool</t>
  </si>
  <si>
    <t>Author (Year)</t>
  </si>
  <si>
    <t>Random sequence generation?</t>
  </si>
  <si>
    <t>Groups similar at baseline?</t>
  </si>
  <si>
    <t>Allocation concealed?</t>
  </si>
  <si>
    <t>Animals randomly housed?</t>
  </si>
  <si>
    <t>Blinding of caregivers and/or examiners?</t>
  </si>
  <si>
    <t>Random  selection for outcome assessment?</t>
  </si>
  <si>
    <t>Blinding of outcome assessor?</t>
  </si>
  <si>
    <t>Incomplete outcome data addressed?</t>
  </si>
  <si>
    <t>Free from selective outcome reporting?</t>
  </si>
  <si>
    <t>Free from other bias?</t>
  </si>
  <si>
    <t>Cameron (2015)</t>
  </si>
  <si>
    <t>Unclear</t>
  </si>
  <si>
    <t>Ding (2014)</t>
  </si>
  <si>
    <t>Donega (2013)</t>
  </si>
  <si>
    <t>Donega (2014)</t>
  </si>
  <si>
    <t>Donega (2015)</t>
  </si>
  <si>
    <t>Gu (2015)</t>
  </si>
  <si>
    <t>Gu (2016)</t>
  </si>
  <si>
    <t>Jellema (2013)</t>
  </si>
  <si>
    <t>Kim (2012)</t>
  </si>
  <si>
    <t>Lee (2010)</t>
  </si>
  <si>
    <t xml:space="preserve">van Velthoven (2010)A </t>
  </si>
  <si>
    <t>van Velthoven (2010)B</t>
  </si>
  <si>
    <t>van Velthoven (2010)C</t>
  </si>
  <si>
    <t>van Velthoven (2012)</t>
  </si>
  <si>
    <t>van Velthoven (2013)</t>
  </si>
  <si>
    <t>Xia (2010)</t>
  </si>
  <si>
    <t>Zhang (2014)</t>
  </si>
  <si>
    <t>Zhou (2015)</t>
  </si>
  <si>
    <t>Zhu (2014)</t>
  </si>
  <si>
    <t>Data from supporting documents from paper:</t>
  </si>
  <si>
    <t>Total positive</t>
  </si>
  <si>
    <t>% of total score</t>
  </si>
  <si>
    <t>Mean ROB score (%)</t>
  </si>
  <si>
    <t>Cancer</t>
  </si>
  <si>
    <t>Aerobic Exercise</t>
  </si>
  <si>
    <t>Microbubbles (MBs) combined with ultrasound sonothrombolysis (STL)</t>
  </si>
  <si>
    <t>Ischemic stroke</t>
  </si>
  <si>
    <t>"Further in vivo studies are needed to demonstrate a better efficacy and safety of STL compared to currently approved therapeutic options."</t>
  </si>
  <si>
    <t>CAMARADES</t>
  </si>
  <si>
    <t>Percentage</t>
  </si>
  <si>
    <t>Neural Stem Cells (NSCs) transplantation therapy</t>
  </si>
  <si>
    <t>"In this preclinical studies, we demonstrated that transplanted NSCs significantly improved outcomes (both functional and structural outcome) in ischemic stroke."</t>
  </si>
  <si>
    <t>Robust evidence, extra could refine results but is not essential</t>
  </si>
  <si>
    <t>Nonunion of spinal fusion surgeries</t>
  </si>
  <si>
    <t>"The authors found that electrical stimulation devices may produce clinically significant increases in arthrodesis rates among patients undergoing spinal fusion. They also found that the pro-arthrodesis effects seen in preclinical studies are also found in clinical populations, suggesting that findings in animal studies are translatable. Additional research is needed to analyze the cost-effectiveness of these devices"</t>
  </si>
  <si>
    <t>Joanna Briggs Institute Critical Appraisal Checklist</t>
  </si>
  <si>
    <t>Recombinant tissue plasminogen activator (rtPA)</t>
  </si>
  <si>
    <t>Electrical stimulation therapies</t>
  </si>
  <si>
    <t>"This meta-analysis reveals rtPA can lead to neurological side effects besides thrombolysis in mechanical animal stroke, which may account for clinical exacerbation for stroke patients that do not achieve vascular recanalization with rtPA."</t>
  </si>
  <si>
    <t>Doesn't assess efficacy of a treatment, instead assesses if treatment has negative side effects. Doesn't seem to draw a conclusion on robustness or recommend further study</t>
  </si>
  <si>
    <t>Stem cell therapy</t>
  </si>
  <si>
    <t>Regeneration of periodontal tissue complex</t>
  </si>
  <si>
    <t>"Current scientific data is unanimous on the fact that stem cell therapy has a positive impact on periodontal tissue complex regeneration", However more and less diverse preclinical studies are needed to have higher statistical power in future meta-analyses."</t>
  </si>
  <si>
    <t>Only assessed quality of clinical studies, not preclinical. Couldn't find data for quality assessment.</t>
  </si>
  <si>
    <t>Cochrane's Risk of Bias Tool</t>
  </si>
  <si>
    <t>Constraint-induced movement therapy (CIMT)</t>
  </si>
  <si>
    <t>"This meta-analysis showed no benefit of constraint on neurobehavioral scores, which is at odds with some human studies."</t>
  </si>
  <si>
    <t>No quality or risk of bias assessment</t>
  </si>
  <si>
    <t>Mean quality score (%)</t>
  </si>
  <si>
    <t>Animal husbandry and capture (AHC)</t>
  </si>
  <si>
    <t>Anemia</t>
  </si>
  <si>
    <t>Both clinical and preclinical</t>
  </si>
  <si>
    <t>Assesses observational/quasi-experimental human studies. Manually counted ROB scores from large table in supplementary data</t>
  </si>
  <si>
    <t>Grading of Recommendations, Assessment, Development, and Evaluation (GRADE) (modified)</t>
  </si>
  <si>
    <t>Metformin</t>
  </si>
  <si>
    <t>Hepatocellular Carcinoma</t>
  </si>
  <si>
    <t>"Metformin appears to have a direct anti-HCC effect in animal models.", "this systematic review of animal studies suggests that metformin potentially has a direct inhibitory effect on HCC growth, although the effects on tumor number and incidence are inconclusive."</t>
  </si>
  <si>
    <t>% studies with "yes" for criteria</t>
  </si>
  <si>
    <t>Number of studies with "yes" for criteria</t>
  </si>
  <si>
    <t>Extrapolated scores</t>
  </si>
  <si>
    <t>this is an extrapolation, not data from the paper</t>
  </si>
  <si>
    <t>ROB scores calculated with a screen ruler and some extrapolation from graph</t>
  </si>
  <si>
    <t>Injury to bone</t>
  </si>
  <si>
    <t>"The study results suggest that stem cell therapy improves new bone formation and BMD in bone defect models.", In view of the limitations inherent in the design of a majority of the studies included in the meta-analysis, large, multicentre, well-designed RCTs with extensive follow-up are needed to validate these findings."</t>
  </si>
  <si>
    <t>Modified Jadad scale</t>
  </si>
  <si>
    <t>Xingnaojing injection (XNJI)</t>
  </si>
  <si>
    <t>"Meta-analysis shows that XNJI contributes significantly to reduction in neurological deficit score", "Considering being accepted far and wide by practitioners, the experiments with more rigorous experimental design and stronger quality control are required."</t>
  </si>
  <si>
    <t>Glioma surgery</t>
  </si>
  <si>
    <t>Agents for fluorescence-guided glioma surgery</t>
  </si>
  <si>
    <t>"5-ALA is the only fluorescent agent that has been tested in a randomized controlled trial and results in an improvement of GTR and progression-free survival in highgrade gliomas.", "Currently, direct comparisons between the various agents are not possible and would require additional studies."</t>
  </si>
  <si>
    <t>Both clinical and preclinical. No quality or risk of bias assessment.</t>
  </si>
  <si>
    <t>Myocardial injury</t>
  </si>
  <si>
    <t>"This study provides evidence for a role for ACE inhibitors and beta blockers to prevent myocardial injury and scar deposition in in vivo models of myocarditis. There is a need for further well-designed studies to assess the translational application of these treatments.", "There is an urgent need for contemporary, well-performed studies using more advanced techniques and improved current understanding of the immune response to cardiac injury."</t>
  </si>
  <si>
    <t>Quality CAMARADES scores</t>
  </si>
  <si>
    <t>ROB SYRCLE scores</t>
  </si>
  <si>
    <t>Pulmonary arterial hypertension (PAH)</t>
  </si>
  <si>
    <t>Regenerative cell therapies</t>
  </si>
  <si>
    <t>"Preclinical studies of regenerative cell therapy demonstrated efficacy in animal models of PAH; however, future studies should consider incorporating design elements to reduce the risk of bias"</t>
  </si>
  <si>
    <t>those numbers are not wrong, either had very bad quality studies or reviewers scored very poorly, most of the scores in the SYRCLE tool were marked as "unsure"</t>
  </si>
  <si>
    <t>Antisense oligonucleotide (AON)-based therapies</t>
  </si>
  <si>
    <t>Heritable neurodegenerative and neuromuscular diseases</t>
  </si>
  <si>
    <t>Beta blockers, calcium channel blockers and antagonists of the renin–angiotensin system</t>
  </si>
  <si>
    <t>"We found that even though the use of delivery systems provides an advantage over naked AONs, it is not yet possible to select the most promising strategies."</t>
  </si>
  <si>
    <t>Buyang Huanwu Decoction (BHD)</t>
  </si>
  <si>
    <t>"BHD possesses substantial neuroprotective effects in experimental stroke", "large studies of high methodological quality (including randomization to treatment group, masked induction of ischemia, and assessment of outcome) are required to produce a precise, unbiased assessment of the efficacy of BHD."</t>
  </si>
  <si>
    <t>Didn't state CAMARADES in their text but the list of criteria matched it</t>
  </si>
  <si>
    <t>Assesses both quality and risk of bias.</t>
  </si>
  <si>
    <t>Vascular dementia</t>
  </si>
  <si>
    <t>Acupuncture</t>
  </si>
  <si>
    <t>"Acupuncture may be effective in improving cognitive function in vascular dementia animal models."</t>
  </si>
  <si>
    <t>Didn't state CAMARADES in their text but the list of criteria matched it, called it a risk of bias assessment but is actually quality</t>
  </si>
  <si>
    <t>Albuquerque 2018</t>
  </si>
  <si>
    <t>Auboire 2018</t>
  </si>
  <si>
    <t>Janssen 2013</t>
  </si>
  <si>
    <t>Li 2015</t>
  </si>
  <si>
    <t>Liao 2014</t>
  </si>
  <si>
    <t>Silverblatt 2019</t>
  </si>
  <si>
    <t>Archambault 2017</t>
  </si>
  <si>
    <t>Ashcraft 2016</t>
  </si>
  <si>
    <t>Ma 2018</t>
  </si>
  <si>
    <t>Gaubys 2018</t>
  </si>
  <si>
    <t>Dong 2016</t>
  </si>
  <si>
    <t>Lambrecht 2019</t>
  </si>
  <si>
    <t>Senders 2017</t>
  </si>
  <si>
    <t>Suen 2019</t>
  </si>
  <si>
    <t>Wei 2013</t>
  </si>
  <si>
    <t>Zhang 2018</t>
  </si>
  <si>
    <t>van der Bent 2018</t>
  </si>
  <si>
    <t>Chen 2016</t>
  </si>
  <si>
    <t>CAMARADES (modified)</t>
  </si>
  <si>
    <t>Arterial hyperoxia (comorbidity)</t>
  </si>
  <si>
    <t>Vascular tone/cardiac output (biology, not disease)</t>
  </si>
  <si>
    <t>"The effect of hyperoxia on vascular tone is substantially higher in vivo than ex vivo", "the overall quality of the included studies was poor, which seriously hampers drawing reliable conclusions from the included animal studies."</t>
  </si>
  <si>
    <t>Checklist created by the authors</t>
  </si>
  <si>
    <t>Text says checklist has 10 points but looking at the checklist it actually has 11</t>
  </si>
  <si>
    <t>unable to extract</t>
  </si>
  <si>
    <t>ischemic stroke limited to "other animals" AND hypertension</t>
  </si>
  <si>
    <t>ischemic stroke limited to "other animals" AND aspirin</t>
  </si>
  <si>
    <t>ischemic stroke limited to "other animals" AND tPA</t>
  </si>
  <si>
    <t>ischemic stroke limited to "other animals" AND hypothermia</t>
  </si>
  <si>
    <t>ischemic stroke limited to "other animals"</t>
  </si>
  <si>
    <t>ischemic stroke</t>
  </si>
  <si>
    <t>19th Jan 2021</t>
  </si>
  <si>
    <t>Number of hits</t>
  </si>
  <si>
    <t>Date</t>
  </si>
  <si>
    <t>Gut microbiota</t>
  </si>
  <si>
    <t>Disease/biological system</t>
  </si>
  <si>
    <t>Anti-hyperglycemic drugs</t>
  </si>
  <si>
    <t>"The changes in specific taxa and b-diversity of gut microbiota were associated with metformin and acarbose in humans while pertinent information for other anti-hyperglycemic drugs could only be obtained in rodent studies. Further human studies on anti-hyperglycemic drugs other than metformin and acarbose are needed to explore gut microbiota’s role in their therapeutic efficacies and side effects."</t>
  </si>
  <si>
    <t>Did human studies, quasi-experimental studies, and animal studies, data listed here are from animal studies. Data extracted from an image (supplemental data 4)</t>
  </si>
  <si>
    <t>did quality assessment, couldn't extract data for it</t>
  </si>
  <si>
    <t>Ischaemic heart disease</t>
  </si>
  <si>
    <t>"Our results showed that cell therapy is safe and leads to a preserved LVEF. Future trials should focus on cell types other than BM-MNC, large infarction, and strategies to obtain sustained effects."</t>
  </si>
  <si>
    <t>RCT</t>
  </si>
  <si>
    <t>Adequate allocation</t>
  </si>
  <si>
    <t>Operator blinded</t>
  </si>
  <si>
    <t>Analyst blinded</t>
  </si>
  <si>
    <t>Bel et al.(18) 2003</t>
  </si>
  <si>
    <t>Y</t>
  </si>
  <si>
    <t>N</t>
  </si>
  <si>
    <t>Brasselet et al.(19) 2005</t>
  </si>
  <si>
    <t>Chacques et al.(20) 2004</t>
  </si>
  <si>
    <t>Chen et al.(21) 2009</t>
  </si>
  <si>
    <t>De Silva et al.(22) 2008</t>
  </si>
  <si>
    <t>Dixon et al.(1) 2009</t>
  </si>
  <si>
    <t>Doyle et al.(23) 2008</t>
  </si>
  <si>
    <t>Gavira et al.(24) 2006</t>
  </si>
  <si>
    <t>Ghodsizad et al.(25) 2007</t>
  </si>
  <si>
    <t>Ghostine et al.(26) 2002</t>
  </si>
  <si>
    <t>Gyöngyösi et al.(27) 2008</t>
  </si>
  <si>
    <t>Hagikura et al.(28) 2009</t>
  </si>
  <si>
    <t>Haider et al.(29) 2004</t>
  </si>
  <si>
    <t>Halkos et al.(2) 2008</t>
  </si>
  <si>
    <t>Hamamoto et al.(3) 2009</t>
  </si>
  <si>
    <t>Hashemi et al.(4) 2008</t>
  </si>
  <si>
    <t>He et al.(5) 2005</t>
  </si>
  <si>
    <t>Jiang et al.(30) 2010</t>
  </si>
  <si>
    <t>Johnston et al.(31) 2009</t>
  </si>
  <si>
    <t>Kawamoto et al.(6) 2003</t>
  </si>
  <si>
    <t>Kim et al.(32)2005</t>
  </si>
  <si>
    <t>Li et al.(33) 2008</t>
  </si>
  <si>
    <t>Li et al.(7) 2008</t>
  </si>
  <si>
    <t>Lim et al.(34) 2006</t>
  </si>
  <si>
    <t>Mäkelä et al.(35) 2007</t>
  </si>
  <si>
    <t>Makkar et al.(36) 2005</t>
  </si>
  <si>
    <t>Memon et al.(8) 2005</t>
  </si>
  <si>
    <t>Menard et al.(37) 2005</t>
  </si>
  <si>
    <t>Messas et al.(38) 2006</t>
  </si>
  <si>
    <t>Moelker et al.(9) 2006</t>
  </si>
  <si>
    <t>Moelker et al.(39) 2007</t>
  </si>
  <si>
    <t>Patila et al.(40) 2009</t>
  </si>
  <si>
    <t>Perin et al.(10) 2008</t>
  </si>
  <si>
    <t>Price et al.(41) 2006</t>
  </si>
  <si>
    <t>Qi et al. (11)2008</t>
  </si>
  <si>
    <t>Qian et al.(42) 2007</t>
  </si>
  <si>
    <t>Quevedo et al.(43) 2009</t>
  </si>
  <si>
    <t>Schneider et al.(12) 2009</t>
  </si>
  <si>
    <t>Schuleri et al.(44) 2008</t>
  </si>
  <si>
    <t>Schuleri et al.(45) 2009</t>
  </si>
  <si>
    <t>Sheu et al.(13) 2009</t>
  </si>
  <si>
    <t>Thompson et al.(46) 2005</t>
  </si>
  <si>
    <t>Tomita et al. (47)2002</t>
  </si>
  <si>
    <t>Valina et al.(14) 2007</t>
  </si>
  <si>
    <t>Wang et al.(48) 2009</t>
  </si>
  <si>
    <t>Yang et al.(49) 2009</t>
  </si>
  <si>
    <t>Yang et al.(50) 2006</t>
  </si>
  <si>
    <t>Yang et al.(15) 2007</t>
  </si>
  <si>
    <t>Yi et al.(51) 2006</t>
  </si>
  <si>
    <t>Yokoyama et al.(16) 2006</t>
  </si>
  <si>
    <t>Zeng et al.(52) 2007</t>
  </si>
  <si>
    <t>Zhang et al.(17) 2007</t>
  </si>
  <si>
    <t xml:space="preserve">Method of  randomization described </t>
  </si>
  <si>
    <t>Cao 2020</t>
  </si>
  <si>
    <t>van der Spoel 2011</t>
  </si>
  <si>
    <t>Authors' custom scale</t>
  </si>
  <si>
    <t>Total</t>
  </si>
  <si>
    <t>"Despite its importance, we found that the current evidence base is plagued by considerable methodologic heterogeneity in all aspects of study design, endpoints, and efficacy thereby precluding meaningful comparisons, and conclusions. To this end, we have provided an overview of methodologic and data reporting standards that we hope will set the platform for the next generation of preclinical studies required for the continued development and progression of exercise–oncology research."</t>
  </si>
  <si>
    <t>"our findings suggest promising therapeutic potential for MSCs in the treatment of neonatal HIE.", "further analysis is needed to determine the optimal MSC source, dose, timing, and route of administration."</t>
  </si>
  <si>
    <t>Study ID</t>
  </si>
  <si>
    <t>Assessed Publication bias?</t>
  </si>
  <si>
    <t>% of original search included in final</t>
  </si>
  <si>
    <t>Criteria used to classify exclusions</t>
  </si>
  <si>
    <t>Drop-down menu 1</t>
  </si>
  <si>
    <t>Drop-down menu 2</t>
  </si>
  <si>
    <t>Drop-down menu 4 (conclusion drawn)</t>
  </si>
  <si>
    <t>Drop-down menu 3 (efficacy)</t>
  </si>
  <si>
    <t>Note: excluded as unable to extract data from paper</t>
  </si>
  <si>
    <t>Sheet name</t>
  </si>
  <si>
    <t>Exclusion numbers</t>
  </si>
  <si>
    <t>Calculating ROB scores</t>
  </si>
  <si>
    <t>Data validation</t>
  </si>
  <si>
    <t>Explanation</t>
  </si>
  <si>
    <t>Data extracted from 20 randomly selected systematic reviews. Data are on the numbers of publications the reviews identified in their searches, how many were excluded, and for what reason. Summary statistics are calculated in this sheet.</t>
  </si>
  <si>
    <t>Note: The following 3 papers were selected then removed as the numbers in their PRISMA flow diagram did not add up</t>
  </si>
  <si>
    <t>Conclusions, ROB, pub bias</t>
  </si>
  <si>
    <t>said they assessed publication bias by using ARRIVE guide - misinterpretation of what publication bias is</t>
  </si>
  <si>
    <t>did not assess publication bias but considered it qualitatively in their discussion</t>
  </si>
  <si>
    <t>Committed to assess publication bias, however stated: "The small number of studies that contributed to each outcome resulted in insufficient power to statistically assess publication bias."</t>
  </si>
  <si>
    <t>Resampling was utilised if a review was excluded. 3 reviews were excluded, one as they did not assess quality/ROB for their preclinical data, only their clinical data (the review contained both), and two for inadequacies in data reporting (errors or non-reporting of data). These 3 are listed at the bottom of the sheet.</t>
  </si>
  <si>
    <t>Quality/ROB scores are normally count data, this means they are hard to compare as each one has a different number of criteria to score against. For this publication, quality/ROB scores were converted to a percentage out of total possible points. The calculations for this (when not reported in the text) are in this sheet. When I have manually counted the scores, a "yes" counts as one point, a "maybe"/"unsure"/"not reported" or "no" count as 0</t>
  </si>
  <si>
    <t>This sheet contains data extracted from some of the reviews on quality scores/risk of bias (ROB) scores. These data were extracted and a mean + standard deviation were calculated in this sheet if they were not reported outright in the review.</t>
  </si>
  <si>
    <t>Search completed using PubMed's advanced search builder and "other animals" filter.</t>
  </si>
  <si>
    <t>Sheet used for notes and data validation tools built into Excel. Contains text used in several drop-down menus across the spreadsheet.</t>
  </si>
  <si>
    <t xml:space="preserve">Selection criteria for these 20 reviews listed in publication of these data. Random number generation in Excel used for selection. Resampling utilised if a review was excluded for errors in data reporting, reviews excluded for this reason (n=3) listed at bottom of the sheet. More detailed criteria for each exclusion category (irrelevant, ineligible, other) listed in "Data validation" sheet. </t>
  </si>
  <si>
    <t>Data extracted from 20 randomly selected systematic reviews. Data are on the conclusions drawn by the authors of each review on the effectiveness of their intervention and the robustness of their conclusions. This sheet also contains data on whether the reviewers assessed the quality and/or risk of bias (ROB) of their included publications, and whether they assessed/properly considered the effect of publication bias in their analysis.</t>
  </si>
  <si>
    <t>PubMed search terms</t>
  </si>
  <si>
    <t>Number of hits returned when searching using specific search terms in PubMed on January 19th 2021.</t>
  </si>
  <si>
    <t>numbers don't add up, supposed to be 7, error is at the abstract phase so added 2 to "irrelevant" to fix it</t>
  </si>
  <si>
    <t>"Plant extracts are effective in the treatment of melanoma, either by shrinking the tumor, reducing the metastatic potential, or assisting tumor angiogenesis regression", "the relevance of studies using plant extracts for melanoma treatment is hampered by the lack of methodological rigor. Thus, the need for the implementation of new methodologic protocols is imperative for experimental studies with animal models in order to ensure the repeatability, reliability, and generalizability of the results. The relevance of studies using plant extracts for melanoma treatment is hampered by the lack of methodological rigor. Thus, the need for the implementation of new methodologic protocols is imperative for experimental studies with animal models in order to ensure the repeatability, reliability, and generalizability of the results."</t>
  </si>
  <si>
    <t>"there is insufficient evidence to conclude whether AHC improves or worsens anemia among women and children in LMICs"</t>
  </si>
  <si>
    <t>Search term in PubMed advanced search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</si>
</sst>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8" x14ac:knownFonts="1">
    <font>
      <sz val="11"/>
      <color theme="1"/>
      <name val="Calibri"/>
      <family val="2"/>
      <scheme val="minor"/>
    </font>
    <font>
      <b/>
      <sz val="11"/>
      <color theme="3"/>
      <name val="Calibri"/>
      <family val="2"/>
      <scheme val="minor"/>
    </font>
    <font>
      <b/>
      <sz val="11"/>
      <color theme="1"/>
      <name val="Calibri"/>
      <family val="2"/>
      <scheme val="minor"/>
    </font>
    <font>
      <b/>
      <sz val="10"/>
      <color rgb="FF000000"/>
      <name val="Times New Roman"/>
      <family val="1"/>
    </font>
    <font>
      <b/>
      <sz val="9.5"/>
      <color rgb="FF000000"/>
      <name val="Times New Roman"/>
      <family val="1"/>
    </font>
    <font>
      <sz val="9"/>
      <color rgb="FF000000"/>
      <name val="Times New Roman"/>
      <family val="1"/>
    </font>
    <font>
      <b/>
      <sz val="11"/>
      <color theme="1"/>
      <name val="Times New Roman"/>
      <family val="1"/>
    </font>
    <font>
      <sz val="11"/>
      <color theme="1"/>
      <name val="Times New Roman"/>
      <family val="1"/>
    </font>
  </fonts>
  <fills count="6">
    <fill>
      <patternFill patternType="none"/>
    </fill>
    <fill>
      <patternFill patternType="gray125"/>
    </fill>
    <fill>
      <patternFill patternType="solid">
        <fgColor theme="0" tint="-4.9989318521683403E-2"/>
        <bgColor indexed="64"/>
      </patternFill>
    </fill>
    <fill>
      <patternFill patternType="solid">
        <fgColor rgb="FFC0C0C0"/>
        <bgColor indexed="64"/>
      </patternFill>
    </fill>
    <fill>
      <patternFill patternType="solid">
        <fgColor rgb="FFF2DCDB"/>
        <bgColor indexed="64"/>
      </patternFill>
    </fill>
    <fill>
      <patternFill patternType="solid">
        <fgColor rgb="FFEBF1DE"/>
        <bgColor indexed="64"/>
      </patternFill>
    </fill>
  </fills>
  <borders count="9">
    <border>
      <left/>
      <right/>
      <top/>
      <bottom/>
      <diagonal/>
    </border>
    <border>
      <left/>
      <right/>
      <top/>
      <bottom style="medium">
        <color theme="4" tint="0.39997558519241921"/>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top style="thick">
        <color indexed="64"/>
      </top>
      <bottom/>
      <diagonal/>
    </border>
    <border>
      <left/>
      <right/>
      <top/>
      <bottom style="thick">
        <color indexed="64"/>
      </bottom>
      <diagonal/>
    </border>
    <border>
      <left/>
      <right/>
      <top style="medium">
        <color theme="4" tint="0.39997558519241921"/>
      </top>
      <bottom/>
      <diagonal/>
    </border>
  </borders>
  <cellStyleXfs count="3">
    <xf numFmtId="0" fontId="0" fillId="0" borderId="0"/>
    <xf numFmtId="0" fontId="1" fillId="0" borderId="1" applyNumberFormat="0" applyFill="0" applyAlignment="0" applyProtection="0"/>
    <xf numFmtId="0" fontId="1" fillId="0" borderId="0" applyNumberFormat="0" applyFill="0" applyBorder="0" applyAlignment="0" applyProtection="0"/>
  </cellStyleXfs>
  <cellXfs count="28">
    <xf numFmtId="0" fontId="0" fillId="0" borderId="0" xfId="0"/>
    <xf numFmtId="0" fontId="1" fillId="0" borderId="1" xfId="1"/>
    <xf numFmtId="0" fontId="1" fillId="0" borderId="1" xfId="1" applyFill="1"/>
    <xf numFmtId="0" fontId="1" fillId="0" borderId="0" xfId="1" applyFill="1" applyBorder="1"/>
    <xf numFmtId="0" fontId="0" fillId="2" borderId="0" xfId="0" applyFill="1"/>
    <xf numFmtId="2" fontId="0" fillId="0" borderId="0" xfId="0" applyNumberFormat="1"/>
    <xf numFmtId="0" fontId="1" fillId="0" borderId="0" xfId="2"/>
    <xf numFmtId="0" fontId="0" fillId="0" borderId="0" xfId="0" applyAlignment="1">
      <alignment horizontal="left"/>
    </xf>
    <xf numFmtId="0" fontId="2" fillId="0" borderId="0" xfId="0" applyFont="1"/>
    <xf numFmtId="0" fontId="0" fillId="0" borderId="0" xfId="0" applyAlignment="1"/>
    <xf numFmtId="0" fontId="3" fillId="3" borderId="2" xfId="0" applyFont="1" applyFill="1" applyBorder="1" applyAlignment="1">
      <alignment horizontal="center" vertical="center" wrapText="1"/>
    </xf>
    <xf numFmtId="0" fontId="4" fillId="3" borderId="3" xfId="0" applyFont="1" applyFill="1" applyBorder="1" applyAlignment="1">
      <alignment horizontal="center" vertical="center" wrapText="1"/>
    </xf>
    <xf numFmtId="0" fontId="5" fillId="0" borderId="4" xfId="0" applyFont="1" applyBorder="1" applyAlignment="1">
      <alignment vertical="center"/>
    </xf>
    <xf numFmtId="0" fontId="5" fillId="4" borderId="5" xfId="0" applyFont="1" applyFill="1" applyBorder="1" applyAlignment="1">
      <alignment horizontal="center" vertical="center" wrapText="1"/>
    </xf>
    <xf numFmtId="0" fontId="5" fillId="5" borderId="5" xfId="0" applyFont="1" applyFill="1" applyBorder="1" applyAlignment="1">
      <alignment horizontal="center" vertical="center" wrapText="1"/>
    </xf>
    <xf numFmtId="164" fontId="0" fillId="0" borderId="0" xfId="0" applyNumberFormat="1"/>
    <xf numFmtId="0" fontId="6" fillId="0" borderId="6" xfId="0" applyFont="1" applyBorder="1" applyAlignment="1">
      <alignment horizontal="center" vertical="center" wrapText="1"/>
    </xf>
    <xf numFmtId="0" fontId="7" fillId="0" borderId="0" xfId="0" applyFont="1" applyAlignment="1">
      <alignment horizontal="center" vertical="center" wrapText="1"/>
    </xf>
    <xf numFmtId="0" fontId="7" fillId="0" borderId="7" xfId="0" applyFont="1" applyBorder="1" applyAlignment="1">
      <alignment horizontal="center" vertical="center" wrapText="1"/>
    </xf>
    <xf numFmtId="0" fontId="6" fillId="0" borderId="6" xfId="0" applyFont="1" applyBorder="1" applyAlignment="1">
      <alignment vertical="center" wrapText="1"/>
    </xf>
    <xf numFmtId="0" fontId="0" fillId="0" borderId="0" xfId="0" applyFill="1"/>
    <xf numFmtId="0" fontId="2" fillId="0" borderId="0" xfId="0" applyFont="1" applyFill="1"/>
    <xf numFmtId="0" fontId="2" fillId="0" borderId="0" xfId="0" applyFont="1" applyAlignment="1">
      <alignment wrapText="1"/>
    </xf>
    <xf numFmtId="0" fontId="0" fillId="0" borderId="0" xfId="0" applyAlignment="1">
      <alignment wrapText="1"/>
    </xf>
    <xf numFmtId="2" fontId="0" fillId="2" borderId="0" xfId="0" applyNumberFormat="1" applyFill="1"/>
    <xf numFmtId="0" fontId="0" fillId="0" borderId="8" xfId="0" applyBorder="1" applyAlignment="1">
      <alignment horizontal="center"/>
    </xf>
    <xf numFmtId="0" fontId="0" fillId="0" borderId="0" xfId="0" applyAlignment="1">
      <alignment horizontal="center"/>
    </xf>
    <xf numFmtId="0" fontId="1" fillId="0" borderId="1" xfId="1" applyAlignment="1">
      <alignment horizontal="center"/>
    </xf>
  </cellXfs>
  <cellStyles count="3">
    <cellStyle name="Heading 3" xfId="1" builtinId="18"/>
    <cellStyle name="Heading 4" xfId="2" builtinId="19"/>
    <cellStyle name="Normal" xfId="0" builtinId="0"/>
  </cellStyles>
  <dxfs count="253">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Allanna Russell" id="{54A22180-8E94-4EAE-8A2B-DCF03BD5AD44}" userId="S::Allanna.Russell@utas.edu.au::b97c4f54-6c60-45e5-ab54-7eaebe7811f5"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K7" dT="2021-01-27T03:06:55.92" personId="{54A22180-8E94-4EAE-8A2B-DCF03BD5AD44}" id="{7F7CE02C-3A85-4282-B068-D3A9A2119144}">
    <text>note: I think these are the same as CAMARADES, the listed criteria in the text seem to match</text>
  </threadedComment>
  <threadedComment ref="K7" dT="2021-01-29T00:49:41.08" personId="{54A22180-8E94-4EAE-8A2B-DCF03BD5AD44}" id="{4DEC56B8-8DB6-4D38-91AD-6F0A0F5D0504}" parentId="{7F7CE02C-3A85-4282-B068-D3A9A2119144}">
    <text>Changed to "CAMARADES" in cell, previously had "STAIR guidelines"</text>
  </threadedComment>
  <threadedComment ref="G8" dT="2021-01-28T01:58:15.11" personId="{54A22180-8E94-4EAE-8A2B-DCF03BD5AD44}" id="{EBA87D54-C860-4E45-BF19-05B182F20752}">
    <text>Were looking for side effects, not efficacy, found evidence of neurological side effects</text>
  </threadedComment>
  <threadedComment ref="H8" dT="2021-01-28T02:45:15.80" personId="{54A22180-8E94-4EAE-8A2B-DCF03BD5AD44}" id="{19C7E376-6D98-4E88-847B-E142E944C6D0}">
    <text>can't find any comments on robustness of work, some limitations listed but don't really comment on the quality of this work</text>
  </threadedComment>
  <threadedComment ref="K8" dT="2021-01-29T00:50:06.07" personId="{54A22180-8E94-4EAE-8A2B-DCF03BD5AD44}" id="{47B239C7-4701-4327-BB3F-F1F7ABFDD71A}">
    <text>Changed to "CAMARADES" in cell, previously had "STAIR guidelines"</text>
  </threadedComment>
</ThreadedComment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009CF1-5C30-4C4D-BE14-9216467D698E}">
  <dimension ref="A1:C6"/>
  <sheetViews>
    <sheetView tabSelected="1" workbookViewId="0">
      <selection activeCell="A7" sqref="A7"/>
    </sheetView>
  </sheetViews>
  <sheetFormatPr defaultRowHeight="14.4" x14ac:dyDescent="0.3"/>
  <cols>
    <col min="1" max="1" width="20.77734375" customWidth="1"/>
    <col min="2" max="2" width="80.21875" customWidth="1"/>
    <col min="3" max="3" width="64.77734375" customWidth="1"/>
  </cols>
  <sheetData>
    <row r="1" spans="1:3" ht="15" thickBot="1" x14ac:dyDescent="0.35">
      <c r="A1" s="1" t="s">
        <v>345</v>
      </c>
      <c r="B1" s="1" t="s">
        <v>349</v>
      </c>
      <c r="C1" s="1" t="s">
        <v>6</v>
      </c>
    </row>
    <row r="2" spans="1:3" s="23" customFormat="1" ht="86.4" x14ac:dyDescent="0.3">
      <c r="A2" s="22" t="s">
        <v>346</v>
      </c>
      <c r="B2" s="23" t="s">
        <v>350</v>
      </c>
      <c r="C2" s="23" t="s">
        <v>361</v>
      </c>
    </row>
    <row r="3" spans="1:3" s="23" customFormat="1" ht="72" x14ac:dyDescent="0.3">
      <c r="A3" s="22" t="s">
        <v>352</v>
      </c>
      <c r="B3" s="23" t="s">
        <v>362</v>
      </c>
      <c r="C3" s="23" t="s">
        <v>356</v>
      </c>
    </row>
    <row r="4" spans="1:3" s="23" customFormat="1" ht="100.8" x14ac:dyDescent="0.3">
      <c r="A4" s="22" t="s">
        <v>347</v>
      </c>
      <c r="B4" s="23" t="s">
        <v>358</v>
      </c>
      <c r="C4" s="23" t="s">
        <v>357</v>
      </c>
    </row>
    <row r="5" spans="1:3" s="23" customFormat="1" ht="28.8" x14ac:dyDescent="0.3">
      <c r="A5" s="22" t="s">
        <v>363</v>
      </c>
      <c r="B5" s="23" t="s">
        <v>364</v>
      </c>
      <c r="C5" s="23" t="s">
        <v>359</v>
      </c>
    </row>
    <row r="6" spans="1:3" s="23" customFormat="1" ht="28.8" x14ac:dyDescent="0.3">
      <c r="A6" s="22" t="s">
        <v>348</v>
      </c>
      <c r="B6" s="23" t="s">
        <v>360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76D549-3032-4519-A44D-989ED666A938}">
  <dimension ref="A1:X34"/>
  <sheetViews>
    <sheetView topLeftCell="A19" zoomScale="90" zoomScaleNormal="90" workbookViewId="0">
      <selection activeCell="F39" sqref="F39"/>
    </sheetView>
  </sheetViews>
  <sheetFormatPr defaultRowHeight="14.4" x14ac:dyDescent="0.3"/>
  <cols>
    <col min="1" max="1" width="15.33203125" customWidth="1"/>
    <col min="2" max="2" width="19.109375" customWidth="1"/>
    <col min="3" max="3" width="32.33203125" customWidth="1"/>
    <col min="5" max="5" width="8.6640625" customWidth="1"/>
    <col min="9" max="9" width="12.6640625" customWidth="1"/>
    <col min="10" max="10" width="17.6640625" customWidth="1"/>
    <col min="11" max="11" width="14.33203125" customWidth="1"/>
    <col min="12" max="12" width="19" customWidth="1"/>
    <col min="13" max="13" width="10.33203125" customWidth="1"/>
    <col min="14" max="14" width="9.44140625" customWidth="1"/>
    <col min="15" max="15" width="9.33203125" customWidth="1"/>
    <col min="16" max="16" width="14.44140625" customWidth="1"/>
    <col min="17" max="17" width="14.5546875" customWidth="1"/>
    <col min="18" max="18" width="13" customWidth="1"/>
    <col min="19" max="19" width="36.6640625" customWidth="1"/>
    <col min="20" max="21" width="15.6640625" customWidth="1"/>
    <col min="22" max="22" width="15.44140625" customWidth="1"/>
    <col min="23" max="23" width="13.5546875" customWidth="1"/>
    <col min="24" max="24" width="32.6640625" customWidth="1"/>
  </cols>
  <sheetData>
    <row r="1" spans="1:24" s="1" customFormat="1" ht="15" thickBot="1" x14ac:dyDescent="0.35">
      <c r="A1" s="1" t="s">
        <v>336</v>
      </c>
      <c r="B1" s="1" t="s">
        <v>2</v>
      </c>
      <c r="C1" s="1" t="s">
        <v>3</v>
      </c>
      <c r="D1" s="1" t="s">
        <v>4</v>
      </c>
      <c r="E1" s="1" t="s">
        <v>5</v>
      </c>
      <c r="F1" s="2" t="s">
        <v>8</v>
      </c>
      <c r="G1" s="2" t="s">
        <v>9</v>
      </c>
      <c r="H1" s="2" t="s">
        <v>6</v>
      </c>
      <c r="I1" s="2" t="s">
        <v>89</v>
      </c>
      <c r="J1" s="2" t="s">
        <v>27</v>
      </c>
      <c r="K1" s="2" t="s">
        <v>28</v>
      </c>
      <c r="L1" s="2" t="s">
        <v>11</v>
      </c>
      <c r="M1" s="2" t="s">
        <v>12</v>
      </c>
      <c r="N1" s="2" t="s">
        <v>13</v>
      </c>
      <c r="O1" s="2" t="s">
        <v>14</v>
      </c>
      <c r="P1" s="2" t="s">
        <v>24</v>
      </c>
      <c r="Q1" s="2" t="s">
        <v>22</v>
      </c>
      <c r="R1" s="2" t="s">
        <v>15</v>
      </c>
      <c r="S1" s="3" t="s">
        <v>6</v>
      </c>
      <c r="T1" s="3" t="s">
        <v>96</v>
      </c>
      <c r="U1" s="1" t="s">
        <v>97</v>
      </c>
      <c r="V1" s="1" t="s">
        <v>99</v>
      </c>
      <c r="W1" s="1" t="s">
        <v>98</v>
      </c>
      <c r="X1" s="1" t="s">
        <v>338</v>
      </c>
    </row>
    <row r="2" spans="1:24" x14ac:dyDescent="0.3">
      <c r="A2" s="7" t="s">
        <v>229</v>
      </c>
      <c r="B2" t="s">
        <v>36</v>
      </c>
      <c r="C2" t="s">
        <v>37</v>
      </c>
      <c r="D2">
        <v>2018</v>
      </c>
      <c r="E2" t="s">
        <v>0</v>
      </c>
      <c r="F2" t="s">
        <v>0</v>
      </c>
      <c r="G2" t="s">
        <v>10</v>
      </c>
      <c r="I2" t="s">
        <v>0</v>
      </c>
      <c r="J2">
        <f>701+658</f>
        <v>1359</v>
      </c>
      <c r="K2">
        <v>0</v>
      </c>
      <c r="L2" s="4">
        <f t="shared" ref="L2:L21" si="0">IF(I2="Yes", J2+K2, "NA")</f>
        <v>1359</v>
      </c>
      <c r="M2">
        <v>477</v>
      </c>
      <c r="N2">
        <v>823</v>
      </c>
      <c r="O2">
        <f>3+10+5</f>
        <v>18</v>
      </c>
      <c r="P2">
        <v>6</v>
      </c>
      <c r="Q2" s="4">
        <f t="shared" ref="Q2:Q21" si="1">IF(I2="Yes", SUM(M2:P2), "NA")</f>
        <v>1324</v>
      </c>
      <c r="R2">
        <f t="shared" ref="R2:R21" si="2">IF(I2="Yes", L2-Q2, "NA")</f>
        <v>35</v>
      </c>
      <c r="T2" s="5">
        <f t="shared" ref="T2:T21" si="3">(M2/Q2)*100</f>
        <v>36.027190332326285</v>
      </c>
      <c r="U2" s="5">
        <f t="shared" ref="U2:U21" si="4">(N2/Q2)*100</f>
        <v>62.160120845921455</v>
      </c>
      <c r="V2" s="5">
        <f t="shared" ref="V2:V21" si="5">(O2/Q2)*100</f>
        <v>1.3595166163141994</v>
      </c>
      <c r="W2" s="5">
        <f t="shared" ref="W2:W21" si="6">(P2/Q2)*100</f>
        <v>0.45317220543806652</v>
      </c>
      <c r="X2" s="5">
        <f t="shared" ref="X2:X21" si="7">(R2/L2)*100</f>
        <v>2.5754231052244299</v>
      </c>
    </row>
    <row r="3" spans="1:24" x14ac:dyDescent="0.3">
      <c r="A3" s="7" t="s">
        <v>235</v>
      </c>
      <c r="B3" t="s">
        <v>38</v>
      </c>
      <c r="C3" t="s">
        <v>39</v>
      </c>
      <c r="D3">
        <v>2017</v>
      </c>
      <c r="E3" t="s">
        <v>0</v>
      </c>
      <c r="F3" t="s">
        <v>0</v>
      </c>
      <c r="G3" t="s">
        <v>10</v>
      </c>
      <c r="I3" t="s">
        <v>0</v>
      </c>
      <c r="J3">
        <v>161</v>
      </c>
      <c r="K3">
        <v>0</v>
      </c>
      <c r="L3" s="4">
        <f t="shared" si="0"/>
        <v>161</v>
      </c>
      <c r="M3">
        <v>20</v>
      </c>
      <c r="N3">
        <v>28</v>
      </c>
      <c r="O3">
        <f>94+1</f>
        <v>95</v>
      </c>
      <c r="P3">
        <v>0</v>
      </c>
      <c r="Q3" s="4">
        <f t="shared" si="1"/>
        <v>143</v>
      </c>
      <c r="R3">
        <f t="shared" si="2"/>
        <v>18</v>
      </c>
      <c r="T3" s="5">
        <f t="shared" si="3"/>
        <v>13.986013986013987</v>
      </c>
      <c r="U3" s="5">
        <f t="shared" si="4"/>
        <v>19.58041958041958</v>
      </c>
      <c r="V3" s="5">
        <f t="shared" si="5"/>
        <v>66.43356643356644</v>
      </c>
      <c r="W3" s="5">
        <f t="shared" si="6"/>
        <v>0</v>
      </c>
      <c r="X3" s="5">
        <f t="shared" si="7"/>
        <v>11.180124223602485</v>
      </c>
    </row>
    <row r="4" spans="1:24" x14ac:dyDescent="0.3">
      <c r="A4" s="7" t="s">
        <v>236</v>
      </c>
      <c r="B4" t="s">
        <v>40</v>
      </c>
      <c r="C4" t="s">
        <v>41</v>
      </c>
      <c r="D4">
        <v>2016</v>
      </c>
      <c r="E4" t="s">
        <v>0</v>
      </c>
      <c r="F4" t="s">
        <v>1</v>
      </c>
      <c r="G4" t="s">
        <v>0</v>
      </c>
      <c r="H4" t="s">
        <v>88</v>
      </c>
      <c r="I4" t="s">
        <v>0</v>
      </c>
      <c r="J4">
        <v>466</v>
      </c>
      <c r="K4">
        <v>0</v>
      </c>
      <c r="L4" s="4">
        <f t="shared" si="0"/>
        <v>466</v>
      </c>
      <c r="M4">
        <f>96+42+73+73+9+20+3+6+2+6+6+3</f>
        <v>339</v>
      </c>
      <c r="N4">
        <f>2+3+1+17+18+18+2+3</f>
        <v>64</v>
      </c>
      <c r="O4">
        <v>0</v>
      </c>
      <c r="P4">
        <f>5+2+2+1</f>
        <v>10</v>
      </c>
      <c r="Q4" s="4">
        <f t="shared" si="1"/>
        <v>413</v>
      </c>
      <c r="R4">
        <f t="shared" si="2"/>
        <v>53</v>
      </c>
      <c r="T4" s="5">
        <f t="shared" si="3"/>
        <v>82.082324455205807</v>
      </c>
      <c r="U4" s="5">
        <f t="shared" si="4"/>
        <v>15.49636803874092</v>
      </c>
      <c r="V4" s="5">
        <f t="shared" si="5"/>
        <v>0</v>
      </c>
      <c r="W4" s="5">
        <f t="shared" si="6"/>
        <v>2.4213075060532687</v>
      </c>
      <c r="X4" s="5">
        <f t="shared" si="7"/>
        <v>11.373390557939913</v>
      </c>
    </row>
    <row r="5" spans="1:24" x14ac:dyDescent="0.3">
      <c r="A5" s="7" t="s">
        <v>230</v>
      </c>
      <c r="B5" t="s">
        <v>42</v>
      </c>
      <c r="C5" t="s">
        <v>43</v>
      </c>
      <c r="D5">
        <v>2018</v>
      </c>
      <c r="E5" t="s">
        <v>0</v>
      </c>
      <c r="F5" t="s">
        <v>0</v>
      </c>
      <c r="G5" t="s">
        <v>10</v>
      </c>
      <c r="I5" t="s">
        <v>0</v>
      </c>
      <c r="J5">
        <f>2003+496</f>
        <v>2499</v>
      </c>
      <c r="K5">
        <v>7</v>
      </c>
      <c r="L5" s="4">
        <f t="shared" si="0"/>
        <v>2506</v>
      </c>
      <c r="M5">
        <v>274</v>
      </c>
      <c r="N5">
        <f>2165+20+6</f>
        <v>2191</v>
      </c>
      <c r="O5">
        <f>14+1+9+1</f>
        <v>25</v>
      </c>
      <c r="P5">
        <v>0</v>
      </c>
      <c r="Q5" s="4">
        <f t="shared" si="1"/>
        <v>2490</v>
      </c>
      <c r="R5">
        <f t="shared" si="2"/>
        <v>16</v>
      </c>
      <c r="T5" s="5">
        <f t="shared" si="3"/>
        <v>11.004016064257028</v>
      </c>
      <c r="U5" s="5">
        <f t="shared" si="4"/>
        <v>87.99196787148594</v>
      </c>
      <c r="V5" s="5">
        <f t="shared" si="5"/>
        <v>1.0040160642570282</v>
      </c>
      <c r="W5" s="5">
        <f t="shared" si="6"/>
        <v>0</v>
      </c>
      <c r="X5" s="5">
        <f t="shared" si="7"/>
        <v>0.63846767757382283</v>
      </c>
    </row>
    <row r="6" spans="1:24" x14ac:dyDescent="0.3">
      <c r="A6" s="7" t="s">
        <v>330</v>
      </c>
      <c r="B6" t="s">
        <v>46</v>
      </c>
      <c r="C6" t="s">
        <v>47</v>
      </c>
      <c r="D6">
        <v>2020</v>
      </c>
      <c r="E6" t="s">
        <v>0</v>
      </c>
      <c r="F6" t="s">
        <v>0</v>
      </c>
      <c r="G6" t="s">
        <v>10</v>
      </c>
      <c r="I6" t="s">
        <v>0</v>
      </c>
      <c r="J6">
        <v>4075</v>
      </c>
      <c r="K6">
        <v>0</v>
      </c>
      <c r="L6" s="4">
        <f t="shared" si="0"/>
        <v>4075</v>
      </c>
      <c r="M6">
        <v>1271</v>
      </c>
      <c r="N6">
        <f>2392+202+27+33+4</f>
        <v>2658</v>
      </c>
      <c r="O6">
        <v>0</v>
      </c>
      <c r="P6">
        <f>39+22+21</f>
        <v>82</v>
      </c>
      <c r="Q6" s="4">
        <f t="shared" si="1"/>
        <v>4011</v>
      </c>
      <c r="R6">
        <f t="shared" si="2"/>
        <v>64</v>
      </c>
      <c r="T6" s="5">
        <f t="shared" si="3"/>
        <v>31.687858389429067</v>
      </c>
      <c r="U6" s="5">
        <f t="shared" si="4"/>
        <v>66.267763649962603</v>
      </c>
      <c r="V6" s="5">
        <f t="shared" si="5"/>
        <v>0</v>
      </c>
      <c r="W6" s="5">
        <f t="shared" si="6"/>
        <v>2.0443779606083274</v>
      </c>
      <c r="X6" s="5">
        <f t="shared" si="7"/>
        <v>1.5705521472392638</v>
      </c>
    </row>
    <row r="7" spans="1:24" x14ac:dyDescent="0.3">
      <c r="A7" s="7" t="s">
        <v>246</v>
      </c>
      <c r="B7" t="s">
        <v>48</v>
      </c>
      <c r="C7" t="s">
        <v>49</v>
      </c>
      <c r="D7">
        <v>2016</v>
      </c>
      <c r="E7" t="s">
        <v>0</v>
      </c>
      <c r="F7" t="s">
        <v>0</v>
      </c>
      <c r="G7" t="s">
        <v>10</v>
      </c>
      <c r="H7" t="s">
        <v>88</v>
      </c>
      <c r="I7" t="s">
        <v>0</v>
      </c>
      <c r="J7">
        <v>2524</v>
      </c>
      <c r="K7">
        <v>0</v>
      </c>
      <c r="L7" s="4">
        <f t="shared" si="0"/>
        <v>2524</v>
      </c>
      <c r="M7">
        <v>1075</v>
      </c>
      <c r="N7">
        <v>1355</v>
      </c>
      <c r="O7">
        <f>45+9</f>
        <v>54</v>
      </c>
      <c r="P7">
        <v>3</v>
      </c>
      <c r="Q7" s="4">
        <f t="shared" si="1"/>
        <v>2487</v>
      </c>
      <c r="R7">
        <f t="shared" si="2"/>
        <v>37</v>
      </c>
      <c r="T7" s="5">
        <f t="shared" si="3"/>
        <v>43.22476879774829</v>
      </c>
      <c r="U7" s="5">
        <f t="shared" si="4"/>
        <v>54.483313228789712</v>
      </c>
      <c r="V7" s="5">
        <f t="shared" si="5"/>
        <v>2.1712907117008444</v>
      </c>
      <c r="W7" s="5">
        <f t="shared" si="6"/>
        <v>0.12062726176115801</v>
      </c>
      <c r="X7" s="5">
        <f t="shared" si="7"/>
        <v>1.4659270998415215</v>
      </c>
    </row>
    <row r="8" spans="1:24" x14ac:dyDescent="0.3">
      <c r="A8" s="7" t="s">
        <v>239</v>
      </c>
      <c r="B8" t="s">
        <v>54</v>
      </c>
      <c r="C8" t="s">
        <v>55</v>
      </c>
      <c r="D8">
        <v>2016</v>
      </c>
      <c r="E8" t="s">
        <v>0</v>
      </c>
      <c r="F8" t="s">
        <v>0</v>
      </c>
      <c r="G8" t="s">
        <v>10</v>
      </c>
      <c r="I8" t="s">
        <v>0</v>
      </c>
      <c r="J8">
        <v>2128</v>
      </c>
      <c r="K8">
        <v>0</v>
      </c>
      <c r="L8" s="4">
        <f t="shared" si="0"/>
        <v>2128</v>
      </c>
      <c r="M8">
        <f>1920+1</f>
        <v>1921</v>
      </c>
      <c r="N8">
        <v>147</v>
      </c>
      <c r="O8">
        <f>6+3+4</f>
        <v>13</v>
      </c>
      <c r="P8">
        <v>0</v>
      </c>
      <c r="Q8" s="4">
        <f t="shared" si="1"/>
        <v>2081</v>
      </c>
      <c r="R8">
        <f t="shared" si="2"/>
        <v>47</v>
      </c>
      <c r="T8" s="5">
        <f t="shared" si="3"/>
        <v>92.311388755406057</v>
      </c>
      <c r="U8" s="5">
        <f t="shared" si="4"/>
        <v>7.0639115809706876</v>
      </c>
      <c r="V8" s="5">
        <f t="shared" si="5"/>
        <v>0.62469966362325813</v>
      </c>
      <c r="W8" s="5">
        <f t="shared" si="6"/>
        <v>0</v>
      </c>
      <c r="X8" s="5">
        <f t="shared" si="7"/>
        <v>2.2086466165413534</v>
      </c>
    </row>
    <row r="9" spans="1:24" x14ac:dyDescent="0.3">
      <c r="A9" s="7" t="s">
        <v>238</v>
      </c>
      <c r="B9" t="s">
        <v>56</v>
      </c>
      <c r="C9" t="s">
        <v>57</v>
      </c>
      <c r="D9">
        <v>2018</v>
      </c>
      <c r="E9" t="s">
        <v>0</v>
      </c>
      <c r="F9" t="s">
        <v>0</v>
      </c>
      <c r="G9" t="s">
        <v>10</v>
      </c>
      <c r="I9" t="s">
        <v>0</v>
      </c>
      <c r="J9">
        <v>2099</v>
      </c>
      <c r="K9">
        <v>0</v>
      </c>
      <c r="L9" s="4">
        <f t="shared" si="0"/>
        <v>2099</v>
      </c>
      <c r="M9">
        <v>0</v>
      </c>
      <c r="N9">
        <f>1889+55+36+20+9+3+13+3</f>
        <v>2028</v>
      </c>
      <c r="O9">
        <f>20+18+9+6+3+3+2</f>
        <v>61</v>
      </c>
      <c r="P9">
        <v>0</v>
      </c>
      <c r="Q9" s="4">
        <f t="shared" si="1"/>
        <v>2089</v>
      </c>
      <c r="R9">
        <f t="shared" si="2"/>
        <v>10</v>
      </c>
      <c r="T9" s="5">
        <f t="shared" si="3"/>
        <v>0</v>
      </c>
      <c r="U9" s="5">
        <f t="shared" si="4"/>
        <v>97.079942556247005</v>
      </c>
      <c r="V9" s="5">
        <f t="shared" si="5"/>
        <v>2.920057443752992</v>
      </c>
      <c r="W9" s="5">
        <f t="shared" si="6"/>
        <v>0</v>
      </c>
      <c r="X9" s="5">
        <f t="shared" si="7"/>
        <v>0.47641734159123394</v>
      </c>
    </row>
    <row r="10" spans="1:24" x14ac:dyDescent="0.3">
      <c r="A10" s="7" t="s">
        <v>231</v>
      </c>
      <c r="B10" t="s">
        <v>60</v>
      </c>
      <c r="C10" t="s">
        <v>61</v>
      </c>
      <c r="D10">
        <v>2013</v>
      </c>
      <c r="E10" t="s">
        <v>0</v>
      </c>
      <c r="F10" t="s">
        <v>0</v>
      </c>
      <c r="G10" t="s">
        <v>10</v>
      </c>
      <c r="I10" t="s">
        <v>0</v>
      </c>
      <c r="J10">
        <v>3580</v>
      </c>
      <c r="K10">
        <v>0</v>
      </c>
      <c r="L10" s="4">
        <f t="shared" si="0"/>
        <v>3580</v>
      </c>
      <c r="M10">
        <v>0</v>
      </c>
      <c r="N10">
        <f>3544+12+13</f>
        <v>3569</v>
      </c>
      <c r="O10">
        <v>1</v>
      </c>
      <c r="P10">
        <v>2</v>
      </c>
      <c r="Q10" s="4">
        <f t="shared" si="1"/>
        <v>3572</v>
      </c>
      <c r="R10">
        <f t="shared" si="2"/>
        <v>8</v>
      </c>
      <c r="T10" s="5">
        <f t="shared" si="3"/>
        <v>0</v>
      </c>
      <c r="U10" s="5">
        <f t="shared" si="4"/>
        <v>99.916013437849955</v>
      </c>
      <c r="V10" s="5">
        <f t="shared" si="5"/>
        <v>2.7995520716685332E-2</v>
      </c>
      <c r="W10" s="5">
        <f t="shared" si="6"/>
        <v>5.5991041433370664E-2</v>
      </c>
      <c r="X10" s="5">
        <f t="shared" si="7"/>
        <v>0.22346368715083798</v>
      </c>
    </row>
    <row r="11" spans="1:24" x14ac:dyDescent="0.3">
      <c r="A11" s="7" t="s">
        <v>240</v>
      </c>
      <c r="B11" t="s">
        <v>62</v>
      </c>
      <c r="C11" t="s">
        <v>63</v>
      </c>
      <c r="D11">
        <v>2019</v>
      </c>
      <c r="E11" t="s">
        <v>0</v>
      </c>
      <c r="F11" t="s">
        <v>0</v>
      </c>
      <c r="G11" t="s">
        <v>10</v>
      </c>
      <c r="I11" t="s">
        <v>0</v>
      </c>
      <c r="J11">
        <v>8655</v>
      </c>
      <c r="K11">
        <v>372</v>
      </c>
      <c r="L11" s="4">
        <f t="shared" si="0"/>
        <v>9027</v>
      </c>
      <c r="M11">
        <f>2201+1</f>
        <v>2202</v>
      </c>
      <c r="N11">
        <v>6790</v>
      </c>
      <c r="O11">
        <f>5+2+2+3</f>
        <v>12</v>
      </c>
      <c r="P11">
        <v>0</v>
      </c>
      <c r="Q11" s="4">
        <f t="shared" si="1"/>
        <v>9004</v>
      </c>
      <c r="R11">
        <f t="shared" si="2"/>
        <v>23</v>
      </c>
      <c r="T11" s="5">
        <f t="shared" si="3"/>
        <v>24.455797423367393</v>
      </c>
      <c r="U11" s="5">
        <f t="shared" si="4"/>
        <v>75.410928476232783</v>
      </c>
      <c r="V11" s="5">
        <f t="shared" si="5"/>
        <v>0.13327410039982232</v>
      </c>
      <c r="W11" s="5">
        <f t="shared" si="6"/>
        <v>0</v>
      </c>
      <c r="X11" s="5">
        <f t="shared" si="7"/>
        <v>0.254791182009527</v>
      </c>
    </row>
    <row r="12" spans="1:24" x14ac:dyDescent="0.3">
      <c r="A12" s="7" t="s">
        <v>232</v>
      </c>
      <c r="B12" t="s">
        <v>64</v>
      </c>
      <c r="C12" t="s">
        <v>65</v>
      </c>
      <c r="D12">
        <v>2015</v>
      </c>
      <c r="E12" t="s">
        <v>0</v>
      </c>
      <c r="F12" t="s">
        <v>0</v>
      </c>
      <c r="G12" t="s">
        <v>10</v>
      </c>
      <c r="I12" t="s">
        <v>0</v>
      </c>
      <c r="J12">
        <v>573</v>
      </c>
      <c r="K12">
        <v>0</v>
      </c>
      <c r="L12" s="4">
        <f t="shared" si="0"/>
        <v>573</v>
      </c>
      <c r="M12">
        <f>233+1</f>
        <v>234</v>
      </c>
      <c r="N12">
        <f>63+125+124+7</f>
        <v>319</v>
      </c>
      <c r="O12">
        <v>0</v>
      </c>
      <c r="P12">
        <f>4+3</f>
        <v>7</v>
      </c>
      <c r="Q12" s="4">
        <f t="shared" si="1"/>
        <v>560</v>
      </c>
      <c r="R12">
        <f t="shared" si="2"/>
        <v>13</v>
      </c>
      <c r="T12" s="5">
        <f t="shared" si="3"/>
        <v>41.785714285714285</v>
      </c>
      <c r="U12" s="5">
        <f t="shared" si="4"/>
        <v>56.964285714285708</v>
      </c>
      <c r="V12" s="5">
        <f t="shared" si="5"/>
        <v>0</v>
      </c>
      <c r="W12" s="5">
        <f t="shared" si="6"/>
        <v>1.25</v>
      </c>
      <c r="X12" s="5">
        <f t="shared" si="7"/>
        <v>2.2687609075043627</v>
      </c>
    </row>
    <row r="13" spans="1:24" x14ac:dyDescent="0.3">
      <c r="A13" s="7" t="s">
        <v>233</v>
      </c>
      <c r="B13" t="s">
        <v>66</v>
      </c>
      <c r="C13" t="s">
        <v>67</v>
      </c>
      <c r="D13">
        <v>2014</v>
      </c>
      <c r="E13" t="s">
        <v>0</v>
      </c>
      <c r="F13" t="s">
        <v>0</v>
      </c>
      <c r="G13" t="s">
        <v>10</v>
      </c>
      <c r="I13" t="s">
        <v>0</v>
      </c>
      <c r="J13">
        <v>202</v>
      </c>
      <c r="K13">
        <v>0</v>
      </c>
      <c r="L13" s="4">
        <f t="shared" si="0"/>
        <v>202</v>
      </c>
      <c r="M13">
        <v>0</v>
      </c>
      <c r="N13">
        <f>141+11+6+5</f>
        <v>163</v>
      </c>
      <c r="O13">
        <f>4+15</f>
        <v>19</v>
      </c>
      <c r="P13">
        <v>0</v>
      </c>
      <c r="Q13" s="4">
        <f t="shared" si="1"/>
        <v>182</v>
      </c>
      <c r="R13">
        <f t="shared" si="2"/>
        <v>20</v>
      </c>
      <c r="T13" s="5">
        <f t="shared" si="3"/>
        <v>0</v>
      </c>
      <c r="U13" s="5">
        <f t="shared" si="4"/>
        <v>89.560439560439562</v>
      </c>
      <c r="V13" s="5">
        <f t="shared" si="5"/>
        <v>10.43956043956044</v>
      </c>
      <c r="W13" s="5">
        <f t="shared" si="6"/>
        <v>0</v>
      </c>
      <c r="X13" s="5">
        <f t="shared" si="7"/>
        <v>9.9009900990099009</v>
      </c>
    </row>
    <row r="14" spans="1:24" x14ac:dyDescent="0.3">
      <c r="A14" s="7" t="s">
        <v>237</v>
      </c>
      <c r="B14" t="s">
        <v>68</v>
      </c>
      <c r="C14" t="s">
        <v>69</v>
      </c>
      <c r="D14">
        <v>2018</v>
      </c>
      <c r="E14" t="s">
        <v>0</v>
      </c>
      <c r="F14" t="s">
        <v>0</v>
      </c>
      <c r="G14" t="s">
        <v>10</v>
      </c>
      <c r="I14" t="s">
        <v>0</v>
      </c>
      <c r="J14">
        <v>392</v>
      </c>
      <c r="K14">
        <v>0</v>
      </c>
      <c r="L14" s="4">
        <f t="shared" si="0"/>
        <v>392</v>
      </c>
      <c r="M14">
        <f>167+7</f>
        <v>174</v>
      </c>
      <c r="N14">
        <f>159+18+6</f>
        <v>183</v>
      </c>
      <c r="O14">
        <f>4+4+4</f>
        <v>12</v>
      </c>
      <c r="P14">
        <f>0</f>
        <v>0</v>
      </c>
      <c r="Q14" s="4">
        <f t="shared" si="1"/>
        <v>369</v>
      </c>
      <c r="R14">
        <f t="shared" si="2"/>
        <v>23</v>
      </c>
      <c r="T14" s="5">
        <f t="shared" si="3"/>
        <v>47.154471544715449</v>
      </c>
      <c r="U14" s="5">
        <f t="shared" si="4"/>
        <v>49.59349593495935</v>
      </c>
      <c r="V14" s="5">
        <f t="shared" si="5"/>
        <v>3.2520325203252036</v>
      </c>
      <c r="W14" s="5">
        <f t="shared" si="6"/>
        <v>0</v>
      </c>
      <c r="X14" s="5">
        <f t="shared" si="7"/>
        <v>5.8673469387755102</v>
      </c>
    </row>
    <row r="15" spans="1:24" x14ac:dyDescent="0.3">
      <c r="A15" s="7" t="s">
        <v>241</v>
      </c>
      <c r="B15" t="s">
        <v>70</v>
      </c>
      <c r="C15" t="s">
        <v>71</v>
      </c>
      <c r="D15">
        <v>2017</v>
      </c>
      <c r="E15" t="s">
        <v>0</v>
      </c>
      <c r="F15" t="s">
        <v>0</v>
      </c>
      <c r="G15" t="s">
        <v>10</v>
      </c>
      <c r="I15" t="s">
        <v>0</v>
      </c>
      <c r="J15">
        <v>2608</v>
      </c>
      <c r="K15">
        <v>11</v>
      </c>
      <c r="L15" s="4">
        <f t="shared" si="0"/>
        <v>2619</v>
      </c>
      <c r="M15">
        <v>464</v>
      </c>
      <c r="N15">
        <f>1918</f>
        <v>1918</v>
      </c>
      <c r="O15">
        <f>2+17</f>
        <v>19</v>
      </c>
      <c r="P15">
        <f>111+2</f>
        <v>113</v>
      </c>
      <c r="Q15" s="4">
        <f t="shared" si="1"/>
        <v>2514</v>
      </c>
      <c r="R15">
        <f t="shared" si="2"/>
        <v>105</v>
      </c>
      <c r="T15" s="5">
        <f t="shared" si="3"/>
        <v>18.456642800318217</v>
      </c>
      <c r="U15" s="5">
        <f t="shared" si="4"/>
        <v>76.292760540970562</v>
      </c>
      <c r="V15" s="5">
        <f t="shared" si="5"/>
        <v>0.75576770087509948</v>
      </c>
      <c r="W15" s="5">
        <f t="shared" si="6"/>
        <v>4.494828957836118</v>
      </c>
      <c r="X15" s="5">
        <f t="shared" si="7"/>
        <v>4.0091638029782359</v>
      </c>
    </row>
    <row r="16" spans="1:24" x14ac:dyDescent="0.3">
      <c r="A16" s="7" t="s">
        <v>234</v>
      </c>
      <c r="B16" t="s">
        <v>72</v>
      </c>
      <c r="C16" t="s">
        <v>73</v>
      </c>
      <c r="D16">
        <v>2019</v>
      </c>
      <c r="E16" t="s">
        <v>0</v>
      </c>
      <c r="F16" t="s">
        <v>0</v>
      </c>
      <c r="G16" t="s">
        <v>10</v>
      </c>
      <c r="I16" t="s">
        <v>0</v>
      </c>
      <c r="J16">
        <f>145+202</f>
        <v>347</v>
      </c>
      <c r="K16">
        <v>0</v>
      </c>
      <c r="L16" s="4">
        <f t="shared" si="0"/>
        <v>347</v>
      </c>
      <c r="M16">
        <f>124+1</f>
        <v>125</v>
      </c>
      <c r="N16">
        <f>132+29</f>
        <v>161</v>
      </c>
      <c r="O16">
        <v>8</v>
      </c>
      <c r="P16">
        <v>1</v>
      </c>
      <c r="Q16" s="4">
        <f t="shared" si="1"/>
        <v>295</v>
      </c>
      <c r="R16">
        <f t="shared" si="2"/>
        <v>52</v>
      </c>
      <c r="T16" s="5">
        <f t="shared" si="3"/>
        <v>42.372881355932201</v>
      </c>
      <c r="U16" s="5">
        <f t="shared" si="4"/>
        <v>54.576271186440671</v>
      </c>
      <c r="V16" s="5">
        <f t="shared" si="5"/>
        <v>2.7118644067796609</v>
      </c>
      <c r="W16" s="5">
        <f t="shared" si="6"/>
        <v>0.33898305084745761</v>
      </c>
      <c r="X16" s="5">
        <f t="shared" si="7"/>
        <v>14.985590778097983</v>
      </c>
    </row>
    <row r="17" spans="1:24" x14ac:dyDescent="0.3">
      <c r="A17" s="7" t="s">
        <v>242</v>
      </c>
      <c r="B17" t="s">
        <v>76</v>
      </c>
      <c r="C17" t="s">
        <v>77</v>
      </c>
      <c r="D17">
        <v>2019</v>
      </c>
      <c r="E17" t="s">
        <v>0</v>
      </c>
      <c r="F17" t="s">
        <v>0</v>
      </c>
      <c r="G17" t="s">
        <v>10</v>
      </c>
      <c r="I17" t="s">
        <v>0</v>
      </c>
      <c r="J17">
        <v>1368</v>
      </c>
      <c r="K17">
        <v>0</v>
      </c>
      <c r="L17" s="4">
        <f t="shared" si="0"/>
        <v>1368</v>
      </c>
      <c r="M17">
        <v>83</v>
      </c>
      <c r="N17">
        <f>1086+29+38+32</f>
        <v>1185</v>
      </c>
      <c r="O17">
        <f>2+1+6</f>
        <v>9</v>
      </c>
      <c r="P17">
        <f>4+26+16</f>
        <v>46</v>
      </c>
      <c r="Q17" s="4">
        <f t="shared" si="1"/>
        <v>1323</v>
      </c>
      <c r="R17">
        <f t="shared" si="2"/>
        <v>45</v>
      </c>
      <c r="T17" s="5">
        <f t="shared" si="3"/>
        <v>6.2736205593348453</v>
      </c>
      <c r="U17" s="5">
        <f t="shared" si="4"/>
        <v>89.569160997732425</v>
      </c>
      <c r="V17" s="5">
        <f t="shared" si="5"/>
        <v>0.68027210884353739</v>
      </c>
      <c r="W17" s="5">
        <f t="shared" si="6"/>
        <v>3.4769463340891913</v>
      </c>
      <c r="X17" s="5">
        <f t="shared" si="7"/>
        <v>3.2894736842105261</v>
      </c>
    </row>
    <row r="18" spans="1:24" x14ac:dyDescent="0.3">
      <c r="A18" s="7" t="s">
        <v>245</v>
      </c>
      <c r="B18" t="s">
        <v>78</v>
      </c>
      <c r="C18" t="s">
        <v>79</v>
      </c>
      <c r="D18">
        <v>2018</v>
      </c>
      <c r="E18" t="s">
        <v>0</v>
      </c>
      <c r="F18" t="s">
        <v>0</v>
      </c>
      <c r="G18" t="s">
        <v>10</v>
      </c>
      <c r="I18" t="s">
        <v>0</v>
      </c>
      <c r="J18">
        <v>1330</v>
      </c>
      <c r="K18">
        <v>0</v>
      </c>
      <c r="L18" s="4">
        <f t="shared" si="0"/>
        <v>1330</v>
      </c>
      <c r="M18">
        <v>194</v>
      </c>
      <c r="N18">
        <f>936+5+42+9</f>
        <v>992</v>
      </c>
      <c r="O18">
        <v>48</v>
      </c>
      <c r="P18">
        <v>1</v>
      </c>
      <c r="Q18" s="4">
        <f t="shared" si="1"/>
        <v>1235</v>
      </c>
      <c r="R18">
        <f t="shared" si="2"/>
        <v>95</v>
      </c>
      <c r="T18" s="5">
        <f t="shared" si="3"/>
        <v>15.708502024291498</v>
      </c>
      <c r="U18" s="5">
        <f t="shared" si="4"/>
        <v>80.323886639676118</v>
      </c>
      <c r="V18" s="5">
        <f t="shared" si="5"/>
        <v>3.8866396761133606</v>
      </c>
      <c r="W18" s="5">
        <f t="shared" si="6"/>
        <v>8.0971659919028341E-2</v>
      </c>
      <c r="X18" s="5">
        <f t="shared" si="7"/>
        <v>7.1428571428571423</v>
      </c>
    </row>
    <row r="19" spans="1:24" x14ac:dyDescent="0.3">
      <c r="A19" s="7" t="s">
        <v>331</v>
      </c>
      <c r="B19" t="s">
        <v>80</v>
      </c>
      <c r="C19" t="s">
        <v>81</v>
      </c>
      <c r="D19">
        <v>2011</v>
      </c>
      <c r="E19" t="s">
        <v>0</v>
      </c>
      <c r="F19" t="s">
        <v>0</v>
      </c>
      <c r="G19" t="s">
        <v>10</v>
      </c>
      <c r="I19" t="s">
        <v>0</v>
      </c>
      <c r="J19">
        <v>304</v>
      </c>
      <c r="K19">
        <v>0</v>
      </c>
      <c r="L19" s="4">
        <f t="shared" si="0"/>
        <v>304</v>
      </c>
      <c r="M19">
        <v>5</v>
      </c>
      <c r="N19">
        <f>18+12+10+78+9+3</f>
        <v>130</v>
      </c>
      <c r="O19">
        <f>66+5</f>
        <v>71</v>
      </c>
      <c r="P19">
        <f>22+18+6</f>
        <v>46</v>
      </c>
      <c r="Q19" s="4">
        <f t="shared" si="1"/>
        <v>252</v>
      </c>
      <c r="R19">
        <f t="shared" si="2"/>
        <v>52</v>
      </c>
      <c r="T19" s="5">
        <f t="shared" si="3"/>
        <v>1.984126984126984</v>
      </c>
      <c r="U19" s="5">
        <f t="shared" si="4"/>
        <v>51.587301587301596</v>
      </c>
      <c r="V19" s="5">
        <f t="shared" si="5"/>
        <v>28.174603174603174</v>
      </c>
      <c r="W19" s="5">
        <f t="shared" si="6"/>
        <v>18.253968253968253</v>
      </c>
      <c r="X19" s="5">
        <f t="shared" si="7"/>
        <v>17.105263157894736</v>
      </c>
    </row>
    <row r="20" spans="1:24" x14ac:dyDescent="0.3">
      <c r="A20" s="7" t="s">
        <v>243</v>
      </c>
      <c r="B20" t="s">
        <v>82</v>
      </c>
      <c r="C20" t="s">
        <v>83</v>
      </c>
      <c r="D20">
        <v>2013</v>
      </c>
      <c r="E20" t="s">
        <v>0</v>
      </c>
      <c r="F20" t="s">
        <v>0</v>
      </c>
      <c r="G20" t="s">
        <v>10</v>
      </c>
      <c r="I20" t="s">
        <v>0</v>
      </c>
      <c r="J20">
        <v>973</v>
      </c>
      <c r="K20">
        <v>0</v>
      </c>
      <c r="L20" s="4">
        <f t="shared" si="0"/>
        <v>973</v>
      </c>
      <c r="M20">
        <f>375+7</f>
        <v>382</v>
      </c>
      <c r="N20">
        <f>425</f>
        <v>425</v>
      </c>
      <c r="O20">
        <f>89+15+5</f>
        <v>109</v>
      </c>
      <c r="P20">
        <f>1</f>
        <v>1</v>
      </c>
      <c r="Q20" s="4">
        <f t="shared" si="1"/>
        <v>917</v>
      </c>
      <c r="R20">
        <f t="shared" si="2"/>
        <v>56</v>
      </c>
      <c r="T20" s="5">
        <f t="shared" si="3"/>
        <v>41.657579062159215</v>
      </c>
      <c r="U20" s="5">
        <f t="shared" si="4"/>
        <v>46.346782988004364</v>
      </c>
      <c r="V20" s="5">
        <f t="shared" si="5"/>
        <v>11.886586695747001</v>
      </c>
      <c r="W20" s="5">
        <f t="shared" si="6"/>
        <v>0.10905125408942204</v>
      </c>
      <c r="X20" s="5">
        <f t="shared" si="7"/>
        <v>5.755395683453238</v>
      </c>
    </row>
    <row r="21" spans="1:24" x14ac:dyDescent="0.3">
      <c r="A21" s="7" t="s">
        <v>244</v>
      </c>
      <c r="B21" t="s">
        <v>86</v>
      </c>
      <c r="C21" t="s">
        <v>87</v>
      </c>
      <c r="D21">
        <v>2018</v>
      </c>
      <c r="E21" t="s">
        <v>0</v>
      </c>
      <c r="F21" t="s">
        <v>0</v>
      </c>
      <c r="G21" t="s">
        <v>10</v>
      </c>
      <c r="I21" t="s">
        <v>0</v>
      </c>
      <c r="J21">
        <f>49+101+44</f>
        <v>194</v>
      </c>
      <c r="K21">
        <v>0</v>
      </c>
      <c r="L21" s="4">
        <f t="shared" si="0"/>
        <v>194</v>
      </c>
      <c r="M21">
        <f>89+2</f>
        <v>91</v>
      </c>
      <c r="N21">
        <f>42+25+15</f>
        <v>82</v>
      </c>
      <c r="O21">
        <v>5</v>
      </c>
      <c r="P21">
        <v>0</v>
      </c>
      <c r="Q21" s="4">
        <f t="shared" si="1"/>
        <v>178</v>
      </c>
      <c r="R21">
        <f t="shared" si="2"/>
        <v>16</v>
      </c>
      <c r="T21" s="5">
        <f t="shared" si="3"/>
        <v>51.123595505617978</v>
      </c>
      <c r="U21" s="5">
        <f t="shared" si="4"/>
        <v>46.067415730337082</v>
      </c>
      <c r="V21" s="5">
        <f t="shared" si="5"/>
        <v>2.8089887640449436</v>
      </c>
      <c r="W21" s="5">
        <f t="shared" si="6"/>
        <v>0</v>
      </c>
      <c r="X21" s="5">
        <f t="shared" si="7"/>
        <v>8.2474226804123703</v>
      </c>
    </row>
    <row r="23" spans="1:24" x14ac:dyDescent="0.3">
      <c r="I23" s="6" t="s">
        <v>333</v>
      </c>
      <c r="J23" s="20">
        <f t="shared" ref="J23:R23" si="8">SUM(J2:J21)</f>
        <v>35837</v>
      </c>
      <c r="K23" s="20">
        <f t="shared" si="8"/>
        <v>390</v>
      </c>
      <c r="L23" s="4">
        <f t="shared" si="8"/>
        <v>36227</v>
      </c>
      <c r="M23">
        <f t="shared" si="8"/>
        <v>9331</v>
      </c>
      <c r="N23">
        <f t="shared" si="8"/>
        <v>25211</v>
      </c>
      <c r="O23">
        <f t="shared" si="8"/>
        <v>579</v>
      </c>
      <c r="P23">
        <f t="shared" si="8"/>
        <v>318</v>
      </c>
      <c r="Q23" s="4">
        <f t="shared" si="8"/>
        <v>35439</v>
      </c>
      <c r="R23">
        <f t="shared" si="8"/>
        <v>788</v>
      </c>
    </row>
    <row r="24" spans="1:24" x14ac:dyDescent="0.3">
      <c r="I24" s="6" t="s">
        <v>29</v>
      </c>
      <c r="J24">
        <f t="shared" ref="J24:R24" si="9">AVERAGE(J2:J21)</f>
        <v>1791.85</v>
      </c>
      <c r="K24">
        <f t="shared" si="9"/>
        <v>19.5</v>
      </c>
      <c r="L24" s="4">
        <f t="shared" si="9"/>
        <v>1811.35</v>
      </c>
      <c r="M24">
        <f t="shared" si="9"/>
        <v>466.55</v>
      </c>
      <c r="N24">
        <f t="shared" si="9"/>
        <v>1260.55</v>
      </c>
      <c r="O24">
        <f t="shared" si="9"/>
        <v>28.95</v>
      </c>
      <c r="P24">
        <f t="shared" si="9"/>
        <v>15.9</v>
      </c>
      <c r="Q24" s="4">
        <f t="shared" si="9"/>
        <v>1771.95</v>
      </c>
      <c r="R24">
        <f t="shared" si="9"/>
        <v>39.4</v>
      </c>
      <c r="T24" s="5">
        <f>AVERAGE(T2:T21)</f>
        <v>30.064824616298228</v>
      </c>
      <c r="U24" s="5">
        <f>AVERAGE(U2:U21)</f>
        <v>61.316627507338424</v>
      </c>
      <c r="V24" s="5">
        <f>AVERAGE(V2:V21)</f>
        <v>6.9635366020611853</v>
      </c>
      <c r="W24" s="5">
        <f>AVERAGE(W2:W21)</f>
        <v>1.6550112743021832</v>
      </c>
      <c r="X24" s="5">
        <f>AVERAGE(X2:X21)</f>
        <v>5.5269734256954202</v>
      </c>
    </row>
    <row r="25" spans="1:24" x14ac:dyDescent="0.3">
      <c r="I25" s="6" t="s">
        <v>30</v>
      </c>
      <c r="J25">
        <f t="shared" ref="J25:R25" si="10">MIN(J2:J21)</f>
        <v>161</v>
      </c>
      <c r="K25">
        <f t="shared" si="10"/>
        <v>0</v>
      </c>
      <c r="L25" s="4">
        <f t="shared" si="10"/>
        <v>161</v>
      </c>
      <c r="M25">
        <f t="shared" si="10"/>
        <v>0</v>
      </c>
      <c r="N25">
        <f t="shared" si="10"/>
        <v>28</v>
      </c>
      <c r="O25">
        <f t="shared" si="10"/>
        <v>0</v>
      </c>
      <c r="P25">
        <f t="shared" si="10"/>
        <v>0</v>
      </c>
      <c r="Q25" s="4">
        <f t="shared" si="10"/>
        <v>143</v>
      </c>
      <c r="R25">
        <f t="shared" si="10"/>
        <v>8</v>
      </c>
    </row>
    <row r="26" spans="1:24" x14ac:dyDescent="0.3">
      <c r="I26" s="6" t="s">
        <v>31</v>
      </c>
      <c r="J26">
        <f t="shared" ref="J26:R26" si="11">MAX(J2:J21)</f>
        <v>8655</v>
      </c>
      <c r="K26">
        <f t="shared" si="11"/>
        <v>372</v>
      </c>
      <c r="L26" s="4">
        <f t="shared" si="11"/>
        <v>9027</v>
      </c>
      <c r="M26">
        <f t="shared" si="11"/>
        <v>2202</v>
      </c>
      <c r="N26">
        <f t="shared" si="11"/>
        <v>6790</v>
      </c>
      <c r="O26">
        <f t="shared" si="11"/>
        <v>109</v>
      </c>
      <c r="P26">
        <f t="shared" si="11"/>
        <v>113</v>
      </c>
      <c r="Q26" s="4">
        <f t="shared" si="11"/>
        <v>9004</v>
      </c>
      <c r="R26">
        <f t="shared" si="11"/>
        <v>105</v>
      </c>
    </row>
    <row r="27" spans="1:24" x14ac:dyDescent="0.3">
      <c r="I27" s="6" t="s">
        <v>94</v>
      </c>
      <c r="J27">
        <f t="shared" ref="J27:R27" si="12">MEDIAN(J2:J21)</f>
        <v>1344.5</v>
      </c>
      <c r="K27">
        <f t="shared" si="12"/>
        <v>0</v>
      </c>
      <c r="L27" s="4">
        <f t="shared" si="12"/>
        <v>1344.5</v>
      </c>
      <c r="M27">
        <f t="shared" si="12"/>
        <v>214</v>
      </c>
      <c r="N27">
        <f t="shared" si="12"/>
        <v>624</v>
      </c>
      <c r="O27">
        <f t="shared" si="12"/>
        <v>15.5</v>
      </c>
      <c r="P27">
        <f t="shared" si="12"/>
        <v>1</v>
      </c>
      <c r="Q27" s="4">
        <f t="shared" si="12"/>
        <v>1279</v>
      </c>
      <c r="R27">
        <f t="shared" si="12"/>
        <v>36</v>
      </c>
    </row>
    <row r="28" spans="1:24" x14ac:dyDescent="0.3">
      <c r="I28" s="6" t="s">
        <v>95</v>
      </c>
      <c r="J28" s="5">
        <f t="shared" ref="J28:R28" si="13">_xlfn.STDEV.S(J2:J21)</f>
        <v>1998.9236123210753</v>
      </c>
      <c r="K28" s="5">
        <f t="shared" si="13"/>
        <v>83.018387310155262</v>
      </c>
      <c r="L28" s="24">
        <f t="shared" si="13"/>
        <v>2067.0752863584053</v>
      </c>
      <c r="M28" s="5">
        <f t="shared" si="13"/>
        <v>644.38330167198171</v>
      </c>
      <c r="N28" s="5">
        <f t="shared" si="13"/>
        <v>1654.9639676471891</v>
      </c>
      <c r="O28" s="5">
        <f t="shared" si="13"/>
        <v>32.787152490282722</v>
      </c>
      <c r="P28" s="5">
        <f t="shared" si="13"/>
        <v>31.51424072417187</v>
      </c>
      <c r="Q28" s="24">
        <f t="shared" si="13"/>
        <v>2067.9085156136307</v>
      </c>
      <c r="R28" s="5">
        <f t="shared" si="13"/>
        <v>27.054331300279131</v>
      </c>
    </row>
    <row r="29" spans="1:24" x14ac:dyDescent="0.3">
      <c r="I29" s="6"/>
    </row>
    <row r="31" spans="1:24" x14ac:dyDescent="0.3">
      <c r="B31" s="6" t="s">
        <v>351</v>
      </c>
    </row>
    <row r="32" spans="1:24" x14ac:dyDescent="0.3">
      <c r="B32" t="s">
        <v>52</v>
      </c>
      <c r="C32" t="s">
        <v>53</v>
      </c>
      <c r="D32">
        <v>2019</v>
      </c>
      <c r="E32" t="s">
        <v>0</v>
      </c>
      <c r="F32" t="s">
        <v>0</v>
      </c>
      <c r="G32" t="s">
        <v>10</v>
      </c>
      <c r="I32" t="s">
        <v>0</v>
      </c>
      <c r="J32">
        <v>1342</v>
      </c>
      <c r="K32">
        <v>0</v>
      </c>
      <c r="L32" s="4">
        <v>1342</v>
      </c>
      <c r="M32">
        <v>169</v>
      </c>
      <c r="N32">
        <v>1106</v>
      </c>
      <c r="O32">
        <v>32</v>
      </c>
      <c r="P32">
        <v>7</v>
      </c>
      <c r="Q32" s="4">
        <v>1314</v>
      </c>
      <c r="R32">
        <v>28</v>
      </c>
      <c r="S32" t="s">
        <v>93</v>
      </c>
      <c r="T32" s="5">
        <v>12.861491628614916</v>
      </c>
      <c r="U32" s="5">
        <v>84.170471841704725</v>
      </c>
      <c r="V32" s="5">
        <v>2.4353120243531201</v>
      </c>
      <c r="W32" s="5">
        <v>0.53272450532724502</v>
      </c>
      <c r="X32" s="5">
        <v>2.0864381520119228</v>
      </c>
    </row>
    <row r="33" spans="2:24" x14ac:dyDescent="0.3">
      <c r="B33" t="s">
        <v>84</v>
      </c>
      <c r="C33" t="s">
        <v>85</v>
      </c>
      <c r="D33">
        <v>2016</v>
      </c>
      <c r="E33" t="s">
        <v>0</v>
      </c>
      <c r="F33" t="s">
        <v>0</v>
      </c>
      <c r="G33" t="s">
        <v>10</v>
      </c>
      <c r="I33" t="s">
        <v>0</v>
      </c>
      <c r="J33">
        <v>118</v>
      </c>
      <c r="K33">
        <v>0</v>
      </c>
      <c r="L33" s="4">
        <v>118</v>
      </c>
      <c r="M33">
        <v>52</v>
      </c>
      <c r="N33">
        <v>47</v>
      </c>
      <c r="O33">
        <v>11</v>
      </c>
      <c r="P33">
        <v>1</v>
      </c>
      <c r="Q33" s="4">
        <v>111</v>
      </c>
      <c r="R33">
        <v>7</v>
      </c>
      <c r="S33" t="s">
        <v>365</v>
      </c>
      <c r="T33" s="5">
        <v>46.846846846846844</v>
      </c>
      <c r="U33" s="5">
        <v>42.342342342342342</v>
      </c>
      <c r="V33" s="5">
        <v>9.9099099099099099</v>
      </c>
      <c r="W33" s="5">
        <v>0.90090090090090091</v>
      </c>
      <c r="X33" s="5">
        <v>5.9322033898305087</v>
      </c>
    </row>
    <row r="34" spans="2:24" x14ac:dyDescent="0.3">
      <c r="B34" t="s">
        <v>44</v>
      </c>
      <c r="C34" t="s">
        <v>45</v>
      </c>
      <c r="D34">
        <v>2020</v>
      </c>
      <c r="E34" t="s">
        <v>0</v>
      </c>
      <c r="F34" t="s">
        <v>0</v>
      </c>
      <c r="G34" t="s">
        <v>10</v>
      </c>
      <c r="I34" t="s">
        <v>0</v>
      </c>
      <c r="J34">
        <v>173</v>
      </c>
      <c r="K34">
        <v>2</v>
      </c>
      <c r="L34" s="4">
        <v>175</v>
      </c>
      <c r="M34">
        <v>43</v>
      </c>
      <c r="N34">
        <v>74</v>
      </c>
      <c r="O34">
        <v>35</v>
      </c>
      <c r="P34">
        <v>13</v>
      </c>
      <c r="Q34" s="4">
        <v>165</v>
      </c>
      <c r="R34">
        <v>10</v>
      </c>
      <c r="S34" t="s">
        <v>92</v>
      </c>
      <c r="T34" s="5">
        <v>26.060606060606062</v>
      </c>
      <c r="U34" s="5">
        <v>44.848484848484851</v>
      </c>
      <c r="V34" s="5">
        <v>21.212121212121211</v>
      </c>
      <c r="W34" s="5">
        <v>7.878787878787878</v>
      </c>
      <c r="X34" s="5">
        <v>5.7142857142857144</v>
      </c>
    </row>
  </sheetData>
  <conditionalFormatting sqref="F1:I1">
    <cfRule type="containsText" dxfId="252" priority="246" operator="containsText" text="Yes">
      <formula>NOT(ISERROR(SEARCH("Yes",F1)))</formula>
    </cfRule>
  </conditionalFormatting>
  <conditionalFormatting sqref="L1:T1">
    <cfRule type="containsText" dxfId="251" priority="245" operator="containsText" text="Yes">
      <formula>NOT(ISERROR(SEARCH("Yes",L1)))</formula>
    </cfRule>
  </conditionalFormatting>
  <conditionalFormatting sqref="E2">
    <cfRule type="containsText" dxfId="250" priority="243" operator="containsText" text="Yes">
      <formula>NOT(ISERROR(SEARCH("Yes",E2)))</formula>
    </cfRule>
    <cfRule type="containsText" dxfId="249" priority="244" operator="containsText" text="No">
      <formula>NOT(ISERROR(SEARCH("No",E2)))</formula>
    </cfRule>
  </conditionalFormatting>
  <conditionalFormatting sqref="F2:G2">
    <cfRule type="containsText" dxfId="248" priority="241" operator="containsText" text="Yes">
      <formula>NOT(ISERROR(SEARCH("Yes",F2)))</formula>
    </cfRule>
    <cfRule type="containsText" dxfId="247" priority="242" operator="containsText" text="No">
      <formula>NOT(ISERROR(SEARCH("No",F2)))</formula>
    </cfRule>
  </conditionalFormatting>
  <conditionalFormatting sqref="I2">
    <cfRule type="containsText" dxfId="246" priority="239" operator="containsText" text="No">
      <formula>NOT(ISERROR(SEARCH("No",I2)))</formula>
    </cfRule>
    <cfRule type="containsText" dxfId="245" priority="240" operator="containsText" text="Yes">
      <formula>NOT(ISERROR(SEARCH("Yes",I2)))</formula>
    </cfRule>
  </conditionalFormatting>
  <conditionalFormatting sqref="E3">
    <cfRule type="containsText" dxfId="244" priority="237" operator="containsText" text="Yes">
      <formula>NOT(ISERROR(SEARCH("Yes",E3)))</formula>
    </cfRule>
    <cfRule type="containsText" dxfId="243" priority="238" operator="containsText" text="No">
      <formula>NOT(ISERROR(SEARCH("No",E3)))</formula>
    </cfRule>
  </conditionalFormatting>
  <conditionalFormatting sqref="F3:G3">
    <cfRule type="containsText" dxfId="242" priority="235" operator="containsText" text="Yes">
      <formula>NOT(ISERROR(SEARCH("Yes",F3)))</formula>
    </cfRule>
    <cfRule type="containsText" dxfId="241" priority="236" operator="containsText" text="No">
      <formula>NOT(ISERROR(SEARCH("No",F3)))</formula>
    </cfRule>
  </conditionalFormatting>
  <conditionalFormatting sqref="H3:I3">
    <cfRule type="containsText" dxfId="240" priority="233" operator="containsText" text="Yes">
      <formula>NOT(ISERROR(SEARCH("Yes",H3)))</formula>
    </cfRule>
    <cfRule type="containsText" dxfId="239" priority="234" operator="containsText" text="No">
      <formula>NOT(ISERROR(SEARCH("No",H3)))</formula>
    </cfRule>
  </conditionalFormatting>
  <conditionalFormatting sqref="I3">
    <cfRule type="containsText" dxfId="238" priority="231" operator="containsText" text="No">
      <formula>NOT(ISERROR(SEARCH("No",I3)))</formula>
    </cfRule>
    <cfRule type="containsText" dxfId="237" priority="232" operator="containsText" text="Yes">
      <formula>NOT(ISERROR(SEARCH("Yes",I3)))</formula>
    </cfRule>
  </conditionalFormatting>
  <conditionalFormatting sqref="F5:G5">
    <cfRule type="containsText" dxfId="236" priority="209" operator="containsText" text="Yes">
      <formula>NOT(ISERROR(SEARCH("Yes",F5)))</formula>
    </cfRule>
    <cfRule type="containsText" dxfId="235" priority="210" operator="containsText" text="No">
      <formula>NOT(ISERROR(SEARCH("No",F5)))</formula>
    </cfRule>
  </conditionalFormatting>
  <conditionalFormatting sqref="E4">
    <cfRule type="containsText" dxfId="234" priority="217" operator="containsText" text="Yes">
      <formula>NOT(ISERROR(SEARCH("Yes",E4)))</formula>
    </cfRule>
    <cfRule type="containsText" dxfId="233" priority="218" operator="containsText" text="No">
      <formula>NOT(ISERROR(SEARCH("No",E4)))</formula>
    </cfRule>
  </conditionalFormatting>
  <conditionalFormatting sqref="F4:G4">
    <cfRule type="containsText" dxfId="232" priority="215" operator="containsText" text="Yes">
      <formula>NOT(ISERROR(SEARCH("Yes",F4)))</formula>
    </cfRule>
    <cfRule type="containsText" dxfId="231" priority="216" operator="containsText" text="No">
      <formula>NOT(ISERROR(SEARCH("No",F4)))</formula>
    </cfRule>
  </conditionalFormatting>
  <conditionalFormatting sqref="I4">
    <cfRule type="containsText" dxfId="230" priority="213" operator="containsText" text="No">
      <formula>NOT(ISERROR(SEARCH("No",I4)))</formula>
    </cfRule>
    <cfRule type="containsText" dxfId="229" priority="214" operator="containsText" text="Yes">
      <formula>NOT(ISERROR(SEARCH("Yes",I4)))</formula>
    </cfRule>
  </conditionalFormatting>
  <conditionalFormatting sqref="E5">
    <cfRule type="containsText" dxfId="228" priority="211" operator="containsText" text="Yes">
      <formula>NOT(ISERROR(SEARCH("Yes",E5)))</formula>
    </cfRule>
    <cfRule type="containsText" dxfId="227" priority="212" operator="containsText" text="No">
      <formula>NOT(ISERROR(SEARCH("No",E5)))</formula>
    </cfRule>
  </conditionalFormatting>
  <conditionalFormatting sqref="I5">
    <cfRule type="containsText" dxfId="226" priority="207" operator="containsText" text="No">
      <formula>NOT(ISERROR(SEARCH("No",I5)))</formula>
    </cfRule>
    <cfRule type="containsText" dxfId="225" priority="208" operator="containsText" text="Yes">
      <formula>NOT(ISERROR(SEARCH("Yes",I5)))</formula>
    </cfRule>
  </conditionalFormatting>
  <conditionalFormatting sqref="E7:G7">
    <cfRule type="containsText" dxfId="224" priority="201" operator="containsText" text="Yes">
      <formula>NOT(ISERROR(SEARCH("Yes",E7)))</formula>
    </cfRule>
    <cfRule type="containsText" dxfId="223" priority="202" operator="containsText" text="No">
      <formula>NOT(ISERROR(SEARCH("No",E7)))</formula>
    </cfRule>
  </conditionalFormatting>
  <conditionalFormatting sqref="I7">
    <cfRule type="containsText" dxfId="222" priority="199" operator="containsText" text="No">
      <formula>NOT(ISERROR(SEARCH("No",I7)))</formula>
    </cfRule>
    <cfRule type="containsText" dxfId="221" priority="200" operator="containsText" text="Yes">
      <formula>NOT(ISERROR(SEARCH("Yes",I7)))</formula>
    </cfRule>
  </conditionalFormatting>
  <conditionalFormatting sqref="E8:G8">
    <cfRule type="containsText" dxfId="220" priority="197" operator="containsText" text="Yes">
      <formula>NOT(ISERROR(SEARCH("Yes",E8)))</formula>
    </cfRule>
    <cfRule type="containsText" dxfId="219" priority="198" operator="containsText" text="No">
      <formula>NOT(ISERROR(SEARCH("No",E8)))</formula>
    </cfRule>
  </conditionalFormatting>
  <conditionalFormatting sqref="I8">
    <cfRule type="containsText" dxfId="218" priority="195" operator="containsText" text="No">
      <formula>NOT(ISERROR(SEARCH("No",I8)))</formula>
    </cfRule>
    <cfRule type="containsText" dxfId="217" priority="196" operator="containsText" text="Yes">
      <formula>NOT(ISERROR(SEARCH("Yes",I8)))</formula>
    </cfRule>
  </conditionalFormatting>
  <conditionalFormatting sqref="F13:G13">
    <cfRule type="containsText" dxfId="216" priority="147" operator="containsText" text="Yes">
      <formula>NOT(ISERROR(SEARCH("Yes",F13)))</formula>
    </cfRule>
    <cfRule type="containsText" dxfId="215" priority="148" operator="containsText" text="No">
      <formula>NOT(ISERROR(SEARCH("No",F13)))</formula>
    </cfRule>
  </conditionalFormatting>
  <conditionalFormatting sqref="I13">
    <cfRule type="containsText" dxfId="214" priority="145" operator="containsText" text="No">
      <formula>NOT(ISERROR(SEARCH("No",I13)))</formula>
    </cfRule>
    <cfRule type="containsText" dxfId="213" priority="146" operator="containsText" text="Yes">
      <formula>NOT(ISERROR(SEARCH("Yes",I13)))</formula>
    </cfRule>
  </conditionalFormatting>
  <conditionalFormatting sqref="E9:G9">
    <cfRule type="containsText" dxfId="212" priority="173" operator="containsText" text="Yes">
      <formula>NOT(ISERROR(SEARCH("Yes",E9)))</formula>
    </cfRule>
    <cfRule type="containsText" dxfId="211" priority="174" operator="containsText" text="No">
      <formula>NOT(ISERROR(SEARCH("No",E9)))</formula>
    </cfRule>
  </conditionalFormatting>
  <conditionalFormatting sqref="I9">
    <cfRule type="containsText" dxfId="210" priority="171" operator="containsText" text="No">
      <formula>NOT(ISERROR(SEARCH("No",I9)))</formula>
    </cfRule>
    <cfRule type="containsText" dxfId="209" priority="172" operator="containsText" text="Yes">
      <formula>NOT(ISERROR(SEARCH("Yes",I9)))</formula>
    </cfRule>
  </conditionalFormatting>
  <conditionalFormatting sqref="E11:G11">
    <cfRule type="containsText" dxfId="208" priority="165" operator="containsText" text="Yes">
      <formula>NOT(ISERROR(SEARCH("Yes",E11)))</formula>
    </cfRule>
    <cfRule type="containsText" dxfId="207" priority="166" operator="containsText" text="No">
      <formula>NOT(ISERROR(SEARCH("No",E11)))</formula>
    </cfRule>
  </conditionalFormatting>
  <conditionalFormatting sqref="I11">
    <cfRule type="containsText" dxfId="206" priority="163" operator="containsText" text="No">
      <formula>NOT(ISERROR(SEARCH("No",I11)))</formula>
    </cfRule>
    <cfRule type="containsText" dxfId="205" priority="164" operator="containsText" text="Yes">
      <formula>NOT(ISERROR(SEARCH("Yes",I11)))</formula>
    </cfRule>
  </conditionalFormatting>
  <conditionalFormatting sqref="E12:G12">
    <cfRule type="containsText" dxfId="204" priority="157" operator="containsText" text="Yes">
      <formula>NOT(ISERROR(SEARCH("Yes",E12)))</formula>
    </cfRule>
    <cfRule type="containsText" dxfId="203" priority="158" operator="containsText" text="No">
      <formula>NOT(ISERROR(SEARCH("No",E12)))</formula>
    </cfRule>
  </conditionalFormatting>
  <conditionalFormatting sqref="I12">
    <cfRule type="containsText" dxfId="202" priority="155" operator="containsText" text="No">
      <formula>NOT(ISERROR(SEARCH("No",I12)))</formula>
    </cfRule>
    <cfRule type="containsText" dxfId="201" priority="156" operator="containsText" text="Yes">
      <formula>NOT(ISERROR(SEARCH("Yes",I12)))</formula>
    </cfRule>
  </conditionalFormatting>
  <conditionalFormatting sqref="E13">
    <cfRule type="containsText" dxfId="200" priority="149" operator="containsText" text="Yes">
      <formula>NOT(ISERROR(SEARCH("Yes",E13)))</formula>
    </cfRule>
    <cfRule type="containsText" dxfId="199" priority="150" operator="containsText" text="No">
      <formula>NOT(ISERROR(SEARCH("No",E13)))</formula>
    </cfRule>
  </conditionalFormatting>
  <conditionalFormatting sqref="E14">
    <cfRule type="containsText" dxfId="198" priority="137" operator="containsText" text="Yes">
      <formula>NOT(ISERROR(SEARCH("Yes",E14)))</formula>
    </cfRule>
    <cfRule type="containsText" dxfId="197" priority="138" operator="containsText" text="No">
      <formula>NOT(ISERROR(SEARCH("No",E14)))</formula>
    </cfRule>
  </conditionalFormatting>
  <conditionalFormatting sqref="F14:G14">
    <cfRule type="containsText" dxfId="196" priority="135" operator="containsText" text="Yes">
      <formula>NOT(ISERROR(SEARCH("Yes",F14)))</formula>
    </cfRule>
    <cfRule type="containsText" dxfId="195" priority="136" operator="containsText" text="No">
      <formula>NOT(ISERROR(SEARCH("No",F14)))</formula>
    </cfRule>
  </conditionalFormatting>
  <conditionalFormatting sqref="I14">
    <cfRule type="containsText" dxfId="194" priority="133" operator="containsText" text="No">
      <formula>NOT(ISERROR(SEARCH("No",I14)))</formula>
    </cfRule>
    <cfRule type="containsText" dxfId="193" priority="134" operator="containsText" text="Yes">
      <formula>NOT(ISERROR(SEARCH("Yes",I14)))</formula>
    </cfRule>
  </conditionalFormatting>
  <conditionalFormatting sqref="E16:G16">
    <cfRule type="containsText" dxfId="192" priority="123" operator="containsText" text="Yes">
      <formula>NOT(ISERROR(SEARCH("Yes",E16)))</formula>
    </cfRule>
    <cfRule type="containsText" dxfId="191" priority="124" operator="containsText" text="No">
      <formula>NOT(ISERROR(SEARCH("No",E16)))</formula>
    </cfRule>
  </conditionalFormatting>
  <conditionalFormatting sqref="I16">
    <cfRule type="containsText" dxfId="190" priority="121" operator="containsText" text="No">
      <formula>NOT(ISERROR(SEARCH("No",I16)))</formula>
    </cfRule>
    <cfRule type="containsText" dxfId="189" priority="122" operator="containsText" text="Yes">
      <formula>NOT(ISERROR(SEARCH("Yes",I16)))</formula>
    </cfRule>
  </conditionalFormatting>
  <conditionalFormatting sqref="E34">
    <cfRule type="containsText" dxfId="188" priority="77" operator="containsText" text="Yes">
      <formula>NOT(ISERROR(SEARCH("Yes",E34)))</formula>
    </cfRule>
    <cfRule type="containsText" dxfId="187" priority="78" operator="containsText" text="No">
      <formula>NOT(ISERROR(SEARCH("No",E34)))</formula>
    </cfRule>
  </conditionalFormatting>
  <conditionalFormatting sqref="E18:G18">
    <cfRule type="containsText" dxfId="186" priority="105" operator="containsText" text="Yes">
      <formula>NOT(ISERROR(SEARCH("Yes",E18)))</formula>
    </cfRule>
    <cfRule type="containsText" dxfId="185" priority="106" operator="containsText" text="No">
      <formula>NOT(ISERROR(SEARCH("No",E18)))</formula>
    </cfRule>
  </conditionalFormatting>
  <conditionalFormatting sqref="I18">
    <cfRule type="containsText" dxfId="184" priority="107" operator="containsText" text="No">
      <formula>NOT(ISERROR(SEARCH("No",I18)))</formula>
    </cfRule>
    <cfRule type="containsText" dxfId="183" priority="108" operator="containsText" text="Yes">
      <formula>NOT(ISERROR(SEARCH("Yes",I18)))</formula>
    </cfRule>
  </conditionalFormatting>
  <conditionalFormatting sqref="F34:G34">
    <cfRule type="containsText" dxfId="182" priority="75" operator="containsText" text="Yes">
      <formula>NOT(ISERROR(SEARCH("Yes",F34)))</formula>
    </cfRule>
    <cfRule type="containsText" dxfId="181" priority="76" operator="containsText" text="No">
      <formula>NOT(ISERROR(SEARCH("No",F34)))</formula>
    </cfRule>
  </conditionalFormatting>
  <conditionalFormatting sqref="E32">
    <cfRule type="containsText" dxfId="180" priority="87" operator="containsText" text="Yes">
      <formula>NOT(ISERROR(SEARCH("Yes",E32)))</formula>
    </cfRule>
    <cfRule type="containsText" dxfId="179" priority="88" operator="containsText" text="No">
      <formula>NOT(ISERROR(SEARCH("No",E32)))</formula>
    </cfRule>
  </conditionalFormatting>
  <conditionalFormatting sqref="F32:G32">
    <cfRule type="containsText" dxfId="178" priority="85" operator="containsText" text="Yes">
      <formula>NOT(ISERROR(SEARCH("Yes",F32)))</formula>
    </cfRule>
    <cfRule type="containsText" dxfId="177" priority="86" operator="containsText" text="No">
      <formula>NOT(ISERROR(SEARCH("No",F32)))</formula>
    </cfRule>
  </conditionalFormatting>
  <conditionalFormatting sqref="I32">
    <cfRule type="containsText" dxfId="176" priority="83" operator="containsText" text="No">
      <formula>NOT(ISERROR(SEARCH("No",I32)))</formula>
    </cfRule>
    <cfRule type="containsText" dxfId="175" priority="84" operator="containsText" text="Yes">
      <formula>NOT(ISERROR(SEARCH("Yes",I32)))</formula>
    </cfRule>
  </conditionalFormatting>
  <conditionalFormatting sqref="E20">
    <cfRule type="containsText" dxfId="174" priority="71" operator="containsText" text="Yes">
      <formula>NOT(ISERROR(SEARCH("Yes",E20)))</formula>
    </cfRule>
    <cfRule type="containsText" dxfId="173" priority="72" operator="containsText" text="No">
      <formula>NOT(ISERROR(SEARCH("No",E20)))</formula>
    </cfRule>
  </conditionalFormatting>
  <conditionalFormatting sqref="E33:G33">
    <cfRule type="containsText" dxfId="172" priority="81" operator="containsText" text="Yes">
      <formula>NOT(ISERROR(SEARCH("Yes",E33)))</formula>
    </cfRule>
    <cfRule type="containsText" dxfId="171" priority="82" operator="containsText" text="No">
      <formula>NOT(ISERROR(SEARCH("No",E33)))</formula>
    </cfRule>
  </conditionalFormatting>
  <conditionalFormatting sqref="I33">
    <cfRule type="containsText" dxfId="170" priority="79" operator="containsText" text="No">
      <formula>NOT(ISERROR(SEARCH("No",I33)))</formula>
    </cfRule>
    <cfRule type="containsText" dxfId="169" priority="80" operator="containsText" text="Yes">
      <formula>NOT(ISERROR(SEARCH("Yes",I33)))</formula>
    </cfRule>
  </conditionalFormatting>
  <conditionalFormatting sqref="I34">
    <cfRule type="containsText" dxfId="168" priority="73" operator="containsText" text="No">
      <formula>NOT(ISERROR(SEARCH("No",I34)))</formula>
    </cfRule>
    <cfRule type="containsText" dxfId="167" priority="74" operator="containsText" text="Yes">
      <formula>NOT(ISERROR(SEARCH("Yes",I34)))</formula>
    </cfRule>
  </conditionalFormatting>
  <conditionalFormatting sqref="F20:G20">
    <cfRule type="containsText" dxfId="166" priority="69" operator="containsText" text="Yes">
      <formula>NOT(ISERROR(SEARCH("Yes",F20)))</formula>
    </cfRule>
    <cfRule type="containsText" dxfId="165" priority="70" operator="containsText" text="No">
      <formula>NOT(ISERROR(SEARCH("No",F20)))</formula>
    </cfRule>
  </conditionalFormatting>
  <conditionalFormatting sqref="I20">
    <cfRule type="containsText" dxfId="164" priority="67" operator="containsText" text="No">
      <formula>NOT(ISERROR(SEARCH("No",I20)))</formula>
    </cfRule>
    <cfRule type="containsText" dxfId="163" priority="68" operator="containsText" text="Yes">
      <formula>NOT(ISERROR(SEARCH("Yes",I20)))</formula>
    </cfRule>
  </conditionalFormatting>
  <conditionalFormatting sqref="E19:G19">
    <cfRule type="containsText" dxfId="162" priority="65" operator="containsText" text="Yes">
      <formula>NOT(ISERROR(SEARCH("Yes",E19)))</formula>
    </cfRule>
    <cfRule type="containsText" dxfId="161" priority="66" operator="containsText" text="No">
      <formula>NOT(ISERROR(SEARCH("No",E19)))</formula>
    </cfRule>
  </conditionalFormatting>
  <conditionalFormatting sqref="I19">
    <cfRule type="containsText" dxfId="160" priority="63" operator="containsText" text="No">
      <formula>NOT(ISERROR(SEARCH("No",I19)))</formula>
    </cfRule>
    <cfRule type="containsText" dxfId="159" priority="64" operator="containsText" text="Yes">
      <formula>NOT(ISERROR(SEARCH("Yes",I19)))</formula>
    </cfRule>
  </conditionalFormatting>
  <conditionalFormatting sqref="H15:I15">
    <cfRule type="containsText" dxfId="158" priority="47" operator="containsText" text="Yes">
      <formula>NOT(ISERROR(SEARCH("Yes",H15)))</formula>
    </cfRule>
    <cfRule type="containsText" dxfId="157" priority="48" operator="containsText" text="No">
      <formula>NOT(ISERROR(SEARCH("No",H15)))</formula>
    </cfRule>
  </conditionalFormatting>
  <conditionalFormatting sqref="I15">
    <cfRule type="containsText" dxfId="156" priority="45" operator="containsText" text="No">
      <formula>NOT(ISERROR(SEARCH("No",I15)))</formula>
    </cfRule>
    <cfRule type="containsText" dxfId="155" priority="46" operator="containsText" text="Yes">
      <formula>NOT(ISERROR(SEARCH("Yes",I15)))</formula>
    </cfRule>
  </conditionalFormatting>
  <conditionalFormatting sqref="E21">
    <cfRule type="containsText" dxfId="154" priority="57" operator="containsText" text="Yes">
      <formula>NOT(ISERROR(SEARCH("Yes",E21)))</formula>
    </cfRule>
    <cfRule type="containsText" dxfId="153" priority="58" operator="containsText" text="No">
      <formula>NOT(ISERROR(SEARCH("No",E21)))</formula>
    </cfRule>
  </conditionalFormatting>
  <conditionalFormatting sqref="F21:I21">
    <cfRule type="containsText" dxfId="152" priority="55" operator="containsText" text="Yes">
      <formula>NOT(ISERROR(SEARCH("Yes",F21)))</formula>
    </cfRule>
    <cfRule type="containsText" dxfId="151" priority="56" operator="containsText" text="No">
      <formula>NOT(ISERROR(SEARCH("No",F21)))</formula>
    </cfRule>
  </conditionalFormatting>
  <conditionalFormatting sqref="I21">
    <cfRule type="containsText" dxfId="150" priority="53" operator="containsText" text="No">
      <formula>NOT(ISERROR(SEARCH("No",I21)))</formula>
    </cfRule>
    <cfRule type="containsText" dxfId="149" priority="54" operator="containsText" text="Yes">
      <formula>NOT(ISERROR(SEARCH("Yes",I21)))</formula>
    </cfRule>
  </conditionalFormatting>
  <conditionalFormatting sqref="E15">
    <cfRule type="containsText" dxfId="148" priority="51" operator="containsText" text="Yes">
      <formula>NOT(ISERROR(SEARCH("Yes",E15)))</formula>
    </cfRule>
    <cfRule type="containsText" dxfId="147" priority="52" operator="containsText" text="No">
      <formula>NOT(ISERROR(SEARCH("No",E15)))</formula>
    </cfRule>
  </conditionalFormatting>
  <conditionalFormatting sqref="F15:G15">
    <cfRule type="containsText" dxfId="146" priority="49" operator="containsText" text="Yes">
      <formula>NOT(ISERROR(SEARCH("Yes",F15)))</formula>
    </cfRule>
    <cfRule type="containsText" dxfId="145" priority="50" operator="containsText" text="No">
      <formula>NOT(ISERROR(SEARCH("No",F15)))</formula>
    </cfRule>
  </conditionalFormatting>
  <conditionalFormatting sqref="E15:G15">
    <cfRule type="containsText" dxfId="144" priority="43" operator="containsText" text="Yes">
      <formula>NOT(ISERROR(SEARCH("Yes",E15)))</formula>
    </cfRule>
    <cfRule type="containsText" dxfId="143" priority="44" operator="containsText" text="No">
      <formula>NOT(ISERROR(SEARCH("No",E15)))</formula>
    </cfRule>
  </conditionalFormatting>
  <conditionalFormatting sqref="I15">
    <cfRule type="containsText" dxfId="142" priority="41" operator="containsText" text="No">
      <formula>NOT(ISERROR(SEARCH("No",I15)))</formula>
    </cfRule>
    <cfRule type="containsText" dxfId="141" priority="42" operator="containsText" text="Yes">
      <formula>NOT(ISERROR(SEARCH("Yes",I15)))</formula>
    </cfRule>
  </conditionalFormatting>
  <conditionalFormatting sqref="E16">
    <cfRule type="containsText" dxfId="140" priority="39" operator="containsText" text="Yes">
      <formula>NOT(ISERROR(SEARCH("Yes",E16)))</formula>
    </cfRule>
    <cfRule type="containsText" dxfId="139" priority="40" operator="containsText" text="No">
      <formula>NOT(ISERROR(SEARCH("No",E16)))</formula>
    </cfRule>
  </conditionalFormatting>
  <conditionalFormatting sqref="F16:G16">
    <cfRule type="containsText" dxfId="138" priority="37" operator="containsText" text="Yes">
      <formula>NOT(ISERROR(SEARCH("Yes",F16)))</formula>
    </cfRule>
    <cfRule type="containsText" dxfId="137" priority="38" operator="containsText" text="No">
      <formula>NOT(ISERROR(SEARCH("No",F16)))</formula>
    </cfRule>
  </conditionalFormatting>
  <conditionalFormatting sqref="I16">
    <cfRule type="containsText" dxfId="136" priority="35" operator="containsText" text="No">
      <formula>NOT(ISERROR(SEARCH("No",I16)))</formula>
    </cfRule>
    <cfRule type="containsText" dxfId="135" priority="36" operator="containsText" text="Yes">
      <formula>NOT(ISERROR(SEARCH("Yes",I16)))</formula>
    </cfRule>
  </conditionalFormatting>
  <conditionalFormatting sqref="E17:G17">
    <cfRule type="containsText" dxfId="134" priority="33" operator="containsText" text="Yes">
      <formula>NOT(ISERROR(SEARCH("Yes",E17)))</formula>
    </cfRule>
    <cfRule type="containsText" dxfId="133" priority="34" operator="containsText" text="No">
      <formula>NOT(ISERROR(SEARCH("No",E17)))</formula>
    </cfRule>
  </conditionalFormatting>
  <conditionalFormatting sqref="I17">
    <cfRule type="containsText" dxfId="132" priority="31" operator="containsText" text="No">
      <formula>NOT(ISERROR(SEARCH("No",I17)))</formula>
    </cfRule>
    <cfRule type="containsText" dxfId="131" priority="32" operator="containsText" text="Yes">
      <formula>NOT(ISERROR(SEARCH("Yes",I17)))</formula>
    </cfRule>
  </conditionalFormatting>
  <conditionalFormatting sqref="E6">
    <cfRule type="containsText" dxfId="130" priority="21" operator="containsText" text="Yes">
      <formula>NOT(ISERROR(SEARCH("Yes",E6)))</formula>
    </cfRule>
    <cfRule type="containsText" dxfId="129" priority="22" operator="containsText" text="No">
      <formula>NOT(ISERROR(SEARCH("No",E6)))</formula>
    </cfRule>
  </conditionalFormatting>
  <conditionalFormatting sqref="F6:G6">
    <cfRule type="containsText" dxfId="128" priority="19" operator="containsText" text="Yes">
      <formula>NOT(ISERROR(SEARCH("Yes",F6)))</formula>
    </cfRule>
    <cfRule type="containsText" dxfId="127" priority="20" operator="containsText" text="No">
      <formula>NOT(ISERROR(SEARCH("No",F6)))</formula>
    </cfRule>
  </conditionalFormatting>
  <conditionalFormatting sqref="I6">
    <cfRule type="containsText" dxfId="126" priority="17" operator="containsText" text="No">
      <formula>NOT(ISERROR(SEARCH("No",I6)))</formula>
    </cfRule>
    <cfRule type="containsText" dxfId="125" priority="18" operator="containsText" text="Yes">
      <formula>NOT(ISERROR(SEARCH("Yes",I6)))</formula>
    </cfRule>
  </conditionalFormatting>
  <conditionalFormatting sqref="E10:G10">
    <cfRule type="containsText" dxfId="124" priority="3" operator="containsText" text="Yes">
      <formula>NOT(ISERROR(SEARCH("Yes",E10)))</formula>
    </cfRule>
    <cfRule type="containsText" dxfId="123" priority="4" operator="containsText" text="No">
      <formula>NOT(ISERROR(SEARCH("No",E10)))</formula>
    </cfRule>
  </conditionalFormatting>
  <conditionalFormatting sqref="I10">
    <cfRule type="containsText" dxfId="122" priority="1" operator="containsText" text="No">
      <formula>NOT(ISERROR(SEARCH("No",I10)))</formula>
    </cfRule>
    <cfRule type="containsText" dxfId="121" priority="2" operator="containsText" text="Yes">
      <formula>NOT(ISERROR(SEARCH("Yes",I10)))</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6F9E4576-122E-4F1D-A3A0-D364BAE9C558}">
          <x14:formula1>
            <xm:f>'Data validation'!$C$2:$C$4</xm:f>
          </x14:formula1>
          <xm:sqref>F32:G34 I32:I34 F2:G21 I2:I21</xm:sqref>
        </x14:dataValidation>
        <x14:dataValidation type="list" allowBlank="1" showInputMessage="1" showErrorMessage="1" xr:uid="{CA0A1E5D-D1C7-4BE8-A016-9C19FD471F56}">
          <x14:formula1>
            <xm:f>'Data validation'!$A$2:$A$3</xm:f>
          </x14:formula1>
          <xm:sqref>E32:E34 E2:E21</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D021F8-0C1B-474D-9CD9-88EECC5DFF15}">
  <dimension ref="A1:S30"/>
  <sheetViews>
    <sheetView topLeftCell="A15" workbookViewId="0">
      <pane xSplit="1" topLeftCell="G1" activePane="topRight" state="frozen"/>
      <selection pane="topRight" activeCell="H38" sqref="H38"/>
    </sheetView>
  </sheetViews>
  <sheetFormatPr defaultRowHeight="14.4" x14ac:dyDescent="0.3"/>
  <cols>
    <col min="1" max="1" width="15.33203125" customWidth="1"/>
    <col min="2" max="2" width="34.44140625" customWidth="1"/>
    <col min="3" max="3" width="59.44140625" customWidth="1"/>
    <col min="4" max="4" width="18.6640625" customWidth="1"/>
    <col min="5" max="5" width="17.33203125" customWidth="1"/>
    <col min="6" max="6" width="23.6640625" customWidth="1"/>
    <col min="7" max="7" width="29.44140625" customWidth="1"/>
    <col min="8" max="8" width="52.33203125" customWidth="1"/>
    <col min="9" max="9" width="79.6640625" customWidth="1"/>
    <col min="10" max="10" width="15.6640625" bestFit="1" customWidth="1"/>
    <col min="11" max="11" width="16.109375" customWidth="1"/>
    <col min="12" max="12" width="20.44140625" customWidth="1"/>
    <col min="13" max="13" width="15.44140625" customWidth="1"/>
    <col min="14" max="14" width="19.44140625" customWidth="1"/>
    <col min="15" max="15" width="16.109375" customWidth="1"/>
    <col min="16" max="17" width="20.44140625" customWidth="1"/>
    <col min="18" max="18" width="28.33203125" customWidth="1"/>
    <col min="19" max="19" width="58.33203125" customWidth="1"/>
  </cols>
  <sheetData>
    <row r="1" spans="1:19" ht="15" thickBot="1" x14ac:dyDescent="0.35">
      <c r="A1" s="1" t="s">
        <v>336</v>
      </c>
      <c r="B1" s="1" t="s">
        <v>2</v>
      </c>
      <c r="C1" s="1" t="s">
        <v>3</v>
      </c>
      <c r="D1" s="1" t="s">
        <v>4</v>
      </c>
      <c r="E1" s="1" t="s">
        <v>264</v>
      </c>
      <c r="F1" s="1" t="s">
        <v>104</v>
      </c>
      <c r="G1" s="1" t="s">
        <v>105</v>
      </c>
      <c r="H1" s="2" t="s">
        <v>102</v>
      </c>
      <c r="I1" s="2" t="s">
        <v>117</v>
      </c>
      <c r="J1" s="2" t="s">
        <v>106</v>
      </c>
      <c r="K1" s="2" t="s">
        <v>107</v>
      </c>
      <c r="L1" s="2" t="s">
        <v>186</v>
      </c>
      <c r="M1" s="2" t="s">
        <v>108</v>
      </c>
      <c r="N1" s="2" t="s">
        <v>109</v>
      </c>
      <c r="O1" s="2" t="s">
        <v>110</v>
      </c>
      <c r="P1" s="2" t="s">
        <v>160</v>
      </c>
      <c r="Q1" s="2" t="s">
        <v>111</v>
      </c>
      <c r="R1" s="2" t="s">
        <v>337</v>
      </c>
      <c r="S1" s="3" t="s">
        <v>6</v>
      </c>
    </row>
    <row r="2" spans="1:19" x14ac:dyDescent="0.3">
      <c r="A2" s="7" t="s">
        <v>229</v>
      </c>
      <c r="B2" t="s">
        <v>36</v>
      </c>
      <c r="C2" t="s">
        <v>37</v>
      </c>
      <c r="D2">
        <v>2018</v>
      </c>
      <c r="E2" t="s">
        <v>112</v>
      </c>
      <c r="F2" t="s">
        <v>113</v>
      </c>
      <c r="G2" t="s">
        <v>114</v>
      </c>
      <c r="H2" t="s">
        <v>118</v>
      </c>
      <c r="I2" s="9" t="s">
        <v>366</v>
      </c>
      <c r="J2" t="s">
        <v>1</v>
      </c>
      <c r="K2" t="s">
        <v>10</v>
      </c>
      <c r="L2" t="s">
        <v>10</v>
      </c>
      <c r="M2" t="s">
        <v>10</v>
      </c>
      <c r="N2" t="s">
        <v>0</v>
      </c>
      <c r="O2" t="s">
        <v>120</v>
      </c>
      <c r="P2" s="5">
        <v>61.302857142857142</v>
      </c>
      <c r="Q2" s="5">
        <v>8.3072075620507917</v>
      </c>
      <c r="R2" s="5" t="s">
        <v>1</v>
      </c>
      <c r="S2" t="s">
        <v>353</v>
      </c>
    </row>
    <row r="3" spans="1:19" x14ac:dyDescent="0.3">
      <c r="A3" s="7" t="s">
        <v>235</v>
      </c>
      <c r="B3" t="s">
        <v>38</v>
      </c>
      <c r="C3" t="s">
        <v>39</v>
      </c>
      <c r="D3">
        <v>2017</v>
      </c>
      <c r="E3" t="s">
        <v>123</v>
      </c>
      <c r="F3" t="s">
        <v>124</v>
      </c>
      <c r="G3" t="s">
        <v>114</v>
      </c>
      <c r="H3" t="s">
        <v>118</v>
      </c>
      <c r="I3" s="9" t="s">
        <v>335</v>
      </c>
      <c r="J3" t="s">
        <v>1</v>
      </c>
      <c r="K3" t="s">
        <v>10</v>
      </c>
      <c r="L3" t="s">
        <v>10</v>
      </c>
      <c r="M3" t="s">
        <v>10</v>
      </c>
      <c r="N3" t="s">
        <v>0</v>
      </c>
      <c r="O3" t="s">
        <v>125</v>
      </c>
      <c r="P3" s="5">
        <v>44.736842105263158</v>
      </c>
      <c r="Q3" s="5">
        <v>9.9305064547964257</v>
      </c>
      <c r="R3" s="5" t="s">
        <v>0</v>
      </c>
    </row>
    <row r="4" spans="1:19" x14ac:dyDescent="0.3">
      <c r="A4" s="7" t="s">
        <v>236</v>
      </c>
      <c r="B4" t="s">
        <v>40</v>
      </c>
      <c r="C4" t="s">
        <v>41</v>
      </c>
      <c r="D4">
        <v>2016</v>
      </c>
      <c r="E4" t="s">
        <v>161</v>
      </c>
      <c r="F4" t="s">
        <v>162</v>
      </c>
      <c r="G4" t="s">
        <v>115</v>
      </c>
      <c r="H4" t="s">
        <v>119</v>
      </c>
      <c r="I4" s="9" t="s">
        <v>334</v>
      </c>
      <c r="J4" t="s">
        <v>1</v>
      </c>
      <c r="K4" t="s">
        <v>10</v>
      </c>
      <c r="L4" t="s">
        <v>10</v>
      </c>
      <c r="M4" t="s">
        <v>10</v>
      </c>
      <c r="N4" t="s">
        <v>1</v>
      </c>
      <c r="O4" t="s">
        <v>10</v>
      </c>
      <c r="P4" t="s">
        <v>10</v>
      </c>
      <c r="Q4" t="s">
        <v>10</v>
      </c>
      <c r="R4" t="s">
        <v>1</v>
      </c>
      <c r="S4" t="s">
        <v>185</v>
      </c>
    </row>
    <row r="5" spans="1:19" x14ac:dyDescent="0.3">
      <c r="A5" s="7" t="s">
        <v>230</v>
      </c>
      <c r="B5" t="s">
        <v>42</v>
      </c>
      <c r="C5" t="s">
        <v>43</v>
      </c>
      <c r="D5">
        <v>2018</v>
      </c>
      <c r="E5" t="s">
        <v>164</v>
      </c>
      <c r="F5" t="s">
        <v>163</v>
      </c>
      <c r="G5" t="s">
        <v>115</v>
      </c>
      <c r="H5" t="s">
        <v>119</v>
      </c>
      <c r="I5" s="9" t="s">
        <v>165</v>
      </c>
      <c r="J5" t="s">
        <v>0</v>
      </c>
      <c r="K5" t="s">
        <v>166</v>
      </c>
      <c r="L5" s="5">
        <v>46.875</v>
      </c>
      <c r="M5" s="5">
        <v>10.781929326423912</v>
      </c>
      <c r="N5" t="s">
        <v>1</v>
      </c>
      <c r="O5" t="s">
        <v>10</v>
      </c>
      <c r="P5" t="s">
        <v>10</v>
      </c>
      <c r="Q5" t="s">
        <v>10</v>
      </c>
      <c r="R5" t="s">
        <v>1</v>
      </c>
      <c r="S5" t="s">
        <v>354</v>
      </c>
    </row>
    <row r="6" spans="1:19" x14ac:dyDescent="0.3">
      <c r="A6" s="7" t="s">
        <v>330</v>
      </c>
      <c r="B6" t="s">
        <v>46</v>
      </c>
      <c r="C6" t="s">
        <v>47</v>
      </c>
      <c r="D6">
        <v>2020</v>
      </c>
      <c r="E6" t="s">
        <v>263</v>
      </c>
      <c r="F6" t="s">
        <v>265</v>
      </c>
      <c r="G6" t="s">
        <v>114</v>
      </c>
      <c r="H6" t="s">
        <v>119</v>
      </c>
      <c r="I6" s="9" t="s">
        <v>266</v>
      </c>
      <c r="J6" t="s">
        <v>1</v>
      </c>
      <c r="K6" t="s">
        <v>10</v>
      </c>
      <c r="L6" t="s">
        <v>10</v>
      </c>
      <c r="M6" t="s">
        <v>10</v>
      </c>
      <c r="N6" t="s">
        <v>0</v>
      </c>
      <c r="O6" t="s">
        <v>125</v>
      </c>
      <c r="P6" s="5">
        <v>26.808510638297872</v>
      </c>
      <c r="Q6" s="5">
        <v>5.9367620287286211</v>
      </c>
      <c r="R6" s="5" t="s">
        <v>1</v>
      </c>
      <c r="S6" t="s">
        <v>267</v>
      </c>
    </row>
    <row r="7" spans="1:19" x14ac:dyDescent="0.3">
      <c r="A7" s="7" t="s">
        <v>246</v>
      </c>
      <c r="B7" t="s">
        <v>48</v>
      </c>
      <c r="C7" t="s">
        <v>49</v>
      </c>
      <c r="D7">
        <v>2016</v>
      </c>
      <c r="E7" t="s">
        <v>164</v>
      </c>
      <c r="F7" t="s">
        <v>168</v>
      </c>
      <c r="G7" t="s">
        <v>114</v>
      </c>
      <c r="H7" t="s">
        <v>170</v>
      </c>
      <c r="I7" s="9" t="s">
        <v>169</v>
      </c>
      <c r="J7" t="s">
        <v>0</v>
      </c>
      <c r="K7" t="s">
        <v>166</v>
      </c>
      <c r="L7" s="5">
        <v>50.270270270270274</v>
      </c>
      <c r="M7" s="5">
        <v>12.580073857424612</v>
      </c>
      <c r="N7" t="s">
        <v>1</v>
      </c>
      <c r="O7" t="s">
        <v>10</v>
      </c>
      <c r="P7" t="s">
        <v>10</v>
      </c>
      <c r="Q7" t="s">
        <v>10</v>
      </c>
      <c r="R7" t="s">
        <v>0</v>
      </c>
    </row>
    <row r="8" spans="1:19" x14ac:dyDescent="0.3">
      <c r="A8" s="7" t="s">
        <v>239</v>
      </c>
      <c r="B8" t="s">
        <v>54</v>
      </c>
      <c r="C8" t="s">
        <v>55</v>
      </c>
      <c r="D8">
        <v>2016</v>
      </c>
      <c r="E8" t="s">
        <v>164</v>
      </c>
      <c r="F8" t="s">
        <v>174</v>
      </c>
      <c r="G8" t="s">
        <v>115</v>
      </c>
      <c r="H8" t="s">
        <v>103</v>
      </c>
      <c r="I8" s="9" t="s">
        <v>176</v>
      </c>
      <c r="J8" t="s">
        <v>0</v>
      </c>
      <c r="K8" t="s">
        <v>166</v>
      </c>
      <c r="L8" s="5">
        <v>56.534954407294848</v>
      </c>
      <c r="M8" s="5">
        <v>16.30386011214636</v>
      </c>
      <c r="N8" t="s">
        <v>1</v>
      </c>
      <c r="O8" t="s">
        <v>10</v>
      </c>
      <c r="P8" t="s">
        <v>10</v>
      </c>
      <c r="Q8" t="s">
        <v>10</v>
      </c>
      <c r="R8" t="s">
        <v>0</v>
      </c>
      <c r="S8" t="s">
        <v>177</v>
      </c>
    </row>
    <row r="9" spans="1:19" x14ac:dyDescent="0.3">
      <c r="A9" s="7" t="s">
        <v>238</v>
      </c>
      <c r="B9" t="s">
        <v>56</v>
      </c>
      <c r="C9" t="s">
        <v>57</v>
      </c>
      <c r="D9">
        <v>2018</v>
      </c>
      <c r="E9" t="s">
        <v>179</v>
      </c>
      <c r="F9" t="s">
        <v>178</v>
      </c>
      <c r="G9" t="s">
        <v>114</v>
      </c>
      <c r="H9" t="s">
        <v>170</v>
      </c>
      <c r="I9" s="9" t="s">
        <v>180</v>
      </c>
      <c r="J9" t="s">
        <v>1</v>
      </c>
      <c r="K9" t="s">
        <v>10</v>
      </c>
      <c r="L9" t="s">
        <v>10</v>
      </c>
      <c r="M9" t="s">
        <v>10</v>
      </c>
      <c r="N9" t="s">
        <v>0</v>
      </c>
      <c r="O9" t="s">
        <v>182</v>
      </c>
      <c r="P9" s="5">
        <v>38.571428571428562</v>
      </c>
      <c r="Q9" s="5">
        <v>13.552618543578816</v>
      </c>
      <c r="R9" s="5" t="s">
        <v>1</v>
      </c>
      <c r="S9" t="s">
        <v>189</v>
      </c>
    </row>
    <row r="10" spans="1:19" x14ac:dyDescent="0.3">
      <c r="A10" s="7" t="s">
        <v>231</v>
      </c>
      <c r="B10" t="s">
        <v>60</v>
      </c>
      <c r="C10" t="s">
        <v>61</v>
      </c>
      <c r="D10">
        <v>2013</v>
      </c>
      <c r="E10" t="s">
        <v>164</v>
      </c>
      <c r="F10" t="s">
        <v>183</v>
      </c>
      <c r="G10" t="s">
        <v>116</v>
      </c>
      <c r="H10" t="s">
        <v>118</v>
      </c>
      <c r="I10" s="9" t="s">
        <v>184</v>
      </c>
      <c r="J10" t="s">
        <v>0</v>
      </c>
      <c r="K10" t="s">
        <v>166</v>
      </c>
      <c r="L10" s="5">
        <v>48.75</v>
      </c>
      <c r="M10" s="5">
        <v>13.562026818605375</v>
      </c>
      <c r="N10" t="s">
        <v>1</v>
      </c>
      <c r="O10" t="s">
        <v>10</v>
      </c>
      <c r="P10" t="s">
        <v>10</v>
      </c>
      <c r="Q10" t="s">
        <v>10</v>
      </c>
      <c r="R10" t="s">
        <v>0</v>
      </c>
      <c r="S10" t="s">
        <v>355</v>
      </c>
    </row>
    <row r="11" spans="1:19" x14ac:dyDescent="0.3">
      <c r="A11" s="7" t="s">
        <v>240</v>
      </c>
      <c r="B11" t="s">
        <v>62</v>
      </c>
      <c r="C11" t="s">
        <v>63</v>
      </c>
      <c r="D11">
        <v>2019</v>
      </c>
      <c r="E11" t="s">
        <v>188</v>
      </c>
      <c r="F11" t="s">
        <v>187</v>
      </c>
      <c r="G11" t="s">
        <v>115</v>
      </c>
      <c r="H11" t="s">
        <v>119</v>
      </c>
      <c r="I11" s="9" t="s">
        <v>367</v>
      </c>
      <c r="J11" t="s">
        <v>1</v>
      </c>
      <c r="K11" t="s">
        <v>10</v>
      </c>
      <c r="L11" t="s">
        <v>10</v>
      </c>
      <c r="M11" t="s">
        <v>10</v>
      </c>
      <c r="N11" t="s">
        <v>0</v>
      </c>
      <c r="O11" t="s">
        <v>191</v>
      </c>
      <c r="P11" s="5">
        <v>49.565217391304351</v>
      </c>
      <c r="Q11" s="5">
        <v>18.944478895773589</v>
      </c>
      <c r="R11" s="5" t="s">
        <v>1</v>
      </c>
      <c r="S11" t="s">
        <v>190</v>
      </c>
    </row>
    <row r="12" spans="1:19" x14ac:dyDescent="0.3">
      <c r="A12" s="7" t="s">
        <v>232</v>
      </c>
      <c r="B12" t="s">
        <v>64</v>
      </c>
      <c r="C12" t="s">
        <v>65</v>
      </c>
      <c r="D12">
        <v>2015</v>
      </c>
      <c r="E12" t="s">
        <v>193</v>
      </c>
      <c r="F12" t="s">
        <v>192</v>
      </c>
      <c r="G12" t="s">
        <v>114</v>
      </c>
      <c r="H12" t="s">
        <v>118</v>
      </c>
      <c r="I12" s="9" t="s">
        <v>194</v>
      </c>
      <c r="J12" t="s">
        <v>1</v>
      </c>
      <c r="K12" t="s">
        <v>10</v>
      </c>
      <c r="L12" t="s">
        <v>10</v>
      </c>
      <c r="M12" t="s">
        <v>10</v>
      </c>
      <c r="N12" t="s">
        <v>0</v>
      </c>
      <c r="O12" t="s">
        <v>125</v>
      </c>
      <c r="P12" s="5">
        <v>22.916666666666668</v>
      </c>
      <c r="Q12" s="5">
        <v>14.917703535996377</v>
      </c>
      <c r="R12" s="5" t="s">
        <v>0</v>
      </c>
      <c r="S12" t="s">
        <v>199</v>
      </c>
    </row>
    <row r="13" spans="1:19" x14ac:dyDescent="0.3">
      <c r="A13" s="7" t="s">
        <v>233</v>
      </c>
      <c r="B13" t="s">
        <v>66</v>
      </c>
      <c r="C13" t="s">
        <v>67</v>
      </c>
      <c r="D13">
        <v>2014</v>
      </c>
      <c r="E13" t="s">
        <v>200</v>
      </c>
      <c r="F13" t="s">
        <v>178</v>
      </c>
      <c r="G13" t="s">
        <v>114</v>
      </c>
      <c r="H13" t="s">
        <v>118</v>
      </c>
      <c r="I13" s="9" t="s">
        <v>201</v>
      </c>
      <c r="J13" t="s">
        <v>0</v>
      </c>
      <c r="K13" t="s">
        <v>202</v>
      </c>
      <c r="L13" s="5">
        <v>52</v>
      </c>
      <c r="M13" s="5">
        <v>18.806493839265091</v>
      </c>
      <c r="N13" t="s">
        <v>1</v>
      </c>
      <c r="O13" t="s">
        <v>10</v>
      </c>
      <c r="P13" t="s">
        <v>10</v>
      </c>
      <c r="Q13" t="s">
        <v>10</v>
      </c>
      <c r="R13" t="s">
        <v>0</v>
      </c>
    </row>
    <row r="14" spans="1:19" x14ac:dyDescent="0.3">
      <c r="A14" s="7" t="s">
        <v>237</v>
      </c>
      <c r="B14" t="s">
        <v>68</v>
      </c>
      <c r="C14" t="s">
        <v>69</v>
      </c>
      <c r="D14">
        <v>2018</v>
      </c>
      <c r="E14" t="s">
        <v>164</v>
      </c>
      <c r="F14" t="s">
        <v>203</v>
      </c>
      <c r="G14" t="s">
        <v>114</v>
      </c>
      <c r="H14" t="s">
        <v>118</v>
      </c>
      <c r="I14" s="9" t="s">
        <v>204</v>
      </c>
      <c r="J14" t="s">
        <v>0</v>
      </c>
      <c r="K14" t="s">
        <v>166</v>
      </c>
      <c r="L14" s="5">
        <v>44.782608695652172</v>
      </c>
      <c r="M14" s="5">
        <v>8.9795551708975978</v>
      </c>
      <c r="N14" t="s">
        <v>1</v>
      </c>
      <c r="O14" t="s">
        <v>10</v>
      </c>
      <c r="P14" t="s">
        <v>10</v>
      </c>
      <c r="Q14" t="s">
        <v>10</v>
      </c>
      <c r="R14" t="s">
        <v>1</v>
      </c>
    </row>
    <row r="15" spans="1:19" x14ac:dyDescent="0.3">
      <c r="A15" s="7" t="s">
        <v>241</v>
      </c>
      <c r="B15" t="s">
        <v>70</v>
      </c>
      <c r="C15" t="s">
        <v>71</v>
      </c>
      <c r="D15">
        <v>2017</v>
      </c>
      <c r="E15" t="s">
        <v>205</v>
      </c>
      <c r="F15" t="s">
        <v>206</v>
      </c>
      <c r="G15" t="s">
        <v>115</v>
      </c>
      <c r="H15" t="s">
        <v>119</v>
      </c>
      <c r="I15" s="9" t="s">
        <v>207</v>
      </c>
      <c r="J15" t="s">
        <v>1</v>
      </c>
      <c r="K15" t="s">
        <v>10</v>
      </c>
      <c r="L15" t="s">
        <v>10</v>
      </c>
      <c r="M15" t="s">
        <v>10</v>
      </c>
      <c r="N15" t="s">
        <v>1</v>
      </c>
      <c r="O15" t="s">
        <v>10</v>
      </c>
      <c r="P15" t="s">
        <v>10</v>
      </c>
      <c r="Q15" t="s">
        <v>10</v>
      </c>
      <c r="R15" t="s">
        <v>1</v>
      </c>
      <c r="S15" t="s">
        <v>208</v>
      </c>
    </row>
    <row r="16" spans="1:19" x14ac:dyDescent="0.3">
      <c r="A16" s="7" t="s">
        <v>234</v>
      </c>
      <c r="B16" t="s">
        <v>72</v>
      </c>
      <c r="C16" t="s">
        <v>73</v>
      </c>
      <c r="D16">
        <v>2019</v>
      </c>
      <c r="E16" t="s">
        <v>209</v>
      </c>
      <c r="F16" t="s">
        <v>219</v>
      </c>
      <c r="G16" t="s">
        <v>114</v>
      </c>
      <c r="H16" t="s">
        <v>119</v>
      </c>
      <c r="I16" s="9" t="s">
        <v>210</v>
      </c>
      <c r="J16" t="s">
        <v>0</v>
      </c>
      <c r="K16" t="s">
        <v>247</v>
      </c>
      <c r="L16" s="5">
        <v>46.92307692307692</v>
      </c>
      <c r="M16" s="5">
        <v>11.638081766754055</v>
      </c>
      <c r="N16" t="s">
        <v>0</v>
      </c>
      <c r="O16" t="s">
        <v>125</v>
      </c>
      <c r="P16" s="5">
        <v>52.307692307692307</v>
      </c>
      <c r="Q16" s="5">
        <v>20.733167953635679</v>
      </c>
      <c r="R16" s="5" t="s">
        <v>0</v>
      </c>
      <c r="S16" t="s">
        <v>224</v>
      </c>
    </row>
    <row r="17" spans="1:19" x14ac:dyDescent="0.3">
      <c r="A17" s="7" t="s">
        <v>242</v>
      </c>
      <c r="B17" t="s">
        <v>76</v>
      </c>
      <c r="C17" t="s">
        <v>77</v>
      </c>
      <c r="D17">
        <v>2019</v>
      </c>
      <c r="E17" t="s">
        <v>213</v>
      </c>
      <c r="F17" t="s">
        <v>214</v>
      </c>
      <c r="G17" t="s">
        <v>114</v>
      </c>
      <c r="H17" t="s">
        <v>118</v>
      </c>
      <c r="I17" s="9" t="s">
        <v>215</v>
      </c>
      <c r="J17" t="s">
        <v>1</v>
      </c>
      <c r="K17" t="s">
        <v>10</v>
      </c>
      <c r="L17" t="s">
        <v>10</v>
      </c>
      <c r="M17" t="s">
        <v>10</v>
      </c>
      <c r="N17" t="s">
        <v>0</v>
      </c>
      <c r="O17" t="s">
        <v>125</v>
      </c>
      <c r="P17" s="5">
        <v>7.3170731707317076</v>
      </c>
      <c r="Q17" s="5">
        <v>7.4244158840620047</v>
      </c>
      <c r="R17" s="5" t="s">
        <v>0</v>
      </c>
      <c r="S17" t="s">
        <v>216</v>
      </c>
    </row>
    <row r="18" spans="1:19" x14ac:dyDescent="0.3">
      <c r="A18" s="7" t="s">
        <v>245</v>
      </c>
      <c r="B18" t="s">
        <v>78</v>
      </c>
      <c r="C18" t="s">
        <v>79</v>
      </c>
      <c r="D18">
        <v>2018</v>
      </c>
      <c r="E18" t="s">
        <v>218</v>
      </c>
      <c r="F18" t="s">
        <v>217</v>
      </c>
      <c r="G18" t="s">
        <v>115</v>
      </c>
      <c r="H18" t="s">
        <v>119</v>
      </c>
      <c r="I18" s="9" t="s">
        <v>220</v>
      </c>
      <c r="J18" t="s">
        <v>1</v>
      </c>
      <c r="K18" t="s">
        <v>10</v>
      </c>
      <c r="L18" t="s">
        <v>10</v>
      </c>
      <c r="M18" t="s">
        <v>10</v>
      </c>
      <c r="N18" t="s">
        <v>0</v>
      </c>
      <c r="O18" t="s">
        <v>125</v>
      </c>
      <c r="P18" s="5">
        <v>18.385964912280706</v>
      </c>
      <c r="Q18" s="5">
        <v>11.535361994079475</v>
      </c>
      <c r="R18" s="5" t="s">
        <v>1</v>
      </c>
    </row>
    <row r="19" spans="1:19" x14ac:dyDescent="0.3">
      <c r="A19" s="7" t="s">
        <v>331</v>
      </c>
      <c r="B19" t="s">
        <v>80</v>
      </c>
      <c r="C19" t="s">
        <v>81</v>
      </c>
      <c r="D19">
        <v>2011</v>
      </c>
      <c r="E19" t="s">
        <v>269</v>
      </c>
      <c r="F19" t="s">
        <v>178</v>
      </c>
      <c r="G19" t="s">
        <v>114</v>
      </c>
      <c r="H19" t="s">
        <v>170</v>
      </c>
      <c r="I19" s="9" t="s">
        <v>270</v>
      </c>
      <c r="J19" t="s">
        <v>0</v>
      </c>
      <c r="K19" t="s">
        <v>332</v>
      </c>
      <c r="L19" s="5">
        <v>25.76923076923077</v>
      </c>
      <c r="M19" s="5">
        <v>17.416034289615816</v>
      </c>
      <c r="N19" t="s">
        <v>1</v>
      </c>
      <c r="O19" t="s">
        <v>10</v>
      </c>
      <c r="P19" t="s">
        <v>10</v>
      </c>
      <c r="Q19" t="s">
        <v>10</v>
      </c>
      <c r="R19" t="s">
        <v>0</v>
      </c>
    </row>
    <row r="20" spans="1:19" x14ac:dyDescent="0.3">
      <c r="A20" s="7" t="s">
        <v>243</v>
      </c>
      <c r="B20" t="s">
        <v>82</v>
      </c>
      <c r="C20" t="s">
        <v>83</v>
      </c>
      <c r="D20">
        <v>2013</v>
      </c>
      <c r="E20" t="s">
        <v>164</v>
      </c>
      <c r="F20" t="s">
        <v>221</v>
      </c>
      <c r="G20" t="s">
        <v>114</v>
      </c>
      <c r="H20" t="s">
        <v>118</v>
      </c>
      <c r="I20" s="9" t="s">
        <v>222</v>
      </c>
      <c r="J20" t="s">
        <v>0</v>
      </c>
      <c r="K20" t="s">
        <v>166</v>
      </c>
      <c r="L20" s="5">
        <v>33.75</v>
      </c>
      <c r="M20" s="5">
        <v>9.4508296894072643</v>
      </c>
      <c r="N20" t="s">
        <v>1</v>
      </c>
      <c r="O20" t="s">
        <v>10</v>
      </c>
      <c r="P20" t="s">
        <v>10</v>
      </c>
      <c r="Q20" t="s">
        <v>10</v>
      </c>
      <c r="R20" t="s">
        <v>0</v>
      </c>
      <c r="S20" t="s">
        <v>223</v>
      </c>
    </row>
    <row r="21" spans="1:19" x14ac:dyDescent="0.3">
      <c r="A21" s="7" t="s">
        <v>244</v>
      </c>
      <c r="B21" t="s">
        <v>86</v>
      </c>
      <c r="C21" t="s">
        <v>87</v>
      </c>
      <c r="D21">
        <v>2018</v>
      </c>
      <c r="E21" t="s">
        <v>225</v>
      </c>
      <c r="F21" t="s">
        <v>226</v>
      </c>
      <c r="G21" t="s">
        <v>114</v>
      </c>
      <c r="H21" t="s">
        <v>170</v>
      </c>
      <c r="I21" s="9" t="s">
        <v>227</v>
      </c>
      <c r="J21" t="s">
        <v>0</v>
      </c>
      <c r="K21" t="s">
        <v>166</v>
      </c>
      <c r="L21" s="5">
        <v>54.375</v>
      </c>
      <c r="M21" s="5">
        <v>11.528949070347508</v>
      </c>
      <c r="N21" t="s">
        <v>1</v>
      </c>
      <c r="O21" t="s">
        <v>10</v>
      </c>
      <c r="P21" t="s">
        <v>10</v>
      </c>
      <c r="Q21" t="s">
        <v>10</v>
      </c>
      <c r="R21" t="s">
        <v>0</v>
      </c>
      <c r="S21" t="s">
        <v>228</v>
      </c>
    </row>
    <row r="27" spans="1:19" x14ac:dyDescent="0.3">
      <c r="B27" s="6" t="s">
        <v>344</v>
      </c>
    </row>
    <row r="28" spans="1:19" x14ac:dyDescent="0.3">
      <c r="B28" t="s">
        <v>50</v>
      </c>
      <c r="C28" t="s">
        <v>51</v>
      </c>
      <c r="D28">
        <v>2019</v>
      </c>
      <c r="E28" t="s">
        <v>171</v>
      </c>
      <c r="F28" t="s">
        <v>175</v>
      </c>
      <c r="G28" t="s">
        <v>114</v>
      </c>
      <c r="H28" t="s">
        <v>170</v>
      </c>
      <c r="I28" s="9" t="s">
        <v>172</v>
      </c>
      <c r="J28" t="s">
        <v>0</v>
      </c>
      <c r="K28" t="s">
        <v>173</v>
      </c>
      <c r="L28" t="s">
        <v>253</v>
      </c>
      <c r="M28" t="s">
        <v>253</v>
      </c>
      <c r="N28" t="s">
        <v>1</v>
      </c>
      <c r="O28" t="s">
        <v>10</v>
      </c>
      <c r="P28" t="s">
        <v>10</v>
      </c>
      <c r="Q28" t="s">
        <v>10</v>
      </c>
      <c r="S28" t="s">
        <v>181</v>
      </c>
    </row>
    <row r="29" spans="1:19" x14ac:dyDescent="0.3">
      <c r="B29" t="s">
        <v>74</v>
      </c>
      <c r="C29" t="s">
        <v>75</v>
      </c>
      <c r="D29">
        <v>2018</v>
      </c>
      <c r="E29" t="s">
        <v>249</v>
      </c>
      <c r="F29" t="s">
        <v>248</v>
      </c>
      <c r="G29" t="s">
        <v>114</v>
      </c>
      <c r="H29" t="s">
        <v>118</v>
      </c>
      <c r="I29" s="9" t="s">
        <v>250</v>
      </c>
      <c r="J29" t="s">
        <v>0</v>
      </c>
      <c r="K29" t="s">
        <v>251</v>
      </c>
      <c r="L29" t="s">
        <v>253</v>
      </c>
      <c r="M29" t="s">
        <v>253</v>
      </c>
      <c r="N29" t="s">
        <v>1</v>
      </c>
      <c r="O29" t="s">
        <v>10</v>
      </c>
      <c r="P29" t="s">
        <v>10</v>
      </c>
      <c r="Q29" t="s">
        <v>10</v>
      </c>
      <c r="S29" t="s">
        <v>252</v>
      </c>
    </row>
    <row r="30" spans="1:19" x14ac:dyDescent="0.3">
      <c r="B30" t="s">
        <v>58</v>
      </c>
      <c r="C30" t="s">
        <v>59</v>
      </c>
      <c r="D30">
        <v>2012</v>
      </c>
      <c r="J30" t="s">
        <v>0</v>
      </c>
      <c r="S30" t="s">
        <v>268</v>
      </c>
    </row>
  </sheetData>
  <conditionalFormatting sqref="H1:I27 H30:I1048576">
    <cfRule type="cellIs" dxfId="120" priority="128" operator="equal">
      <formula>"Robust evidence, no extra needed"</formula>
    </cfRule>
    <cfRule type="cellIs" dxfId="119" priority="129" operator="equal">
      <formula>"Not enough evidence, more needed"</formula>
    </cfRule>
    <cfRule type="containsText" dxfId="118" priority="131" operator="containsText" text="More evidence would be beneficial">
      <formula>NOT(ISERROR(SEARCH("More evidence would be beneficial",H1)))</formula>
    </cfRule>
  </conditionalFormatting>
  <conditionalFormatting sqref="G2:G27 G30:G1048576">
    <cfRule type="cellIs" dxfId="117" priority="130" operator="equal">
      <formula>"Effective"</formula>
    </cfRule>
  </conditionalFormatting>
  <conditionalFormatting sqref="G1:G27 G30:G1048576">
    <cfRule type="cellIs" dxfId="116" priority="126" operator="equal">
      <formula>"Not Effective"</formula>
    </cfRule>
    <cfRule type="cellIs" dxfId="115" priority="127" operator="equal">
      <formula>"Unsure"</formula>
    </cfRule>
  </conditionalFormatting>
  <conditionalFormatting sqref="J1:J27 K2:M2 K5 O8:S8 I8 S9 J30:J1048576 K7:M7">
    <cfRule type="cellIs" dxfId="114" priority="124" operator="equal">
      <formula>"No"</formula>
    </cfRule>
    <cfRule type="cellIs" dxfId="113" priority="125" operator="equal">
      <formula>"Yes"</formula>
    </cfRule>
  </conditionalFormatting>
  <conditionalFormatting sqref="N1:N27 P2:R2 N30:N1048576">
    <cfRule type="cellIs" dxfId="112" priority="122" operator="equal">
      <formula>"No"</formula>
    </cfRule>
    <cfRule type="cellIs" dxfId="111" priority="123" operator="equal">
      <formula>"Yes"</formula>
    </cfRule>
  </conditionalFormatting>
  <conditionalFormatting sqref="O2">
    <cfRule type="cellIs" dxfId="110" priority="118" operator="equal">
      <formula>"No"</formula>
    </cfRule>
    <cfRule type="cellIs" dxfId="109" priority="119" operator="equal">
      <formula>"Yes"</formula>
    </cfRule>
  </conditionalFormatting>
  <conditionalFormatting sqref="K3:M3 O3">
    <cfRule type="cellIs" dxfId="108" priority="114" operator="equal">
      <formula>"No"</formula>
    </cfRule>
    <cfRule type="cellIs" dxfId="107" priority="115" operator="equal">
      <formula>"Yes"</formula>
    </cfRule>
  </conditionalFormatting>
  <conditionalFormatting sqref="K4:M4">
    <cfRule type="cellIs" dxfId="106" priority="112" operator="equal">
      <formula>"No"</formula>
    </cfRule>
    <cfRule type="cellIs" dxfId="105" priority="113" operator="equal">
      <formula>"Yes"</formula>
    </cfRule>
  </conditionalFormatting>
  <conditionalFormatting sqref="O4:S4">
    <cfRule type="cellIs" dxfId="104" priority="110" operator="equal">
      <formula>"No"</formula>
    </cfRule>
    <cfRule type="cellIs" dxfId="103" priority="111" operator="equal">
      <formula>"Yes"</formula>
    </cfRule>
  </conditionalFormatting>
  <conditionalFormatting sqref="O5:R5">
    <cfRule type="cellIs" dxfId="102" priority="108" operator="equal">
      <formula>"No"</formula>
    </cfRule>
    <cfRule type="cellIs" dxfId="101" priority="109" operator="equal">
      <formula>"Yes"</formula>
    </cfRule>
  </conditionalFormatting>
  <conditionalFormatting sqref="H2:I27 H30:I1048576">
    <cfRule type="cellIs" dxfId="100" priority="107" operator="equal">
      <formula>"Robust evidence, extra could refine results but is not essential"</formula>
    </cfRule>
  </conditionalFormatting>
  <conditionalFormatting sqref="P6:R6">
    <cfRule type="cellIs" dxfId="99" priority="105" operator="equal">
      <formula>"No"</formula>
    </cfRule>
    <cfRule type="cellIs" dxfId="98" priority="106" operator="equal">
      <formula>"Yes"</formula>
    </cfRule>
  </conditionalFormatting>
  <conditionalFormatting sqref="O7:R7">
    <cfRule type="cellIs" dxfId="97" priority="103" operator="equal">
      <formula>"No"</formula>
    </cfRule>
    <cfRule type="cellIs" dxfId="96" priority="104" operator="equal">
      <formula>"Yes"</formula>
    </cfRule>
  </conditionalFormatting>
  <conditionalFormatting sqref="K8">
    <cfRule type="cellIs" dxfId="95" priority="101" operator="equal">
      <formula>"No"</formula>
    </cfRule>
    <cfRule type="cellIs" dxfId="94" priority="102" operator="equal">
      <formula>"Yes"</formula>
    </cfRule>
  </conditionalFormatting>
  <conditionalFormatting sqref="I9">
    <cfRule type="cellIs" dxfId="93" priority="99" operator="equal">
      <formula>"No"</formula>
    </cfRule>
    <cfRule type="cellIs" dxfId="92" priority="100" operator="equal">
      <formula>"Yes"</formula>
    </cfRule>
  </conditionalFormatting>
  <conditionalFormatting sqref="K9:M9 O9">
    <cfRule type="cellIs" dxfId="91" priority="97" operator="equal">
      <formula>"No"</formula>
    </cfRule>
    <cfRule type="cellIs" dxfId="90" priority="98" operator="equal">
      <formula>"Yes"</formula>
    </cfRule>
  </conditionalFormatting>
  <conditionalFormatting sqref="K10">
    <cfRule type="cellIs" dxfId="89" priority="95" operator="equal">
      <formula>"No"</formula>
    </cfRule>
    <cfRule type="cellIs" dxfId="88" priority="96" operator="equal">
      <formula>"Yes"</formula>
    </cfRule>
  </conditionalFormatting>
  <conditionalFormatting sqref="O10:R10">
    <cfRule type="cellIs" dxfId="87" priority="93" operator="equal">
      <formula>"No"</formula>
    </cfRule>
    <cfRule type="cellIs" dxfId="86" priority="94" operator="equal">
      <formula>"Yes"</formula>
    </cfRule>
  </conditionalFormatting>
  <conditionalFormatting sqref="K11:M11">
    <cfRule type="cellIs" dxfId="85" priority="91" operator="equal">
      <formula>"No"</formula>
    </cfRule>
    <cfRule type="cellIs" dxfId="84" priority="92" operator="equal">
      <formula>"Yes"</formula>
    </cfRule>
  </conditionalFormatting>
  <conditionalFormatting sqref="K12:M12">
    <cfRule type="cellIs" dxfId="83" priority="89" operator="equal">
      <formula>"No"</formula>
    </cfRule>
    <cfRule type="cellIs" dxfId="82" priority="90" operator="equal">
      <formula>"Yes"</formula>
    </cfRule>
  </conditionalFormatting>
  <conditionalFormatting sqref="O12">
    <cfRule type="cellIs" dxfId="81" priority="87" operator="equal">
      <formula>"No"</formula>
    </cfRule>
    <cfRule type="cellIs" dxfId="80" priority="88" operator="equal">
      <formula>"Yes"</formula>
    </cfRule>
  </conditionalFormatting>
  <conditionalFormatting sqref="O13:R13">
    <cfRule type="cellIs" dxfId="79" priority="85" operator="equal">
      <formula>"No"</formula>
    </cfRule>
    <cfRule type="cellIs" dxfId="78" priority="86" operator="equal">
      <formula>"Yes"</formula>
    </cfRule>
  </conditionalFormatting>
  <conditionalFormatting sqref="K14">
    <cfRule type="cellIs" dxfId="77" priority="83" operator="equal">
      <formula>"No"</formula>
    </cfRule>
    <cfRule type="cellIs" dxfId="76" priority="84" operator="equal">
      <formula>"Yes"</formula>
    </cfRule>
  </conditionalFormatting>
  <conditionalFormatting sqref="O14:R14">
    <cfRule type="cellIs" dxfId="75" priority="81" operator="equal">
      <formula>"No"</formula>
    </cfRule>
    <cfRule type="cellIs" dxfId="74" priority="82" operator="equal">
      <formula>"Yes"</formula>
    </cfRule>
  </conditionalFormatting>
  <conditionalFormatting sqref="K15:M15">
    <cfRule type="cellIs" dxfId="73" priority="79" operator="equal">
      <formula>"No"</formula>
    </cfRule>
    <cfRule type="cellIs" dxfId="72" priority="80" operator="equal">
      <formula>"Yes"</formula>
    </cfRule>
  </conditionalFormatting>
  <conditionalFormatting sqref="S15">
    <cfRule type="cellIs" dxfId="71" priority="77" operator="equal">
      <formula>"No"</formula>
    </cfRule>
    <cfRule type="cellIs" dxfId="70" priority="78" operator="equal">
      <formula>"Yes"</formula>
    </cfRule>
  </conditionalFormatting>
  <conditionalFormatting sqref="S16:S20">
    <cfRule type="cellIs" dxfId="69" priority="75" operator="equal">
      <formula>"No"</formula>
    </cfRule>
    <cfRule type="cellIs" dxfId="68" priority="76" operator="equal">
      <formula>"Yes"</formula>
    </cfRule>
  </conditionalFormatting>
  <conditionalFormatting sqref="K16:M16">
    <cfRule type="cellIs" dxfId="67" priority="73" operator="equal">
      <formula>"No"</formula>
    </cfRule>
    <cfRule type="cellIs" dxfId="66" priority="74" operator="equal">
      <formula>"Yes"</formula>
    </cfRule>
  </conditionalFormatting>
  <conditionalFormatting sqref="O16:R16">
    <cfRule type="cellIs" dxfId="65" priority="71" operator="equal">
      <formula>"No"</formula>
    </cfRule>
    <cfRule type="cellIs" dxfId="64" priority="72" operator="equal">
      <formula>"Yes"</formula>
    </cfRule>
  </conditionalFormatting>
  <conditionalFormatting sqref="K17">
    <cfRule type="cellIs" dxfId="63" priority="69" operator="equal">
      <formula>"No"</formula>
    </cfRule>
    <cfRule type="cellIs" dxfId="62" priority="70" operator="equal">
      <formula>"Yes"</formula>
    </cfRule>
  </conditionalFormatting>
  <conditionalFormatting sqref="O17">
    <cfRule type="cellIs" dxfId="61" priority="67" operator="equal">
      <formula>"No"</formula>
    </cfRule>
    <cfRule type="cellIs" dxfId="60" priority="68" operator="equal">
      <formula>"Yes"</formula>
    </cfRule>
  </conditionalFormatting>
  <conditionalFormatting sqref="O21:R21">
    <cfRule type="cellIs" dxfId="59" priority="45" operator="equal">
      <formula>"No"</formula>
    </cfRule>
    <cfRule type="cellIs" dxfId="58" priority="46" operator="equal">
      <formula>"Yes"</formula>
    </cfRule>
  </conditionalFormatting>
  <conditionalFormatting sqref="K18:M18">
    <cfRule type="cellIs" dxfId="57" priority="63" operator="equal">
      <formula>"No"</formula>
    </cfRule>
    <cfRule type="cellIs" dxfId="56" priority="64" operator="equal">
      <formula>"Yes"</formula>
    </cfRule>
  </conditionalFormatting>
  <conditionalFormatting sqref="O18">
    <cfRule type="cellIs" dxfId="55" priority="61" operator="equal">
      <formula>"No"</formula>
    </cfRule>
    <cfRule type="cellIs" dxfId="54" priority="62" operator="equal">
      <formula>"Yes"</formula>
    </cfRule>
  </conditionalFormatting>
  <conditionalFormatting sqref="K19:M19">
    <cfRule type="cellIs" dxfId="53" priority="57" operator="equal">
      <formula>"No"</formula>
    </cfRule>
    <cfRule type="cellIs" dxfId="52" priority="58" operator="equal">
      <formula>"Yes"</formula>
    </cfRule>
  </conditionalFormatting>
  <conditionalFormatting sqref="K20">
    <cfRule type="cellIs" dxfId="51" priority="55" operator="equal">
      <formula>"No"</formula>
    </cfRule>
    <cfRule type="cellIs" dxfId="50" priority="56" operator="equal">
      <formula>"Yes"</formula>
    </cfRule>
  </conditionalFormatting>
  <conditionalFormatting sqref="O20:R20">
    <cfRule type="cellIs" dxfId="49" priority="51" operator="equal">
      <formula>"No"</formula>
    </cfRule>
    <cfRule type="cellIs" dxfId="48" priority="52" operator="equal">
      <formula>"Yes"</formula>
    </cfRule>
  </conditionalFormatting>
  <conditionalFormatting sqref="K21">
    <cfRule type="cellIs" dxfId="47" priority="49" operator="equal">
      <formula>"No"</formula>
    </cfRule>
    <cfRule type="cellIs" dxfId="46" priority="50" operator="equal">
      <formula>"Yes"</formula>
    </cfRule>
  </conditionalFormatting>
  <conditionalFormatting sqref="S21">
    <cfRule type="cellIs" dxfId="45" priority="47" operator="equal">
      <formula>"No"</formula>
    </cfRule>
    <cfRule type="cellIs" dxfId="44" priority="48" operator="equal">
      <formula>"Yes"</formula>
    </cfRule>
  </conditionalFormatting>
  <conditionalFormatting sqref="O15:R15">
    <cfRule type="cellIs" dxfId="43" priority="43" operator="equal">
      <formula>"No"</formula>
    </cfRule>
    <cfRule type="cellIs" dxfId="42" priority="44" operator="equal">
      <formula>"Yes"</formula>
    </cfRule>
  </conditionalFormatting>
  <conditionalFormatting sqref="H28:I28">
    <cfRule type="cellIs" dxfId="41" priority="39" operator="equal">
      <formula>"Robust evidence, no extra needed"</formula>
    </cfRule>
    <cfRule type="cellIs" dxfId="40" priority="40" operator="equal">
      <formula>"Not enough evidence, more needed"</formula>
    </cfRule>
    <cfRule type="containsText" dxfId="39" priority="42" operator="containsText" text="More evidence would be beneficial">
      <formula>NOT(ISERROR(SEARCH("More evidence would be beneficial",H28)))</formula>
    </cfRule>
  </conditionalFormatting>
  <conditionalFormatting sqref="G28">
    <cfRule type="cellIs" dxfId="38" priority="41" operator="equal">
      <formula>"Effective"</formula>
    </cfRule>
  </conditionalFormatting>
  <conditionalFormatting sqref="G28">
    <cfRule type="cellIs" dxfId="37" priority="37" operator="equal">
      <formula>"Not Effective"</formula>
    </cfRule>
    <cfRule type="cellIs" dxfId="36" priority="38" operator="equal">
      <formula>"Unsure"</formula>
    </cfRule>
  </conditionalFormatting>
  <conditionalFormatting sqref="J28:K28">
    <cfRule type="cellIs" dxfId="35" priority="35" operator="equal">
      <formula>"No"</formula>
    </cfRule>
    <cfRule type="cellIs" dxfId="34" priority="36" operator="equal">
      <formula>"Yes"</formula>
    </cfRule>
  </conditionalFormatting>
  <conditionalFormatting sqref="N28">
    <cfRule type="cellIs" dxfId="33" priority="33" operator="equal">
      <formula>"No"</formula>
    </cfRule>
    <cfRule type="cellIs" dxfId="32" priority="34" operator="equal">
      <formula>"Yes"</formula>
    </cfRule>
  </conditionalFormatting>
  <conditionalFormatting sqref="H28:I28">
    <cfRule type="cellIs" dxfId="31" priority="32" operator="equal">
      <formula>"Robust evidence, extra could refine results but is not essential"</formula>
    </cfRule>
  </conditionalFormatting>
  <conditionalFormatting sqref="O28:R28">
    <cfRule type="cellIs" dxfId="30" priority="30" operator="equal">
      <formula>"No"</formula>
    </cfRule>
    <cfRule type="cellIs" dxfId="29" priority="31" operator="equal">
      <formula>"Yes"</formula>
    </cfRule>
  </conditionalFormatting>
  <conditionalFormatting sqref="H29:I29">
    <cfRule type="cellIs" dxfId="28" priority="26" operator="equal">
      <formula>"Robust evidence, no extra needed"</formula>
    </cfRule>
    <cfRule type="cellIs" dxfId="27" priority="27" operator="equal">
      <formula>"Not enough evidence, more needed"</formula>
    </cfRule>
    <cfRule type="containsText" dxfId="26" priority="29" operator="containsText" text="More evidence would be beneficial">
      <formula>NOT(ISERROR(SEARCH("More evidence would be beneficial",H29)))</formula>
    </cfRule>
  </conditionalFormatting>
  <conditionalFormatting sqref="G29">
    <cfRule type="cellIs" dxfId="25" priority="28" operator="equal">
      <formula>"Effective"</formula>
    </cfRule>
  </conditionalFormatting>
  <conditionalFormatting sqref="G29">
    <cfRule type="cellIs" dxfId="24" priority="24" operator="equal">
      <formula>"Not Effective"</formula>
    </cfRule>
    <cfRule type="cellIs" dxfId="23" priority="25" operator="equal">
      <formula>"Unsure"</formula>
    </cfRule>
  </conditionalFormatting>
  <conditionalFormatting sqref="J29">
    <cfRule type="cellIs" dxfId="22" priority="22" operator="equal">
      <formula>"No"</formula>
    </cfRule>
    <cfRule type="cellIs" dxfId="21" priority="23" operator="equal">
      <formula>"Yes"</formula>
    </cfRule>
  </conditionalFormatting>
  <conditionalFormatting sqref="N29">
    <cfRule type="cellIs" dxfId="20" priority="20" operator="equal">
      <formula>"No"</formula>
    </cfRule>
    <cfRule type="cellIs" dxfId="19" priority="21" operator="equal">
      <formula>"Yes"</formula>
    </cfRule>
  </conditionalFormatting>
  <conditionalFormatting sqref="H29:I29">
    <cfRule type="cellIs" dxfId="18" priority="19" operator="equal">
      <formula>"Robust evidence, extra could refine results but is not essential"</formula>
    </cfRule>
  </conditionalFormatting>
  <conditionalFormatting sqref="K29:M29">
    <cfRule type="cellIs" dxfId="17" priority="17" operator="equal">
      <formula>"No"</formula>
    </cfRule>
    <cfRule type="cellIs" dxfId="16" priority="18" operator="equal">
      <formula>"Yes"</formula>
    </cfRule>
  </conditionalFormatting>
  <conditionalFormatting sqref="S29">
    <cfRule type="cellIs" dxfId="15" priority="15" operator="equal">
      <formula>"No"</formula>
    </cfRule>
    <cfRule type="cellIs" dxfId="14" priority="16" operator="equal">
      <formula>"Yes"</formula>
    </cfRule>
  </conditionalFormatting>
  <conditionalFormatting sqref="O29:R29">
    <cfRule type="cellIs" dxfId="13" priority="13" operator="equal">
      <formula>"No"</formula>
    </cfRule>
    <cfRule type="cellIs" dxfId="12" priority="14" operator="equal">
      <formula>"Yes"</formula>
    </cfRule>
  </conditionalFormatting>
  <conditionalFormatting sqref="L28">
    <cfRule type="cellIs" dxfId="11" priority="11" operator="equal">
      <formula>"No"</formula>
    </cfRule>
    <cfRule type="cellIs" dxfId="10" priority="12" operator="equal">
      <formula>"Yes"</formula>
    </cfRule>
  </conditionalFormatting>
  <conditionalFormatting sqref="M28">
    <cfRule type="cellIs" dxfId="9" priority="9" operator="equal">
      <formula>"No"</formula>
    </cfRule>
    <cfRule type="cellIs" dxfId="8" priority="10" operator="equal">
      <formula>"Yes"</formula>
    </cfRule>
  </conditionalFormatting>
  <conditionalFormatting sqref="K6:M6">
    <cfRule type="cellIs" dxfId="7" priority="7" operator="equal">
      <formula>"No"</formula>
    </cfRule>
    <cfRule type="cellIs" dxfId="6" priority="8" operator="equal">
      <formula>"Yes"</formula>
    </cfRule>
  </conditionalFormatting>
  <conditionalFormatting sqref="O6">
    <cfRule type="cellIs" dxfId="5" priority="5" operator="equal">
      <formula>"No"</formula>
    </cfRule>
    <cfRule type="cellIs" dxfId="4" priority="6" operator="equal">
      <formula>"Yes"</formula>
    </cfRule>
  </conditionalFormatting>
  <conditionalFormatting sqref="O19:R19">
    <cfRule type="cellIs" dxfId="3" priority="3" operator="equal">
      <formula>"No"</formula>
    </cfRule>
    <cfRule type="cellIs" dxfId="2" priority="4" operator="equal">
      <formula>"Yes"</formula>
    </cfRule>
  </conditionalFormatting>
  <conditionalFormatting sqref="R2:R21">
    <cfRule type="containsText" dxfId="1" priority="1" operator="containsText" text="Yes">
      <formula>NOT(ISERROR(SEARCH("Yes",R2)))</formula>
    </cfRule>
    <cfRule type="containsText" dxfId="0" priority="2" operator="containsText" text="No">
      <formula>NOT(ISERROR(SEARCH("No",R2)))</formula>
    </cfRule>
  </conditionalFormatting>
  <pageMargins left="0.7" right="0.7" top="0.75" bottom="0.75" header="0.3" footer="0.3"/>
  <legacyDrawing r:id="rId1"/>
  <extLst>
    <ext xmlns:x14="http://schemas.microsoft.com/office/spreadsheetml/2009/9/main" uri="{CCE6A557-97BC-4b89-ADB6-D9C93CAAB3DF}">
      <x14:dataValidations xmlns:xm="http://schemas.microsoft.com/office/excel/2006/main" count="4">
        <x14:dataValidation type="list" allowBlank="1" showInputMessage="1" showErrorMessage="1" xr:uid="{DDB3BF42-FE7D-4883-BFEF-E07D32E97808}">
          <x14:formula1>
            <xm:f>'Data validation'!$C$2:$C$5</xm:f>
          </x14:formula1>
          <xm:sqref>N2:N1048576 J2:J1048576</xm:sqref>
        </x14:dataValidation>
        <x14:dataValidation type="list" allowBlank="1" showInputMessage="1" showErrorMessage="1" xr:uid="{B0711979-4F78-4F10-88FE-2B945E639A04}">
          <x14:formula1>
            <xm:f>'Data validation'!$A$8:$A$12</xm:f>
          </x14:formula1>
          <xm:sqref>G2:G1048576</xm:sqref>
        </x14:dataValidation>
        <x14:dataValidation type="list" allowBlank="1" showInputMessage="1" showErrorMessage="1" xr:uid="{117880D0-7056-460A-8F91-16D5D16BB955}">
          <x14:formula1>
            <xm:f>'Data validation'!$A$15:$A$19</xm:f>
          </x14:formula1>
          <xm:sqref>H2:H1048576</xm:sqref>
        </x14:dataValidation>
        <x14:dataValidation type="list" allowBlank="1" showInputMessage="1" showErrorMessage="1" xr:uid="{B4BA955F-7B7D-4757-B3A1-1E92C53FE56A}">
          <x14:formula1>
            <xm:f>'Data validation'!$C$2:$C$4</xm:f>
          </x14:formula1>
          <xm:sqref>R2:R21</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960695-AC9E-48AA-9473-DCDAA7AC79AF}">
  <dimension ref="A1:O707"/>
  <sheetViews>
    <sheetView workbookViewId="0">
      <selection activeCell="I18" sqref="I18"/>
    </sheetView>
  </sheetViews>
  <sheetFormatPr defaultRowHeight="14.4" x14ac:dyDescent="0.3"/>
  <cols>
    <col min="1" max="1" width="23.33203125" customWidth="1"/>
    <col min="2" max="2" width="31.109375" customWidth="1"/>
    <col min="4" max="4" width="16.109375" customWidth="1"/>
    <col min="5" max="5" width="16.5546875" customWidth="1"/>
    <col min="6" max="6" width="13" customWidth="1"/>
    <col min="7" max="7" width="11.5546875" customWidth="1"/>
    <col min="12" max="12" width="12.6640625" customWidth="1"/>
    <col min="13" max="13" width="14.6640625" customWidth="1"/>
  </cols>
  <sheetData>
    <row r="1" spans="1:6" ht="15" thickBot="1" x14ac:dyDescent="0.35">
      <c r="A1" s="1" t="s">
        <v>2</v>
      </c>
      <c r="B1" s="1" t="s">
        <v>3</v>
      </c>
      <c r="C1" s="1" t="s">
        <v>4</v>
      </c>
      <c r="D1" s="2" t="s">
        <v>121</v>
      </c>
      <c r="E1" s="2" t="s">
        <v>29</v>
      </c>
      <c r="F1" s="2" t="s">
        <v>122</v>
      </c>
    </row>
    <row r="2" spans="1:6" x14ac:dyDescent="0.3">
      <c r="A2" t="s">
        <v>36</v>
      </c>
      <c r="B2" t="s">
        <v>37</v>
      </c>
      <c r="C2">
        <v>2018</v>
      </c>
      <c r="D2">
        <v>65.7</v>
      </c>
      <c r="E2" s="5">
        <f>AVERAGE(D2:D36)</f>
        <v>61.302857142857142</v>
      </c>
      <c r="F2" s="5">
        <f>_xlfn.STDEV.S(D2:D36)</f>
        <v>8.3072075620507917</v>
      </c>
    </row>
    <row r="3" spans="1:6" x14ac:dyDescent="0.3">
      <c r="D3">
        <v>40</v>
      </c>
    </row>
    <row r="4" spans="1:6" x14ac:dyDescent="0.3">
      <c r="D4">
        <v>68.599999999999994</v>
      </c>
    </row>
    <row r="5" spans="1:6" x14ac:dyDescent="0.3">
      <c r="D5">
        <v>62.9</v>
      </c>
    </row>
    <row r="6" spans="1:6" x14ac:dyDescent="0.3">
      <c r="D6">
        <v>51.4</v>
      </c>
    </row>
    <row r="7" spans="1:6" x14ac:dyDescent="0.3">
      <c r="D7">
        <v>57.1</v>
      </c>
    </row>
    <row r="8" spans="1:6" x14ac:dyDescent="0.3">
      <c r="D8">
        <v>45.7</v>
      </c>
    </row>
    <row r="9" spans="1:6" x14ac:dyDescent="0.3">
      <c r="D9">
        <v>54.3</v>
      </c>
    </row>
    <row r="10" spans="1:6" x14ac:dyDescent="0.3">
      <c r="D10">
        <v>65.7</v>
      </c>
    </row>
    <row r="11" spans="1:6" x14ac:dyDescent="0.3">
      <c r="D11">
        <v>57.1</v>
      </c>
    </row>
    <row r="12" spans="1:6" x14ac:dyDescent="0.3">
      <c r="D12">
        <v>60</v>
      </c>
    </row>
    <row r="13" spans="1:6" x14ac:dyDescent="0.3">
      <c r="D13">
        <v>57.1</v>
      </c>
    </row>
    <row r="14" spans="1:6" x14ac:dyDescent="0.3">
      <c r="D14">
        <v>51.4</v>
      </c>
    </row>
    <row r="15" spans="1:6" x14ac:dyDescent="0.3">
      <c r="D15">
        <v>65.7</v>
      </c>
    </row>
    <row r="16" spans="1:6" x14ac:dyDescent="0.3">
      <c r="D16">
        <v>74.3</v>
      </c>
    </row>
    <row r="17" spans="4:4" x14ac:dyDescent="0.3">
      <c r="D17">
        <v>68.599999999999994</v>
      </c>
    </row>
    <row r="18" spans="4:4" x14ac:dyDescent="0.3">
      <c r="D18">
        <v>57.1</v>
      </c>
    </row>
    <row r="19" spans="4:4" x14ac:dyDescent="0.3">
      <c r="D19">
        <v>62.9</v>
      </c>
    </row>
    <row r="20" spans="4:4" x14ac:dyDescent="0.3">
      <c r="D20">
        <v>65.7</v>
      </c>
    </row>
    <row r="21" spans="4:4" x14ac:dyDescent="0.3">
      <c r="D21">
        <v>45.7</v>
      </c>
    </row>
    <row r="22" spans="4:4" x14ac:dyDescent="0.3">
      <c r="D22">
        <v>60</v>
      </c>
    </row>
    <row r="23" spans="4:4" x14ac:dyDescent="0.3">
      <c r="D23">
        <v>68.599999999999994</v>
      </c>
    </row>
    <row r="24" spans="4:4" x14ac:dyDescent="0.3">
      <c r="D24">
        <v>74.3</v>
      </c>
    </row>
    <row r="25" spans="4:4" x14ac:dyDescent="0.3">
      <c r="D25">
        <v>65.7</v>
      </c>
    </row>
    <row r="26" spans="4:4" x14ac:dyDescent="0.3">
      <c r="D26">
        <v>57.1</v>
      </c>
    </row>
    <row r="27" spans="4:4" x14ac:dyDescent="0.3">
      <c r="D27">
        <v>60</v>
      </c>
    </row>
    <row r="28" spans="4:4" x14ac:dyDescent="0.3">
      <c r="D28">
        <v>62.9</v>
      </c>
    </row>
    <row r="29" spans="4:4" x14ac:dyDescent="0.3">
      <c r="D29">
        <v>60</v>
      </c>
    </row>
    <row r="30" spans="4:4" x14ac:dyDescent="0.3">
      <c r="D30">
        <v>57.1</v>
      </c>
    </row>
    <row r="31" spans="4:4" x14ac:dyDescent="0.3">
      <c r="D31">
        <v>68.599999999999994</v>
      </c>
    </row>
    <row r="32" spans="4:4" x14ac:dyDescent="0.3">
      <c r="D32">
        <v>74.3</v>
      </c>
    </row>
    <row r="33" spans="1:15" x14ac:dyDescent="0.3">
      <c r="D33">
        <v>71.400000000000006</v>
      </c>
    </row>
    <row r="34" spans="1:15" x14ac:dyDescent="0.3">
      <c r="D34">
        <v>65.7</v>
      </c>
    </row>
    <row r="35" spans="1:15" x14ac:dyDescent="0.3">
      <c r="D35">
        <v>54.3</v>
      </c>
    </row>
    <row r="36" spans="1:15" x14ac:dyDescent="0.3">
      <c r="D36">
        <v>68.599999999999994</v>
      </c>
    </row>
    <row r="37" spans="1:15" ht="15" thickBot="1" x14ac:dyDescent="0.35">
      <c r="A37" s="1" t="s">
        <v>2</v>
      </c>
      <c r="B37" s="1" t="s">
        <v>3</v>
      </c>
      <c r="C37" s="1" t="s">
        <v>4</v>
      </c>
      <c r="D37" s="2" t="s">
        <v>121</v>
      </c>
    </row>
    <row r="38" spans="1:15" x14ac:dyDescent="0.3">
      <c r="A38" t="s">
        <v>38</v>
      </c>
      <c r="B38" t="s">
        <v>39</v>
      </c>
      <c r="C38">
        <v>2017</v>
      </c>
    </row>
    <row r="39" spans="1:15" ht="15" thickBot="1" x14ac:dyDescent="0.35">
      <c r="A39" t="s">
        <v>157</v>
      </c>
    </row>
    <row r="40" spans="1:15" ht="63.6" thickBot="1" x14ac:dyDescent="0.35">
      <c r="A40" s="10" t="s">
        <v>126</v>
      </c>
      <c r="B40" s="11" t="s">
        <v>127</v>
      </c>
      <c r="C40" s="11" t="s">
        <v>128</v>
      </c>
      <c r="D40" s="11" t="s">
        <v>129</v>
      </c>
      <c r="E40" s="11" t="s">
        <v>130</v>
      </c>
      <c r="F40" s="11" t="s">
        <v>131</v>
      </c>
      <c r="G40" s="11" t="s">
        <v>132</v>
      </c>
      <c r="H40" s="11" t="s">
        <v>133</v>
      </c>
      <c r="I40" s="11" t="s">
        <v>134</v>
      </c>
      <c r="J40" s="11" t="s">
        <v>135</v>
      </c>
      <c r="K40" s="11" t="s">
        <v>136</v>
      </c>
      <c r="L40" t="s">
        <v>158</v>
      </c>
      <c r="M40" t="s">
        <v>159</v>
      </c>
      <c r="N40" t="s">
        <v>29</v>
      </c>
      <c r="O40" t="s">
        <v>122</v>
      </c>
    </row>
    <row r="41" spans="1:15" ht="15" thickBot="1" x14ac:dyDescent="0.35">
      <c r="A41" s="12" t="s">
        <v>137</v>
      </c>
      <c r="B41" s="13" t="s">
        <v>138</v>
      </c>
      <c r="C41" s="14" t="s">
        <v>0</v>
      </c>
      <c r="D41" s="13" t="s">
        <v>138</v>
      </c>
      <c r="E41" s="13" t="s">
        <v>138</v>
      </c>
      <c r="F41" s="13" t="s">
        <v>138</v>
      </c>
      <c r="G41" s="13" t="s">
        <v>138</v>
      </c>
      <c r="H41" s="14" t="s">
        <v>0</v>
      </c>
      <c r="I41" s="14" t="s">
        <v>0</v>
      </c>
      <c r="J41" s="14" t="s">
        <v>0</v>
      </c>
      <c r="K41" s="14" t="s">
        <v>0</v>
      </c>
      <c r="L41">
        <f>COUNTIF(B41:K41, "Yes")</f>
        <v>5</v>
      </c>
      <c r="M41">
        <f>(L41/10)*100</f>
        <v>50</v>
      </c>
      <c r="N41">
        <f>AVERAGE(M41:M59)</f>
        <v>44.736842105263158</v>
      </c>
      <c r="O41">
        <f>_xlfn.STDEV.P(M41:M59)</f>
        <v>9.9305064547964257</v>
      </c>
    </row>
    <row r="42" spans="1:15" ht="15" thickBot="1" x14ac:dyDescent="0.35">
      <c r="A42" s="12" t="s">
        <v>139</v>
      </c>
      <c r="B42" s="13" t="s">
        <v>138</v>
      </c>
      <c r="C42" s="14" t="s">
        <v>0</v>
      </c>
      <c r="D42" s="13" t="s">
        <v>138</v>
      </c>
      <c r="E42" s="13" t="s">
        <v>138</v>
      </c>
      <c r="F42" s="13" t="s">
        <v>138</v>
      </c>
      <c r="G42" s="13" t="s">
        <v>138</v>
      </c>
      <c r="H42" s="13" t="s">
        <v>138</v>
      </c>
      <c r="I42" s="14" t="s">
        <v>0</v>
      </c>
      <c r="J42" s="14" t="s">
        <v>0</v>
      </c>
      <c r="K42" s="14" t="s">
        <v>0</v>
      </c>
      <c r="L42">
        <f t="shared" ref="L42:L59" si="0">COUNTIF(B42:K42, "Yes")</f>
        <v>4</v>
      </c>
      <c r="M42">
        <f t="shared" ref="M42:M58" si="1">(L42/10)*100</f>
        <v>40</v>
      </c>
    </row>
    <row r="43" spans="1:15" ht="15" thickBot="1" x14ac:dyDescent="0.35">
      <c r="A43" s="12" t="s">
        <v>140</v>
      </c>
      <c r="B43" s="13" t="s">
        <v>138</v>
      </c>
      <c r="C43" s="14" t="s">
        <v>0</v>
      </c>
      <c r="D43" s="13" t="s">
        <v>138</v>
      </c>
      <c r="E43" s="13" t="s">
        <v>138</v>
      </c>
      <c r="F43" s="13" t="s">
        <v>138</v>
      </c>
      <c r="G43" s="13" t="s">
        <v>138</v>
      </c>
      <c r="H43" s="13" t="s">
        <v>138</v>
      </c>
      <c r="I43" s="14" t="s">
        <v>0</v>
      </c>
      <c r="J43" s="14" t="s">
        <v>0</v>
      </c>
      <c r="K43" s="14" t="s">
        <v>0</v>
      </c>
      <c r="L43">
        <f t="shared" si="0"/>
        <v>4</v>
      </c>
      <c r="M43">
        <f t="shared" si="1"/>
        <v>40</v>
      </c>
    </row>
    <row r="44" spans="1:15" ht="15" thickBot="1" x14ac:dyDescent="0.35">
      <c r="A44" s="12" t="s">
        <v>141</v>
      </c>
      <c r="B44" s="13" t="s">
        <v>138</v>
      </c>
      <c r="C44" s="14" t="s">
        <v>0</v>
      </c>
      <c r="D44" s="13" t="s">
        <v>138</v>
      </c>
      <c r="E44" s="13" t="s">
        <v>138</v>
      </c>
      <c r="F44" s="13" t="s">
        <v>138</v>
      </c>
      <c r="G44" s="13" t="s">
        <v>138</v>
      </c>
      <c r="H44" s="13" t="s">
        <v>138</v>
      </c>
      <c r="I44" s="14" t="s">
        <v>0</v>
      </c>
      <c r="J44" s="14" t="s">
        <v>0</v>
      </c>
      <c r="K44" s="14" t="s">
        <v>0</v>
      </c>
      <c r="L44">
        <f t="shared" si="0"/>
        <v>4</v>
      </c>
      <c r="M44">
        <f t="shared" si="1"/>
        <v>40</v>
      </c>
    </row>
    <row r="45" spans="1:15" ht="15" thickBot="1" x14ac:dyDescent="0.35">
      <c r="A45" s="12" t="s">
        <v>142</v>
      </c>
      <c r="B45" s="13" t="s">
        <v>138</v>
      </c>
      <c r="C45" s="14" t="s">
        <v>0</v>
      </c>
      <c r="D45" s="13" t="s">
        <v>138</v>
      </c>
      <c r="E45" s="13" t="s">
        <v>138</v>
      </c>
      <c r="F45" s="13" t="s">
        <v>138</v>
      </c>
      <c r="G45" s="13" t="s">
        <v>138</v>
      </c>
      <c r="H45" s="13" t="s">
        <v>138</v>
      </c>
      <c r="I45" s="14" t="s">
        <v>0</v>
      </c>
      <c r="J45" s="14" t="s">
        <v>0</v>
      </c>
      <c r="K45" s="14" t="s">
        <v>0</v>
      </c>
      <c r="L45">
        <f t="shared" si="0"/>
        <v>4</v>
      </c>
      <c r="M45">
        <f t="shared" si="1"/>
        <v>40</v>
      </c>
    </row>
    <row r="46" spans="1:15" ht="15" thickBot="1" x14ac:dyDescent="0.35">
      <c r="A46" s="12" t="s">
        <v>143</v>
      </c>
      <c r="B46" s="13" t="s">
        <v>138</v>
      </c>
      <c r="C46" s="14" t="s">
        <v>0</v>
      </c>
      <c r="D46" s="13" t="s">
        <v>138</v>
      </c>
      <c r="E46" s="13" t="s">
        <v>138</v>
      </c>
      <c r="F46" s="13" t="s">
        <v>138</v>
      </c>
      <c r="G46" s="13" t="s">
        <v>138</v>
      </c>
      <c r="H46" s="13" t="s">
        <v>138</v>
      </c>
      <c r="I46" s="14" t="s">
        <v>0</v>
      </c>
      <c r="J46" s="14" t="s">
        <v>0</v>
      </c>
      <c r="K46" s="14" t="s">
        <v>0</v>
      </c>
      <c r="L46">
        <f t="shared" si="0"/>
        <v>4</v>
      </c>
      <c r="M46">
        <f t="shared" si="1"/>
        <v>40</v>
      </c>
    </row>
    <row r="47" spans="1:15" ht="15" thickBot="1" x14ac:dyDescent="0.35">
      <c r="A47" s="12" t="s">
        <v>144</v>
      </c>
      <c r="B47" s="13" t="s">
        <v>138</v>
      </c>
      <c r="C47" s="14" t="s">
        <v>0</v>
      </c>
      <c r="D47" s="13" t="s">
        <v>138</v>
      </c>
      <c r="E47" s="13" t="s">
        <v>138</v>
      </c>
      <c r="F47" s="13" t="s">
        <v>138</v>
      </c>
      <c r="G47" s="13" t="s">
        <v>138</v>
      </c>
      <c r="H47" s="13" t="s">
        <v>138</v>
      </c>
      <c r="I47" s="14" t="s">
        <v>0</v>
      </c>
      <c r="J47" s="14" t="s">
        <v>0</v>
      </c>
      <c r="K47" s="14" t="s">
        <v>0</v>
      </c>
      <c r="L47">
        <f t="shared" si="0"/>
        <v>4</v>
      </c>
      <c r="M47">
        <f t="shared" si="1"/>
        <v>40</v>
      </c>
    </row>
    <row r="48" spans="1:15" ht="15" thickBot="1" x14ac:dyDescent="0.35">
      <c r="A48" s="12" t="s">
        <v>145</v>
      </c>
      <c r="B48" s="13" t="s">
        <v>138</v>
      </c>
      <c r="C48" s="14" t="s">
        <v>0</v>
      </c>
      <c r="D48" s="14" t="s">
        <v>0</v>
      </c>
      <c r="E48" s="13" t="s">
        <v>138</v>
      </c>
      <c r="F48" s="14" t="s">
        <v>0</v>
      </c>
      <c r="G48" s="14" t="s">
        <v>0</v>
      </c>
      <c r="H48" s="14" t="s">
        <v>0</v>
      </c>
      <c r="I48" s="14" t="s">
        <v>0</v>
      </c>
      <c r="J48" s="14" t="s">
        <v>0</v>
      </c>
      <c r="K48" s="14" t="s">
        <v>0</v>
      </c>
      <c r="L48">
        <f t="shared" si="0"/>
        <v>8</v>
      </c>
      <c r="M48">
        <f t="shared" si="1"/>
        <v>80</v>
      </c>
    </row>
    <row r="49" spans="1:13" ht="15" thickBot="1" x14ac:dyDescent="0.35">
      <c r="A49" s="12" t="s">
        <v>146</v>
      </c>
      <c r="B49" s="13" t="s">
        <v>138</v>
      </c>
      <c r="C49" s="14" t="s">
        <v>0</v>
      </c>
      <c r="D49" s="13" t="s">
        <v>138</v>
      </c>
      <c r="E49" s="13" t="s">
        <v>138</v>
      </c>
      <c r="F49" s="14" t="s">
        <v>0</v>
      </c>
      <c r="G49" s="13" t="s">
        <v>138</v>
      </c>
      <c r="H49" s="14" t="s">
        <v>0</v>
      </c>
      <c r="I49" s="14" t="s">
        <v>0</v>
      </c>
      <c r="J49" s="14" t="s">
        <v>0</v>
      </c>
      <c r="K49" s="14" t="s">
        <v>0</v>
      </c>
      <c r="L49">
        <f t="shared" si="0"/>
        <v>6</v>
      </c>
      <c r="M49">
        <f t="shared" si="1"/>
        <v>60</v>
      </c>
    </row>
    <row r="50" spans="1:13" ht="15" thickBot="1" x14ac:dyDescent="0.35">
      <c r="A50" s="12" t="s">
        <v>147</v>
      </c>
      <c r="B50" s="13" t="s">
        <v>138</v>
      </c>
      <c r="C50" s="14" t="s">
        <v>0</v>
      </c>
      <c r="D50" s="13" t="s">
        <v>138</v>
      </c>
      <c r="E50" s="13" t="s">
        <v>138</v>
      </c>
      <c r="F50" s="13" t="s">
        <v>138</v>
      </c>
      <c r="G50" s="13" t="s">
        <v>138</v>
      </c>
      <c r="H50" s="14" t="s">
        <v>0</v>
      </c>
      <c r="I50" s="14" t="s">
        <v>0</v>
      </c>
      <c r="J50" s="14" t="s">
        <v>0</v>
      </c>
      <c r="K50" s="14" t="s">
        <v>0</v>
      </c>
      <c r="L50">
        <f t="shared" si="0"/>
        <v>5</v>
      </c>
      <c r="M50">
        <f t="shared" si="1"/>
        <v>50</v>
      </c>
    </row>
    <row r="51" spans="1:13" ht="15" thickBot="1" x14ac:dyDescent="0.35">
      <c r="A51" s="12" t="s">
        <v>148</v>
      </c>
      <c r="B51" s="13" t="s">
        <v>138</v>
      </c>
      <c r="C51" s="14" t="s">
        <v>0</v>
      </c>
      <c r="D51" s="13" t="s">
        <v>138</v>
      </c>
      <c r="E51" s="13" t="s">
        <v>138</v>
      </c>
      <c r="F51" s="13" t="s">
        <v>138</v>
      </c>
      <c r="G51" s="13" t="s">
        <v>138</v>
      </c>
      <c r="H51" s="13" t="s">
        <v>138</v>
      </c>
      <c r="I51" s="14" t="s">
        <v>0</v>
      </c>
      <c r="J51" s="14" t="s">
        <v>0</v>
      </c>
      <c r="K51" s="14" t="s">
        <v>0</v>
      </c>
      <c r="L51">
        <f t="shared" si="0"/>
        <v>4</v>
      </c>
      <c r="M51">
        <f t="shared" si="1"/>
        <v>40</v>
      </c>
    </row>
    <row r="52" spans="1:13" ht="15" thickBot="1" x14ac:dyDescent="0.35">
      <c r="A52" s="12" t="s">
        <v>149</v>
      </c>
      <c r="B52" s="13" t="s">
        <v>138</v>
      </c>
      <c r="C52" s="14" t="s">
        <v>0</v>
      </c>
      <c r="D52" s="13" t="s">
        <v>138</v>
      </c>
      <c r="E52" s="13" t="s">
        <v>138</v>
      </c>
      <c r="F52" s="13" t="s">
        <v>138</v>
      </c>
      <c r="G52" s="13" t="s">
        <v>138</v>
      </c>
      <c r="H52" s="13" t="s">
        <v>138</v>
      </c>
      <c r="I52" s="14" t="s">
        <v>0</v>
      </c>
      <c r="J52" s="14" t="s">
        <v>0</v>
      </c>
      <c r="K52" s="14" t="s">
        <v>0</v>
      </c>
      <c r="L52">
        <f t="shared" si="0"/>
        <v>4</v>
      </c>
      <c r="M52">
        <f t="shared" si="1"/>
        <v>40</v>
      </c>
    </row>
    <row r="53" spans="1:13" ht="15" thickBot="1" x14ac:dyDescent="0.35">
      <c r="A53" s="12" t="s">
        <v>150</v>
      </c>
      <c r="B53" s="13" t="s">
        <v>138</v>
      </c>
      <c r="C53" s="14" t="s">
        <v>0</v>
      </c>
      <c r="D53" s="13" t="s">
        <v>138</v>
      </c>
      <c r="E53" s="13" t="s">
        <v>138</v>
      </c>
      <c r="F53" s="13" t="s">
        <v>138</v>
      </c>
      <c r="G53" s="13" t="s">
        <v>138</v>
      </c>
      <c r="H53" s="13" t="s">
        <v>138</v>
      </c>
      <c r="I53" s="14" t="s">
        <v>0</v>
      </c>
      <c r="J53" s="14" t="s">
        <v>0</v>
      </c>
      <c r="K53" s="14" t="s">
        <v>0</v>
      </c>
      <c r="L53">
        <f t="shared" si="0"/>
        <v>4</v>
      </c>
      <c r="M53">
        <f t="shared" si="1"/>
        <v>40</v>
      </c>
    </row>
    <row r="54" spans="1:13" ht="15" thickBot="1" x14ac:dyDescent="0.35">
      <c r="A54" s="12" t="s">
        <v>151</v>
      </c>
      <c r="B54" s="13" t="s">
        <v>138</v>
      </c>
      <c r="C54" s="14" t="s">
        <v>0</v>
      </c>
      <c r="D54" s="13" t="s">
        <v>138</v>
      </c>
      <c r="E54" s="13" t="s">
        <v>138</v>
      </c>
      <c r="F54" s="13" t="s">
        <v>138</v>
      </c>
      <c r="G54" s="13" t="s">
        <v>138</v>
      </c>
      <c r="H54" s="13" t="s">
        <v>138</v>
      </c>
      <c r="I54" s="14" t="s">
        <v>0</v>
      </c>
      <c r="J54" s="14" t="s">
        <v>0</v>
      </c>
      <c r="K54" s="14" t="s">
        <v>0</v>
      </c>
      <c r="L54">
        <f t="shared" si="0"/>
        <v>4</v>
      </c>
      <c r="M54">
        <f t="shared" si="1"/>
        <v>40</v>
      </c>
    </row>
    <row r="55" spans="1:13" ht="15" thickBot="1" x14ac:dyDescent="0.35">
      <c r="A55" s="12" t="s">
        <v>152</v>
      </c>
      <c r="B55" s="13" t="s">
        <v>138</v>
      </c>
      <c r="C55" s="14" t="s">
        <v>0</v>
      </c>
      <c r="D55" s="13" t="s">
        <v>138</v>
      </c>
      <c r="E55" s="13" t="s">
        <v>138</v>
      </c>
      <c r="F55" s="13" t="s">
        <v>138</v>
      </c>
      <c r="G55" s="13" t="s">
        <v>138</v>
      </c>
      <c r="H55" s="13" t="s">
        <v>138</v>
      </c>
      <c r="I55" s="14" t="s">
        <v>0</v>
      </c>
      <c r="J55" s="14" t="s">
        <v>0</v>
      </c>
      <c r="K55" s="14" t="s">
        <v>0</v>
      </c>
      <c r="L55">
        <f t="shared" si="0"/>
        <v>4</v>
      </c>
      <c r="M55">
        <f t="shared" si="1"/>
        <v>40</v>
      </c>
    </row>
    <row r="56" spans="1:13" ht="15" thickBot="1" x14ac:dyDescent="0.35">
      <c r="A56" s="12" t="s">
        <v>153</v>
      </c>
      <c r="B56" s="13" t="s">
        <v>138</v>
      </c>
      <c r="C56" s="14" t="s">
        <v>0</v>
      </c>
      <c r="D56" s="13" t="s">
        <v>138</v>
      </c>
      <c r="E56" s="13" t="s">
        <v>138</v>
      </c>
      <c r="F56" s="13" t="s">
        <v>138</v>
      </c>
      <c r="G56" s="13" t="s">
        <v>138</v>
      </c>
      <c r="H56" s="14" t="s">
        <v>0</v>
      </c>
      <c r="I56" s="14" t="s">
        <v>0</v>
      </c>
      <c r="J56" s="14" t="s">
        <v>0</v>
      </c>
      <c r="K56" s="14" t="s">
        <v>0</v>
      </c>
      <c r="L56">
        <f t="shared" si="0"/>
        <v>5</v>
      </c>
      <c r="M56">
        <f t="shared" si="1"/>
        <v>50</v>
      </c>
    </row>
    <row r="57" spans="1:13" ht="15" thickBot="1" x14ac:dyDescent="0.35">
      <c r="A57" s="12" t="s">
        <v>154</v>
      </c>
      <c r="B57" s="13" t="s">
        <v>138</v>
      </c>
      <c r="C57" s="14" t="s">
        <v>0</v>
      </c>
      <c r="D57" s="13" t="s">
        <v>138</v>
      </c>
      <c r="E57" s="13" t="s">
        <v>138</v>
      </c>
      <c r="F57" s="13" t="s">
        <v>138</v>
      </c>
      <c r="G57" s="13" t="s">
        <v>138</v>
      </c>
      <c r="H57" s="13" t="s">
        <v>138</v>
      </c>
      <c r="I57" s="14" t="s">
        <v>0</v>
      </c>
      <c r="J57" s="14" t="s">
        <v>0</v>
      </c>
      <c r="K57" s="14" t="s">
        <v>0</v>
      </c>
      <c r="L57">
        <f t="shared" si="0"/>
        <v>4</v>
      </c>
      <c r="M57">
        <f t="shared" si="1"/>
        <v>40</v>
      </c>
    </row>
    <row r="58" spans="1:13" ht="15" thickBot="1" x14ac:dyDescent="0.35">
      <c r="A58" s="12" t="s">
        <v>155</v>
      </c>
      <c r="B58" s="13" t="s">
        <v>138</v>
      </c>
      <c r="C58" s="14" t="s">
        <v>0</v>
      </c>
      <c r="D58" s="13" t="s">
        <v>138</v>
      </c>
      <c r="E58" s="13" t="s">
        <v>138</v>
      </c>
      <c r="F58" s="13" t="s">
        <v>138</v>
      </c>
      <c r="G58" s="13" t="s">
        <v>138</v>
      </c>
      <c r="H58" s="13" t="s">
        <v>138</v>
      </c>
      <c r="I58" s="14" t="s">
        <v>0</v>
      </c>
      <c r="J58" s="14" t="s">
        <v>0</v>
      </c>
      <c r="K58" s="14" t="s">
        <v>0</v>
      </c>
      <c r="L58">
        <f t="shared" si="0"/>
        <v>4</v>
      </c>
      <c r="M58">
        <f t="shared" si="1"/>
        <v>40</v>
      </c>
    </row>
    <row r="59" spans="1:13" ht="15" thickBot="1" x14ac:dyDescent="0.35">
      <c r="A59" s="12" t="s">
        <v>156</v>
      </c>
      <c r="B59" s="13" t="s">
        <v>138</v>
      </c>
      <c r="C59" s="14" t="s">
        <v>0</v>
      </c>
      <c r="D59" s="13" t="s">
        <v>138</v>
      </c>
      <c r="E59" s="13" t="s">
        <v>138</v>
      </c>
      <c r="F59" s="13" t="s">
        <v>138</v>
      </c>
      <c r="G59" s="13" t="s">
        <v>138</v>
      </c>
      <c r="H59" s="13" t="s">
        <v>138</v>
      </c>
      <c r="I59" s="14" t="s">
        <v>0</v>
      </c>
      <c r="J59" s="14" t="s">
        <v>0</v>
      </c>
      <c r="K59" s="14" t="s">
        <v>0</v>
      </c>
      <c r="L59">
        <f t="shared" si="0"/>
        <v>4</v>
      </c>
      <c r="M59">
        <f>(L59/10)*100</f>
        <v>40</v>
      </c>
    </row>
    <row r="62" spans="1:13" ht="15" thickBot="1" x14ac:dyDescent="0.35">
      <c r="A62" s="1" t="s">
        <v>2</v>
      </c>
      <c r="B62" s="1" t="s">
        <v>3</v>
      </c>
      <c r="C62" s="1" t="s">
        <v>4</v>
      </c>
      <c r="D62" s="2" t="s">
        <v>121</v>
      </c>
      <c r="E62" s="1" t="s">
        <v>167</v>
      </c>
      <c r="F62" s="1" t="s">
        <v>29</v>
      </c>
      <c r="G62" s="1" t="s">
        <v>122</v>
      </c>
    </row>
    <row r="63" spans="1:13" x14ac:dyDescent="0.3">
      <c r="A63" t="s">
        <v>42</v>
      </c>
      <c r="B63" t="s">
        <v>43</v>
      </c>
      <c r="C63">
        <v>2018</v>
      </c>
      <c r="D63">
        <v>6</v>
      </c>
      <c r="E63">
        <f>(D63/10)*100</f>
        <v>60</v>
      </c>
      <c r="F63">
        <f>AVERAGE(E63:E78)</f>
        <v>46.875</v>
      </c>
      <c r="G63">
        <f>_xlfn.STDEV.S(E63:E78)</f>
        <v>10.781929326423912</v>
      </c>
    </row>
    <row r="64" spans="1:13" x14ac:dyDescent="0.3">
      <c r="D64">
        <v>4</v>
      </c>
      <c r="E64">
        <f t="shared" ref="E64:E78" si="2">(D64/10)*100</f>
        <v>40</v>
      </c>
    </row>
    <row r="65" spans="1:7" x14ac:dyDescent="0.3">
      <c r="D65">
        <v>5</v>
      </c>
      <c r="E65">
        <f t="shared" si="2"/>
        <v>50</v>
      </c>
    </row>
    <row r="66" spans="1:7" x14ac:dyDescent="0.3">
      <c r="D66">
        <v>5</v>
      </c>
      <c r="E66">
        <f t="shared" si="2"/>
        <v>50</v>
      </c>
    </row>
    <row r="67" spans="1:7" x14ac:dyDescent="0.3">
      <c r="D67">
        <v>4</v>
      </c>
      <c r="E67">
        <f t="shared" si="2"/>
        <v>40</v>
      </c>
    </row>
    <row r="68" spans="1:7" x14ac:dyDescent="0.3">
      <c r="D68">
        <v>6</v>
      </c>
      <c r="E68">
        <f t="shared" si="2"/>
        <v>60</v>
      </c>
    </row>
    <row r="69" spans="1:7" x14ac:dyDescent="0.3">
      <c r="D69">
        <v>4</v>
      </c>
      <c r="E69">
        <f t="shared" si="2"/>
        <v>40</v>
      </c>
    </row>
    <row r="70" spans="1:7" x14ac:dyDescent="0.3">
      <c r="D70">
        <v>5</v>
      </c>
      <c r="E70">
        <f t="shared" si="2"/>
        <v>50</v>
      </c>
    </row>
    <row r="71" spans="1:7" x14ac:dyDescent="0.3">
      <c r="D71">
        <v>3</v>
      </c>
      <c r="E71">
        <f t="shared" si="2"/>
        <v>30</v>
      </c>
    </row>
    <row r="72" spans="1:7" x14ac:dyDescent="0.3">
      <c r="D72">
        <v>6</v>
      </c>
      <c r="E72">
        <f t="shared" si="2"/>
        <v>60</v>
      </c>
    </row>
    <row r="73" spans="1:7" x14ac:dyDescent="0.3">
      <c r="D73">
        <v>4</v>
      </c>
      <c r="E73">
        <f t="shared" si="2"/>
        <v>40</v>
      </c>
    </row>
    <row r="74" spans="1:7" x14ac:dyDescent="0.3">
      <c r="D74">
        <v>4</v>
      </c>
      <c r="E74">
        <f t="shared" si="2"/>
        <v>40</v>
      </c>
    </row>
    <row r="75" spans="1:7" x14ac:dyDescent="0.3">
      <c r="D75">
        <v>6</v>
      </c>
      <c r="E75">
        <f t="shared" si="2"/>
        <v>60</v>
      </c>
    </row>
    <row r="76" spans="1:7" x14ac:dyDescent="0.3">
      <c r="D76">
        <v>3</v>
      </c>
      <c r="E76">
        <f t="shared" si="2"/>
        <v>30</v>
      </c>
    </row>
    <row r="77" spans="1:7" x14ac:dyDescent="0.3">
      <c r="D77">
        <v>4</v>
      </c>
      <c r="E77">
        <f t="shared" si="2"/>
        <v>40</v>
      </c>
    </row>
    <row r="78" spans="1:7" x14ac:dyDescent="0.3">
      <c r="D78">
        <v>6</v>
      </c>
      <c r="E78">
        <f t="shared" si="2"/>
        <v>60</v>
      </c>
    </row>
    <row r="80" spans="1:7" ht="15" thickBot="1" x14ac:dyDescent="0.35">
      <c r="A80" s="1" t="s">
        <v>2</v>
      </c>
      <c r="B80" s="1" t="s">
        <v>3</v>
      </c>
      <c r="C80" s="1" t="s">
        <v>4</v>
      </c>
      <c r="D80" s="2" t="s">
        <v>121</v>
      </c>
      <c r="E80" s="1" t="s">
        <v>167</v>
      </c>
      <c r="F80" s="1" t="s">
        <v>29</v>
      </c>
      <c r="G80" s="1" t="s">
        <v>122</v>
      </c>
    </row>
    <row r="81" spans="1:7" x14ac:dyDescent="0.3">
      <c r="A81" t="s">
        <v>48</v>
      </c>
      <c r="B81" t="s">
        <v>49</v>
      </c>
      <c r="C81">
        <v>2016</v>
      </c>
      <c r="D81">
        <v>6</v>
      </c>
      <c r="E81">
        <f>(D81/10)*100</f>
        <v>60</v>
      </c>
      <c r="F81">
        <f>AVERAGE(E81:E117)</f>
        <v>50.270270270270274</v>
      </c>
      <c r="G81">
        <f>_xlfn.STDEV.S(E81:E117)</f>
        <v>12.580073857424612</v>
      </c>
    </row>
    <row r="82" spans="1:7" x14ac:dyDescent="0.3">
      <c r="D82">
        <v>3</v>
      </c>
      <c r="E82">
        <f t="shared" ref="E82:E117" si="3">(D82/10)*100</f>
        <v>30</v>
      </c>
    </row>
    <row r="83" spans="1:7" x14ac:dyDescent="0.3">
      <c r="D83">
        <v>6</v>
      </c>
      <c r="E83">
        <f t="shared" si="3"/>
        <v>60</v>
      </c>
    </row>
    <row r="84" spans="1:7" x14ac:dyDescent="0.3">
      <c r="D84">
        <v>5</v>
      </c>
      <c r="E84">
        <f t="shared" si="3"/>
        <v>50</v>
      </c>
    </row>
    <row r="85" spans="1:7" x14ac:dyDescent="0.3">
      <c r="D85">
        <v>4</v>
      </c>
      <c r="E85">
        <f t="shared" si="3"/>
        <v>40</v>
      </c>
    </row>
    <row r="86" spans="1:7" x14ac:dyDescent="0.3">
      <c r="D86">
        <v>4</v>
      </c>
      <c r="E86">
        <f t="shared" si="3"/>
        <v>40</v>
      </c>
    </row>
    <row r="87" spans="1:7" x14ac:dyDescent="0.3">
      <c r="D87">
        <v>5</v>
      </c>
      <c r="E87">
        <f t="shared" si="3"/>
        <v>50</v>
      </c>
    </row>
    <row r="88" spans="1:7" x14ac:dyDescent="0.3">
      <c r="D88">
        <v>7</v>
      </c>
      <c r="E88">
        <f t="shared" si="3"/>
        <v>70</v>
      </c>
    </row>
    <row r="89" spans="1:7" x14ac:dyDescent="0.3">
      <c r="D89">
        <v>3</v>
      </c>
      <c r="E89">
        <f t="shared" si="3"/>
        <v>30</v>
      </c>
    </row>
    <row r="90" spans="1:7" x14ac:dyDescent="0.3">
      <c r="D90">
        <v>6</v>
      </c>
      <c r="E90">
        <f t="shared" si="3"/>
        <v>60</v>
      </c>
    </row>
    <row r="91" spans="1:7" x14ac:dyDescent="0.3">
      <c r="D91">
        <v>3</v>
      </c>
      <c r="E91">
        <f t="shared" si="3"/>
        <v>30</v>
      </c>
    </row>
    <row r="92" spans="1:7" x14ac:dyDescent="0.3">
      <c r="D92">
        <v>7</v>
      </c>
      <c r="E92">
        <f t="shared" si="3"/>
        <v>70</v>
      </c>
    </row>
    <row r="93" spans="1:7" x14ac:dyDescent="0.3">
      <c r="D93">
        <v>6</v>
      </c>
      <c r="E93">
        <f t="shared" si="3"/>
        <v>60</v>
      </c>
    </row>
    <row r="94" spans="1:7" x14ac:dyDescent="0.3">
      <c r="D94">
        <v>5</v>
      </c>
      <c r="E94">
        <f t="shared" si="3"/>
        <v>50</v>
      </c>
    </row>
    <row r="95" spans="1:7" x14ac:dyDescent="0.3">
      <c r="D95">
        <v>5</v>
      </c>
      <c r="E95">
        <f t="shared" si="3"/>
        <v>50</v>
      </c>
    </row>
    <row r="96" spans="1:7" x14ac:dyDescent="0.3">
      <c r="D96">
        <v>5</v>
      </c>
      <c r="E96">
        <f t="shared" si="3"/>
        <v>50</v>
      </c>
    </row>
    <row r="97" spans="4:5" x14ac:dyDescent="0.3">
      <c r="D97">
        <v>4</v>
      </c>
      <c r="E97">
        <f t="shared" si="3"/>
        <v>40</v>
      </c>
    </row>
    <row r="98" spans="4:5" x14ac:dyDescent="0.3">
      <c r="D98">
        <v>6</v>
      </c>
      <c r="E98">
        <f t="shared" si="3"/>
        <v>60</v>
      </c>
    </row>
    <row r="99" spans="4:5" x14ac:dyDescent="0.3">
      <c r="D99">
        <v>7</v>
      </c>
      <c r="E99">
        <f t="shared" si="3"/>
        <v>70</v>
      </c>
    </row>
    <row r="100" spans="4:5" x14ac:dyDescent="0.3">
      <c r="D100">
        <v>6</v>
      </c>
      <c r="E100">
        <f t="shared" si="3"/>
        <v>60</v>
      </c>
    </row>
    <row r="101" spans="4:5" x14ac:dyDescent="0.3">
      <c r="D101">
        <v>4</v>
      </c>
      <c r="E101">
        <f t="shared" si="3"/>
        <v>40</v>
      </c>
    </row>
    <row r="102" spans="4:5" x14ac:dyDescent="0.3">
      <c r="D102">
        <v>5</v>
      </c>
      <c r="E102">
        <f t="shared" si="3"/>
        <v>50</v>
      </c>
    </row>
    <row r="103" spans="4:5" x14ac:dyDescent="0.3">
      <c r="D103">
        <v>6</v>
      </c>
      <c r="E103">
        <f t="shared" si="3"/>
        <v>60</v>
      </c>
    </row>
    <row r="104" spans="4:5" x14ac:dyDescent="0.3">
      <c r="D104">
        <v>6</v>
      </c>
      <c r="E104">
        <f t="shared" si="3"/>
        <v>60</v>
      </c>
    </row>
    <row r="105" spans="4:5" x14ac:dyDescent="0.3">
      <c r="D105">
        <v>6</v>
      </c>
      <c r="E105">
        <f t="shared" si="3"/>
        <v>60</v>
      </c>
    </row>
    <row r="106" spans="4:5" x14ac:dyDescent="0.3">
      <c r="D106">
        <v>5</v>
      </c>
      <c r="E106">
        <f t="shared" si="3"/>
        <v>50</v>
      </c>
    </row>
    <row r="107" spans="4:5" x14ac:dyDescent="0.3">
      <c r="D107">
        <v>3</v>
      </c>
      <c r="E107">
        <f t="shared" si="3"/>
        <v>30</v>
      </c>
    </row>
    <row r="108" spans="4:5" x14ac:dyDescent="0.3">
      <c r="D108">
        <v>3</v>
      </c>
      <c r="E108">
        <f t="shared" si="3"/>
        <v>30</v>
      </c>
    </row>
    <row r="109" spans="4:5" x14ac:dyDescent="0.3">
      <c r="D109">
        <v>5</v>
      </c>
      <c r="E109">
        <f t="shared" si="3"/>
        <v>50</v>
      </c>
    </row>
    <row r="110" spans="4:5" x14ac:dyDescent="0.3">
      <c r="D110">
        <v>4</v>
      </c>
      <c r="E110">
        <f t="shared" si="3"/>
        <v>40</v>
      </c>
    </row>
    <row r="111" spans="4:5" x14ac:dyDescent="0.3">
      <c r="D111">
        <v>4</v>
      </c>
      <c r="E111">
        <f t="shared" si="3"/>
        <v>40</v>
      </c>
    </row>
    <row r="112" spans="4:5" x14ac:dyDescent="0.3">
      <c r="D112">
        <v>4</v>
      </c>
      <c r="E112">
        <f t="shared" si="3"/>
        <v>40</v>
      </c>
    </row>
    <row r="113" spans="1:7" x14ac:dyDescent="0.3">
      <c r="D113">
        <v>5</v>
      </c>
      <c r="E113">
        <f t="shared" si="3"/>
        <v>50</v>
      </c>
    </row>
    <row r="114" spans="1:7" x14ac:dyDescent="0.3">
      <c r="D114">
        <v>5</v>
      </c>
      <c r="E114">
        <f t="shared" si="3"/>
        <v>50</v>
      </c>
    </row>
    <row r="115" spans="1:7" x14ac:dyDescent="0.3">
      <c r="D115">
        <v>4</v>
      </c>
      <c r="E115">
        <f t="shared" si="3"/>
        <v>40</v>
      </c>
    </row>
    <row r="116" spans="1:7" x14ac:dyDescent="0.3">
      <c r="D116">
        <v>7</v>
      </c>
      <c r="E116">
        <f t="shared" si="3"/>
        <v>70</v>
      </c>
    </row>
    <row r="117" spans="1:7" x14ac:dyDescent="0.3">
      <c r="D117">
        <v>7</v>
      </c>
      <c r="E117">
        <f t="shared" si="3"/>
        <v>70</v>
      </c>
    </row>
    <row r="119" spans="1:7" ht="15" thickBot="1" x14ac:dyDescent="0.35">
      <c r="A119" s="1" t="s">
        <v>2</v>
      </c>
      <c r="B119" s="1" t="s">
        <v>3</v>
      </c>
      <c r="C119" s="1" t="s">
        <v>4</v>
      </c>
      <c r="D119" s="2" t="s">
        <v>121</v>
      </c>
      <c r="E119" s="1" t="s">
        <v>167</v>
      </c>
      <c r="F119" s="1" t="s">
        <v>29</v>
      </c>
      <c r="G119" s="1" t="s">
        <v>122</v>
      </c>
    </row>
    <row r="120" spans="1:7" x14ac:dyDescent="0.3">
      <c r="A120" t="s">
        <v>54</v>
      </c>
      <c r="B120" t="s">
        <v>55</v>
      </c>
      <c r="C120">
        <v>2016</v>
      </c>
      <c r="D120">
        <v>3</v>
      </c>
      <c r="E120">
        <f>(D120/7)*100</f>
        <v>42.857142857142854</v>
      </c>
      <c r="F120">
        <f>AVERAGE(E120:E166)</f>
        <v>56.534954407294848</v>
      </c>
      <c r="G120">
        <f>_xlfn.STDEV.S(E120:E166)</f>
        <v>16.30386011214636</v>
      </c>
    </row>
    <row r="121" spans="1:7" x14ac:dyDescent="0.3">
      <c r="D121">
        <v>2</v>
      </c>
      <c r="E121">
        <f t="shared" ref="E121:E166" si="4">(D121/7)*100</f>
        <v>28.571428571428569</v>
      </c>
    </row>
    <row r="122" spans="1:7" x14ac:dyDescent="0.3">
      <c r="D122">
        <v>4</v>
      </c>
      <c r="E122">
        <f t="shared" si="4"/>
        <v>57.142857142857139</v>
      </c>
    </row>
    <row r="123" spans="1:7" x14ac:dyDescent="0.3">
      <c r="D123">
        <v>3</v>
      </c>
      <c r="E123">
        <f t="shared" si="4"/>
        <v>42.857142857142854</v>
      </c>
    </row>
    <row r="124" spans="1:7" x14ac:dyDescent="0.3">
      <c r="D124">
        <v>4</v>
      </c>
      <c r="E124">
        <f t="shared" si="4"/>
        <v>57.142857142857139</v>
      </c>
    </row>
    <row r="125" spans="1:7" x14ac:dyDescent="0.3">
      <c r="D125">
        <v>3</v>
      </c>
      <c r="E125">
        <f t="shared" si="4"/>
        <v>42.857142857142854</v>
      </c>
    </row>
    <row r="126" spans="1:7" x14ac:dyDescent="0.3">
      <c r="D126">
        <v>4</v>
      </c>
      <c r="E126">
        <f t="shared" si="4"/>
        <v>57.142857142857139</v>
      </c>
    </row>
    <row r="127" spans="1:7" x14ac:dyDescent="0.3">
      <c r="D127">
        <v>4</v>
      </c>
      <c r="E127">
        <f t="shared" si="4"/>
        <v>57.142857142857139</v>
      </c>
    </row>
    <row r="128" spans="1:7" x14ac:dyDescent="0.3">
      <c r="D128">
        <v>3</v>
      </c>
      <c r="E128">
        <f t="shared" si="4"/>
        <v>42.857142857142854</v>
      </c>
    </row>
    <row r="129" spans="4:5" x14ac:dyDescent="0.3">
      <c r="D129">
        <v>3</v>
      </c>
      <c r="E129">
        <f t="shared" si="4"/>
        <v>42.857142857142854</v>
      </c>
    </row>
    <row r="130" spans="4:5" x14ac:dyDescent="0.3">
      <c r="D130">
        <v>3</v>
      </c>
      <c r="E130">
        <f t="shared" si="4"/>
        <v>42.857142857142854</v>
      </c>
    </row>
    <row r="131" spans="4:5" x14ac:dyDescent="0.3">
      <c r="D131">
        <v>3</v>
      </c>
      <c r="E131">
        <f t="shared" si="4"/>
        <v>42.857142857142854</v>
      </c>
    </row>
    <row r="132" spans="4:5" x14ac:dyDescent="0.3">
      <c r="D132">
        <v>3</v>
      </c>
      <c r="E132">
        <f t="shared" si="4"/>
        <v>42.857142857142854</v>
      </c>
    </row>
    <row r="133" spans="4:5" x14ac:dyDescent="0.3">
      <c r="D133">
        <v>3</v>
      </c>
      <c r="E133">
        <f t="shared" si="4"/>
        <v>42.857142857142854</v>
      </c>
    </row>
    <row r="134" spans="4:5" x14ac:dyDescent="0.3">
      <c r="D134">
        <v>3</v>
      </c>
      <c r="E134">
        <f t="shared" si="4"/>
        <v>42.857142857142854</v>
      </c>
    </row>
    <row r="135" spans="4:5" x14ac:dyDescent="0.3">
      <c r="D135">
        <v>6</v>
      </c>
      <c r="E135">
        <f t="shared" si="4"/>
        <v>85.714285714285708</v>
      </c>
    </row>
    <row r="136" spans="4:5" x14ac:dyDescent="0.3">
      <c r="D136">
        <v>3</v>
      </c>
      <c r="E136">
        <f t="shared" si="4"/>
        <v>42.857142857142854</v>
      </c>
    </row>
    <row r="137" spans="4:5" x14ac:dyDescent="0.3">
      <c r="D137">
        <v>5</v>
      </c>
      <c r="E137">
        <f t="shared" si="4"/>
        <v>71.428571428571431</v>
      </c>
    </row>
    <row r="138" spans="4:5" x14ac:dyDescent="0.3">
      <c r="D138">
        <v>4</v>
      </c>
      <c r="E138">
        <f t="shared" si="4"/>
        <v>57.142857142857139</v>
      </c>
    </row>
    <row r="139" spans="4:5" x14ac:dyDescent="0.3">
      <c r="D139">
        <v>5</v>
      </c>
      <c r="E139">
        <f t="shared" si="4"/>
        <v>71.428571428571431</v>
      </c>
    </row>
    <row r="140" spans="4:5" x14ac:dyDescent="0.3">
      <c r="D140">
        <v>3</v>
      </c>
      <c r="E140">
        <f t="shared" si="4"/>
        <v>42.857142857142854</v>
      </c>
    </row>
    <row r="141" spans="4:5" x14ac:dyDescent="0.3">
      <c r="D141">
        <v>6</v>
      </c>
      <c r="E141">
        <f t="shared" si="4"/>
        <v>85.714285714285708</v>
      </c>
    </row>
    <row r="142" spans="4:5" x14ac:dyDescent="0.3">
      <c r="D142">
        <v>3</v>
      </c>
      <c r="E142">
        <f t="shared" si="4"/>
        <v>42.857142857142854</v>
      </c>
    </row>
    <row r="143" spans="4:5" x14ac:dyDescent="0.3">
      <c r="D143">
        <v>4</v>
      </c>
      <c r="E143">
        <f t="shared" si="4"/>
        <v>57.142857142857139</v>
      </c>
    </row>
    <row r="144" spans="4:5" x14ac:dyDescent="0.3">
      <c r="D144">
        <v>3</v>
      </c>
      <c r="E144">
        <f t="shared" si="4"/>
        <v>42.857142857142854</v>
      </c>
    </row>
    <row r="145" spans="4:5" x14ac:dyDescent="0.3">
      <c r="D145">
        <v>3</v>
      </c>
      <c r="E145">
        <f t="shared" si="4"/>
        <v>42.857142857142854</v>
      </c>
    </row>
    <row r="146" spans="4:5" x14ac:dyDescent="0.3">
      <c r="D146">
        <v>4</v>
      </c>
      <c r="E146">
        <f t="shared" si="4"/>
        <v>57.142857142857139</v>
      </c>
    </row>
    <row r="147" spans="4:5" x14ac:dyDescent="0.3">
      <c r="D147">
        <v>5</v>
      </c>
      <c r="E147">
        <f t="shared" si="4"/>
        <v>71.428571428571431</v>
      </c>
    </row>
    <row r="148" spans="4:5" x14ac:dyDescent="0.3">
      <c r="D148">
        <v>5</v>
      </c>
      <c r="E148">
        <f t="shared" si="4"/>
        <v>71.428571428571431</v>
      </c>
    </row>
    <row r="149" spans="4:5" x14ac:dyDescent="0.3">
      <c r="D149">
        <v>5</v>
      </c>
      <c r="E149">
        <f t="shared" si="4"/>
        <v>71.428571428571431</v>
      </c>
    </row>
    <row r="150" spans="4:5" x14ac:dyDescent="0.3">
      <c r="D150">
        <v>3</v>
      </c>
      <c r="E150">
        <f t="shared" si="4"/>
        <v>42.857142857142854</v>
      </c>
    </row>
    <row r="151" spans="4:5" x14ac:dyDescent="0.3">
      <c r="D151">
        <v>3</v>
      </c>
      <c r="E151">
        <f t="shared" si="4"/>
        <v>42.857142857142854</v>
      </c>
    </row>
    <row r="152" spans="4:5" x14ac:dyDescent="0.3">
      <c r="D152">
        <v>6</v>
      </c>
      <c r="E152">
        <f t="shared" si="4"/>
        <v>85.714285714285708</v>
      </c>
    </row>
    <row r="153" spans="4:5" x14ac:dyDescent="0.3">
      <c r="D153">
        <v>3</v>
      </c>
      <c r="E153">
        <f t="shared" si="4"/>
        <v>42.857142857142854</v>
      </c>
    </row>
    <row r="154" spans="4:5" x14ac:dyDescent="0.3">
      <c r="D154">
        <v>5</v>
      </c>
      <c r="E154">
        <f t="shared" si="4"/>
        <v>71.428571428571431</v>
      </c>
    </row>
    <row r="155" spans="4:5" x14ac:dyDescent="0.3">
      <c r="D155">
        <v>5</v>
      </c>
      <c r="E155">
        <f t="shared" si="4"/>
        <v>71.428571428571431</v>
      </c>
    </row>
    <row r="156" spans="4:5" x14ac:dyDescent="0.3">
      <c r="D156">
        <v>6</v>
      </c>
      <c r="E156">
        <f t="shared" si="4"/>
        <v>85.714285714285708</v>
      </c>
    </row>
    <row r="157" spans="4:5" x14ac:dyDescent="0.3">
      <c r="D157">
        <v>6</v>
      </c>
      <c r="E157">
        <f t="shared" si="4"/>
        <v>85.714285714285708</v>
      </c>
    </row>
    <row r="158" spans="4:5" x14ac:dyDescent="0.3">
      <c r="D158">
        <v>4</v>
      </c>
      <c r="E158">
        <f t="shared" si="4"/>
        <v>57.142857142857139</v>
      </c>
    </row>
    <row r="159" spans="4:5" x14ac:dyDescent="0.3">
      <c r="D159">
        <v>4</v>
      </c>
      <c r="E159">
        <f t="shared" si="4"/>
        <v>57.142857142857139</v>
      </c>
    </row>
    <row r="160" spans="4:5" x14ac:dyDescent="0.3">
      <c r="D160">
        <v>6</v>
      </c>
      <c r="E160">
        <f t="shared" si="4"/>
        <v>85.714285714285708</v>
      </c>
    </row>
    <row r="161" spans="1:7" x14ac:dyDescent="0.3">
      <c r="D161">
        <v>4</v>
      </c>
      <c r="E161">
        <f t="shared" si="4"/>
        <v>57.142857142857139</v>
      </c>
    </row>
    <row r="162" spans="1:7" x14ac:dyDescent="0.3">
      <c r="D162">
        <v>5</v>
      </c>
      <c r="E162">
        <f t="shared" si="4"/>
        <v>71.428571428571431</v>
      </c>
    </row>
    <row r="163" spans="1:7" x14ac:dyDescent="0.3">
      <c r="D163">
        <v>4</v>
      </c>
      <c r="E163">
        <f t="shared" si="4"/>
        <v>57.142857142857139</v>
      </c>
    </row>
    <row r="164" spans="1:7" x14ac:dyDescent="0.3">
      <c r="D164">
        <v>3</v>
      </c>
      <c r="E164">
        <f t="shared" si="4"/>
        <v>42.857142857142854</v>
      </c>
    </row>
    <row r="165" spans="1:7" x14ac:dyDescent="0.3">
      <c r="D165">
        <v>5</v>
      </c>
      <c r="E165">
        <f t="shared" si="4"/>
        <v>71.428571428571431</v>
      </c>
    </row>
    <row r="166" spans="1:7" x14ac:dyDescent="0.3">
      <c r="D166">
        <v>2</v>
      </c>
      <c r="E166">
        <f t="shared" si="4"/>
        <v>28.571428571428569</v>
      </c>
    </row>
    <row r="168" spans="1:7" ht="15" thickBot="1" x14ac:dyDescent="0.35">
      <c r="A168" s="1" t="s">
        <v>2</v>
      </c>
      <c r="B168" s="1" t="s">
        <v>3</v>
      </c>
      <c r="C168" s="1" t="s">
        <v>4</v>
      </c>
      <c r="D168" s="2" t="s">
        <v>121</v>
      </c>
      <c r="E168" s="1" t="s">
        <v>167</v>
      </c>
      <c r="F168" s="1" t="s">
        <v>29</v>
      </c>
      <c r="G168" s="1" t="s">
        <v>122</v>
      </c>
    </row>
    <row r="169" spans="1:7" x14ac:dyDescent="0.3">
      <c r="A169" t="s">
        <v>56</v>
      </c>
      <c r="B169" t="s">
        <v>57</v>
      </c>
      <c r="C169">
        <v>2018</v>
      </c>
      <c r="D169">
        <v>4</v>
      </c>
      <c r="E169">
        <f>(D169/7)*100</f>
        <v>57.142857142857139</v>
      </c>
      <c r="F169">
        <f>AVERAGE(E169:E178)</f>
        <v>38.571428571428562</v>
      </c>
      <c r="G169">
        <f>_xlfn.STDEV.S(E169:E178)</f>
        <v>13.552618543578816</v>
      </c>
    </row>
    <row r="170" spans="1:7" x14ac:dyDescent="0.3">
      <c r="D170">
        <v>4</v>
      </c>
      <c r="E170">
        <f t="shared" ref="E170:E178" si="5">(D170/7)*100</f>
        <v>57.142857142857139</v>
      </c>
    </row>
    <row r="171" spans="1:7" x14ac:dyDescent="0.3">
      <c r="D171">
        <v>2</v>
      </c>
      <c r="E171">
        <f t="shared" si="5"/>
        <v>28.571428571428569</v>
      </c>
    </row>
    <row r="172" spans="1:7" x14ac:dyDescent="0.3">
      <c r="D172">
        <v>3</v>
      </c>
      <c r="E172">
        <f t="shared" si="5"/>
        <v>42.857142857142854</v>
      </c>
    </row>
    <row r="173" spans="1:7" x14ac:dyDescent="0.3">
      <c r="D173">
        <v>2</v>
      </c>
      <c r="E173">
        <f t="shared" si="5"/>
        <v>28.571428571428569</v>
      </c>
    </row>
    <row r="174" spans="1:7" x14ac:dyDescent="0.3">
      <c r="D174">
        <v>3</v>
      </c>
      <c r="E174">
        <f t="shared" si="5"/>
        <v>42.857142857142854</v>
      </c>
    </row>
    <row r="175" spans="1:7" x14ac:dyDescent="0.3">
      <c r="D175">
        <v>3</v>
      </c>
      <c r="E175">
        <f t="shared" si="5"/>
        <v>42.857142857142854</v>
      </c>
    </row>
    <row r="176" spans="1:7" x14ac:dyDescent="0.3">
      <c r="D176">
        <v>3</v>
      </c>
      <c r="E176">
        <f t="shared" si="5"/>
        <v>42.857142857142854</v>
      </c>
    </row>
    <row r="177" spans="1:7" x14ac:dyDescent="0.3">
      <c r="D177">
        <v>2</v>
      </c>
      <c r="E177">
        <f t="shared" si="5"/>
        <v>28.571428571428569</v>
      </c>
    </row>
    <row r="178" spans="1:7" x14ac:dyDescent="0.3">
      <c r="D178">
        <v>1</v>
      </c>
      <c r="E178">
        <f t="shared" si="5"/>
        <v>14.285714285714285</v>
      </c>
    </row>
    <row r="180" spans="1:7" ht="15" thickBot="1" x14ac:dyDescent="0.35">
      <c r="A180" s="1" t="s">
        <v>2</v>
      </c>
      <c r="B180" s="1" t="s">
        <v>3</v>
      </c>
      <c r="C180" s="1" t="s">
        <v>4</v>
      </c>
      <c r="D180" s="2" t="s">
        <v>121</v>
      </c>
      <c r="E180" s="1" t="s">
        <v>167</v>
      </c>
      <c r="F180" s="1" t="s">
        <v>29</v>
      </c>
      <c r="G180" s="1" t="s">
        <v>122</v>
      </c>
    </row>
    <row r="181" spans="1:7" x14ac:dyDescent="0.3">
      <c r="A181" t="s">
        <v>60</v>
      </c>
      <c r="B181" t="s">
        <v>61</v>
      </c>
      <c r="C181">
        <v>2013</v>
      </c>
      <c r="D181">
        <v>5</v>
      </c>
      <c r="E181">
        <f>(D181/10)*100</f>
        <v>50</v>
      </c>
      <c r="F181">
        <f>AVERAGE(E181:E188)</f>
        <v>48.75</v>
      </c>
      <c r="G181">
        <f>_xlfn.STDEV.S(E181:E188)</f>
        <v>13.562026818605375</v>
      </c>
    </row>
    <row r="182" spans="1:7" x14ac:dyDescent="0.3">
      <c r="D182">
        <v>4</v>
      </c>
      <c r="E182">
        <f t="shared" ref="E182:E188" si="6">(D182/10)*100</f>
        <v>40</v>
      </c>
    </row>
    <row r="183" spans="1:7" x14ac:dyDescent="0.3">
      <c r="D183">
        <v>6</v>
      </c>
      <c r="E183">
        <f t="shared" si="6"/>
        <v>60</v>
      </c>
    </row>
    <row r="184" spans="1:7" x14ac:dyDescent="0.3">
      <c r="D184">
        <v>2</v>
      </c>
      <c r="E184">
        <f t="shared" si="6"/>
        <v>20</v>
      </c>
    </row>
    <row r="185" spans="1:7" x14ac:dyDescent="0.3">
      <c r="D185">
        <v>5</v>
      </c>
      <c r="E185">
        <f t="shared" si="6"/>
        <v>50</v>
      </c>
    </row>
    <row r="186" spans="1:7" x14ac:dyDescent="0.3">
      <c r="D186">
        <v>6</v>
      </c>
      <c r="E186">
        <f t="shared" si="6"/>
        <v>60</v>
      </c>
    </row>
    <row r="187" spans="1:7" x14ac:dyDescent="0.3">
      <c r="D187">
        <v>5</v>
      </c>
      <c r="E187">
        <f t="shared" si="6"/>
        <v>50</v>
      </c>
    </row>
    <row r="188" spans="1:7" x14ac:dyDescent="0.3">
      <c r="D188">
        <v>6</v>
      </c>
      <c r="E188">
        <f t="shared" si="6"/>
        <v>60</v>
      </c>
    </row>
    <row r="190" spans="1:7" ht="15" thickBot="1" x14ac:dyDescent="0.35">
      <c r="A190" s="1" t="s">
        <v>2</v>
      </c>
      <c r="B190" s="1" t="s">
        <v>3</v>
      </c>
      <c r="C190" s="1" t="s">
        <v>4</v>
      </c>
      <c r="D190" s="2" t="s">
        <v>121</v>
      </c>
      <c r="E190" s="1" t="s">
        <v>167</v>
      </c>
      <c r="F190" s="1" t="s">
        <v>29</v>
      </c>
      <c r="G190" s="1" t="s">
        <v>122</v>
      </c>
    </row>
    <row r="191" spans="1:7" x14ac:dyDescent="0.3">
      <c r="A191" t="s">
        <v>62</v>
      </c>
      <c r="B191" t="s">
        <v>63</v>
      </c>
      <c r="C191">
        <v>2019</v>
      </c>
      <c r="D191">
        <v>3</v>
      </c>
      <c r="E191">
        <f>(D191/5)*100</f>
        <v>60</v>
      </c>
      <c r="F191">
        <f>AVERAGE(E191:E213)</f>
        <v>49.565217391304351</v>
      </c>
      <c r="G191">
        <f>_xlfn.STDEV.S(E191:E213)</f>
        <v>18.944478895773589</v>
      </c>
    </row>
    <row r="192" spans="1:7" x14ac:dyDescent="0.3">
      <c r="D192">
        <v>2</v>
      </c>
      <c r="E192">
        <f t="shared" ref="E192:E213" si="7">(D192/5)*100</f>
        <v>40</v>
      </c>
    </row>
    <row r="193" spans="4:5" x14ac:dyDescent="0.3">
      <c r="D193">
        <v>3</v>
      </c>
      <c r="E193">
        <f t="shared" si="7"/>
        <v>60</v>
      </c>
    </row>
    <row r="194" spans="4:5" x14ac:dyDescent="0.3">
      <c r="D194">
        <v>2</v>
      </c>
      <c r="E194">
        <f t="shared" si="7"/>
        <v>40</v>
      </c>
    </row>
    <row r="195" spans="4:5" x14ac:dyDescent="0.3">
      <c r="D195">
        <v>2</v>
      </c>
      <c r="E195">
        <f t="shared" si="7"/>
        <v>40</v>
      </c>
    </row>
    <row r="196" spans="4:5" x14ac:dyDescent="0.3">
      <c r="D196">
        <v>2</v>
      </c>
      <c r="E196">
        <f t="shared" si="7"/>
        <v>40</v>
      </c>
    </row>
    <row r="197" spans="4:5" x14ac:dyDescent="0.3">
      <c r="D197">
        <v>4</v>
      </c>
      <c r="E197">
        <f t="shared" si="7"/>
        <v>80</v>
      </c>
    </row>
    <row r="198" spans="4:5" x14ac:dyDescent="0.3">
      <c r="D198">
        <v>1</v>
      </c>
      <c r="E198">
        <f t="shared" si="7"/>
        <v>20</v>
      </c>
    </row>
    <row r="199" spans="4:5" x14ac:dyDescent="0.3">
      <c r="D199">
        <v>3</v>
      </c>
      <c r="E199">
        <f t="shared" si="7"/>
        <v>60</v>
      </c>
    </row>
    <row r="200" spans="4:5" x14ac:dyDescent="0.3">
      <c r="D200">
        <v>2</v>
      </c>
      <c r="E200">
        <f t="shared" si="7"/>
        <v>40</v>
      </c>
    </row>
    <row r="201" spans="4:5" x14ac:dyDescent="0.3">
      <c r="D201">
        <v>4</v>
      </c>
      <c r="E201">
        <f t="shared" si="7"/>
        <v>80</v>
      </c>
    </row>
    <row r="202" spans="4:5" x14ac:dyDescent="0.3">
      <c r="D202">
        <v>1</v>
      </c>
      <c r="E202">
        <f t="shared" si="7"/>
        <v>20</v>
      </c>
    </row>
    <row r="203" spans="4:5" x14ac:dyDescent="0.3">
      <c r="D203">
        <v>3</v>
      </c>
      <c r="E203">
        <f t="shared" si="7"/>
        <v>60</v>
      </c>
    </row>
    <row r="204" spans="4:5" x14ac:dyDescent="0.3">
      <c r="D204">
        <v>4</v>
      </c>
      <c r="E204">
        <f t="shared" si="7"/>
        <v>80</v>
      </c>
    </row>
    <row r="205" spans="4:5" x14ac:dyDescent="0.3">
      <c r="D205">
        <v>3</v>
      </c>
      <c r="E205">
        <f t="shared" si="7"/>
        <v>60</v>
      </c>
    </row>
    <row r="206" spans="4:5" x14ac:dyDescent="0.3">
      <c r="D206">
        <v>2</v>
      </c>
      <c r="E206">
        <f t="shared" si="7"/>
        <v>40</v>
      </c>
    </row>
    <row r="207" spans="4:5" x14ac:dyDescent="0.3">
      <c r="D207">
        <v>3</v>
      </c>
      <c r="E207">
        <f t="shared" si="7"/>
        <v>60</v>
      </c>
    </row>
    <row r="208" spans="4:5" x14ac:dyDescent="0.3">
      <c r="D208">
        <v>4</v>
      </c>
      <c r="E208">
        <f t="shared" si="7"/>
        <v>80</v>
      </c>
    </row>
    <row r="209" spans="1:9" x14ac:dyDescent="0.3">
      <c r="D209">
        <v>2</v>
      </c>
      <c r="E209">
        <f t="shared" si="7"/>
        <v>40</v>
      </c>
    </row>
    <row r="210" spans="1:9" x14ac:dyDescent="0.3">
      <c r="D210">
        <v>2</v>
      </c>
      <c r="E210">
        <f t="shared" si="7"/>
        <v>40</v>
      </c>
    </row>
    <row r="211" spans="1:9" x14ac:dyDescent="0.3">
      <c r="D211">
        <v>2</v>
      </c>
      <c r="E211">
        <f t="shared" si="7"/>
        <v>40</v>
      </c>
    </row>
    <row r="212" spans="1:9" x14ac:dyDescent="0.3">
      <c r="D212">
        <v>2</v>
      </c>
      <c r="E212">
        <f t="shared" si="7"/>
        <v>40</v>
      </c>
    </row>
    <row r="213" spans="1:9" x14ac:dyDescent="0.3">
      <c r="D213">
        <v>1</v>
      </c>
      <c r="E213">
        <f t="shared" si="7"/>
        <v>20</v>
      </c>
    </row>
    <row r="215" spans="1:9" ht="15" thickBot="1" x14ac:dyDescent="0.35">
      <c r="A215" s="1" t="s">
        <v>2</v>
      </c>
      <c r="B215" s="1" t="s">
        <v>3</v>
      </c>
      <c r="C215" s="1" t="s">
        <v>4</v>
      </c>
      <c r="D215" s="2" t="s">
        <v>195</v>
      </c>
      <c r="E215" s="1" t="s">
        <v>196</v>
      </c>
      <c r="F215" s="3" t="s">
        <v>197</v>
      </c>
      <c r="G215" s="3" t="s">
        <v>167</v>
      </c>
      <c r="H215" s="1" t="s">
        <v>29</v>
      </c>
      <c r="I215" s="1" t="s">
        <v>122</v>
      </c>
    </row>
    <row r="216" spans="1:9" x14ac:dyDescent="0.3">
      <c r="A216" t="s">
        <v>64</v>
      </c>
      <c r="B216" t="s">
        <v>65</v>
      </c>
      <c r="C216">
        <v>2015</v>
      </c>
      <c r="D216">
        <v>50</v>
      </c>
      <c r="E216">
        <f>(D216/100)*12</f>
        <v>6</v>
      </c>
      <c r="F216">
        <v>5</v>
      </c>
      <c r="G216">
        <f>(F216/8)*100</f>
        <v>62.5</v>
      </c>
      <c r="H216">
        <f>AVERAGE(G216:G227)</f>
        <v>22.916666666666668</v>
      </c>
      <c r="I216">
        <f>_xlfn.STDEV.S(G216:G227)</f>
        <v>14.917703535996377</v>
      </c>
    </row>
    <row r="217" spans="1:9" x14ac:dyDescent="0.3">
      <c r="D217">
        <v>100</v>
      </c>
      <c r="E217">
        <f t="shared" ref="E217:E223" si="8">(D217/100)*12</f>
        <v>12</v>
      </c>
      <c r="F217">
        <v>3</v>
      </c>
      <c r="G217">
        <f t="shared" ref="G217:G227" si="9">(F217/8)*100</f>
        <v>37.5</v>
      </c>
    </row>
    <row r="218" spans="1:9" x14ac:dyDescent="0.3">
      <c r="D218">
        <v>8.35</v>
      </c>
      <c r="E218" s="15">
        <f t="shared" si="8"/>
        <v>1.0019999999999998</v>
      </c>
      <c r="F218">
        <v>2</v>
      </c>
      <c r="G218">
        <f t="shared" si="9"/>
        <v>25</v>
      </c>
    </row>
    <row r="219" spans="1:9" x14ac:dyDescent="0.3">
      <c r="D219">
        <v>8.35</v>
      </c>
      <c r="E219" s="15">
        <f t="shared" si="8"/>
        <v>1.0019999999999998</v>
      </c>
      <c r="F219">
        <v>2</v>
      </c>
      <c r="G219">
        <f t="shared" si="9"/>
        <v>25</v>
      </c>
    </row>
    <row r="220" spans="1:9" x14ac:dyDescent="0.3">
      <c r="D220">
        <v>0</v>
      </c>
      <c r="E220">
        <f t="shared" si="8"/>
        <v>0</v>
      </c>
      <c r="F220">
        <v>2</v>
      </c>
      <c r="G220">
        <f t="shared" si="9"/>
        <v>25</v>
      </c>
    </row>
    <row r="221" spans="1:9" x14ac:dyDescent="0.3">
      <c r="D221">
        <v>16.7</v>
      </c>
      <c r="E221" s="15">
        <f t="shared" si="8"/>
        <v>2.0039999999999996</v>
      </c>
      <c r="F221">
        <v>2</v>
      </c>
      <c r="G221">
        <f t="shared" si="9"/>
        <v>25</v>
      </c>
    </row>
    <row r="222" spans="1:9" x14ac:dyDescent="0.3">
      <c r="D222">
        <v>0</v>
      </c>
      <c r="E222">
        <f t="shared" si="8"/>
        <v>0</v>
      </c>
      <c r="F222">
        <v>1</v>
      </c>
      <c r="G222">
        <f t="shared" si="9"/>
        <v>12.5</v>
      </c>
    </row>
    <row r="223" spans="1:9" x14ac:dyDescent="0.3">
      <c r="D223">
        <v>0</v>
      </c>
      <c r="E223">
        <f t="shared" si="8"/>
        <v>0</v>
      </c>
      <c r="F223">
        <v>1</v>
      </c>
      <c r="G223">
        <f t="shared" si="9"/>
        <v>12.5</v>
      </c>
    </row>
    <row r="224" spans="1:9" x14ac:dyDescent="0.3">
      <c r="F224">
        <v>1</v>
      </c>
      <c r="G224">
        <f t="shared" si="9"/>
        <v>12.5</v>
      </c>
    </row>
    <row r="225" spans="1:7" x14ac:dyDescent="0.3">
      <c r="F225">
        <v>1</v>
      </c>
      <c r="G225">
        <f t="shared" si="9"/>
        <v>12.5</v>
      </c>
    </row>
    <row r="226" spans="1:7" x14ac:dyDescent="0.3">
      <c r="F226">
        <v>1</v>
      </c>
      <c r="G226">
        <f t="shared" si="9"/>
        <v>12.5</v>
      </c>
    </row>
    <row r="227" spans="1:7" x14ac:dyDescent="0.3">
      <c r="F227">
        <v>1</v>
      </c>
      <c r="G227">
        <f t="shared" si="9"/>
        <v>12.5</v>
      </c>
    </row>
    <row r="228" spans="1:7" x14ac:dyDescent="0.3">
      <c r="F228" t="s">
        <v>198</v>
      </c>
    </row>
    <row r="230" spans="1:7" ht="15" thickBot="1" x14ac:dyDescent="0.35">
      <c r="A230" s="1" t="s">
        <v>2</v>
      </c>
      <c r="B230" s="1" t="s">
        <v>3</v>
      </c>
      <c r="C230" s="1" t="s">
        <v>4</v>
      </c>
      <c r="D230" s="2" t="s">
        <v>121</v>
      </c>
      <c r="E230" s="1" t="s">
        <v>167</v>
      </c>
      <c r="F230" s="1" t="s">
        <v>29</v>
      </c>
      <c r="G230" s="1" t="s">
        <v>122</v>
      </c>
    </row>
    <row r="231" spans="1:7" x14ac:dyDescent="0.3">
      <c r="A231" t="s">
        <v>66</v>
      </c>
      <c r="B231" t="s">
        <v>67</v>
      </c>
      <c r="C231">
        <v>2014</v>
      </c>
      <c r="D231">
        <v>3</v>
      </c>
      <c r="E231">
        <f>(D231/5)*100</f>
        <v>60</v>
      </c>
      <c r="F231">
        <f>AVERAGE(E231:E250)</f>
        <v>52</v>
      </c>
      <c r="G231">
        <f>_xlfn.STDEV.S(E231:E250)</f>
        <v>18.806493839265091</v>
      </c>
    </row>
    <row r="232" spans="1:7" x14ac:dyDescent="0.3">
      <c r="D232">
        <v>2</v>
      </c>
      <c r="E232">
        <f t="shared" ref="E232:E250" si="10">(D232/5)*100</f>
        <v>40</v>
      </c>
    </row>
    <row r="233" spans="1:7" x14ac:dyDescent="0.3">
      <c r="D233">
        <v>4</v>
      </c>
      <c r="E233">
        <f t="shared" si="10"/>
        <v>80</v>
      </c>
    </row>
    <row r="234" spans="1:7" x14ac:dyDescent="0.3">
      <c r="D234">
        <v>4</v>
      </c>
      <c r="E234">
        <f t="shared" si="10"/>
        <v>80</v>
      </c>
    </row>
    <row r="235" spans="1:7" x14ac:dyDescent="0.3">
      <c r="D235">
        <v>2</v>
      </c>
      <c r="E235">
        <f t="shared" si="10"/>
        <v>40</v>
      </c>
    </row>
    <row r="236" spans="1:7" x14ac:dyDescent="0.3">
      <c r="D236">
        <v>2</v>
      </c>
      <c r="E236">
        <f t="shared" si="10"/>
        <v>40</v>
      </c>
    </row>
    <row r="237" spans="1:7" x14ac:dyDescent="0.3">
      <c r="D237">
        <v>2</v>
      </c>
      <c r="E237">
        <f t="shared" si="10"/>
        <v>40</v>
      </c>
    </row>
    <row r="238" spans="1:7" x14ac:dyDescent="0.3">
      <c r="D238">
        <v>2</v>
      </c>
      <c r="E238">
        <f t="shared" si="10"/>
        <v>40</v>
      </c>
    </row>
    <row r="239" spans="1:7" x14ac:dyDescent="0.3">
      <c r="D239">
        <v>3</v>
      </c>
      <c r="E239">
        <f t="shared" si="10"/>
        <v>60</v>
      </c>
    </row>
    <row r="240" spans="1:7" x14ac:dyDescent="0.3">
      <c r="D240">
        <v>3</v>
      </c>
      <c r="E240">
        <f t="shared" si="10"/>
        <v>60</v>
      </c>
    </row>
    <row r="241" spans="1:7" x14ac:dyDescent="0.3">
      <c r="D241">
        <v>3</v>
      </c>
      <c r="E241">
        <f t="shared" si="10"/>
        <v>60</v>
      </c>
    </row>
    <row r="242" spans="1:7" x14ac:dyDescent="0.3">
      <c r="D242">
        <v>2</v>
      </c>
      <c r="E242">
        <f t="shared" si="10"/>
        <v>40</v>
      </c>
    </row>
    <row r="243" spans="1:7" x14ac:dyDescent="0.3">
      <c r="D243">
        <v>4</v>
      </c>
      <c r="E243">
        <f t="shared" si="10"/>
        <v>80</v>
      </c>
    </row>
    <row r="244" spans="1:7" x14ac:dyDescent="0.3">
      <c r="D244">
        <v>1</v>
      </c>
      <c r="E244">
        <f t="shared" si="10"/>
        <v>20</v>
      </c>
    </row>
    <row r="245" spans="1:7" x14ac:dyDescent="0.3">
      <c r="D245">
        <v>1</v>
      </c>
      <c r="E245">
        <f t="shared" si="10"/>
        <v>20</v>
      </c>
    </row>
    <row r="246" spans="1:7" x14ac:dyDescent="0.3">
      <c r="D246">
        <v>3</v>
      </c>
      <c r="E246">
        <f t="shared" si="10"/>
        <v>60</v>
      </c>
    </row>
    <row r="247" spans="1:7" x14ac:dyDescent="0.3">
      <c r="D247">
        <v>3</v>
      </c>
      <c r="E247">
        <f t="shared" si="10"/>
        <v>60</v>
      </c>
    </row>
    <row r="248" spans="1:7" x14ac:dyDescent="0.3">
      <c r="D248">
        <v>2</v>
      </c>
      <c r="E248">
        <f t="shared" si="10"/>
        <v>40</v>
      </c>
    </row>
    <row r="249" spans="1:7" x14ac:dyDescent="0.3">
      <c r="D249">
        <v>2</v>
      </c>
      <c r="E249">
        <f t="shared" si="10"/>
        <v>40</v>
      </c>
    </row>
    <row r="250" spans="1:7" x14ac:dyDescent="0.3">
      <c r="D250">
        <v>4</v>
      </c>
      <c r="E250">
        <f t="shared" si="10"/>
        <v>80</v>
      </c>
    </row>
    <row r="252" spans="1:7" ht="15" thickBot="1" x14ac:dyDescent="0.35">
      <c r="A252" s="1" t="s">
        <v>2</v>
      </c>
      <c r="B252" s="1" t="s">
        <v>3</v>
      </c>
      <c r="C252" s="1" t="s">
        <v>4</v>
      </c>
      <c r="D252" s="2" t="s">
        <v>121</v>
      </c>
      <c r="E252" s="1" t="s">
        <v>167</v>
      </c>
      <c r="F252" s="1" t="s">
        <v>29</v>
      </c>
      <c r="G252" s="1" t="s">
        <v>122</v>
      </c>
    </row>
    <row r="253" spans="1:7" x14ac:dyDescent="0.3">
      <c r="A253" t="s">
        <v>68</v>
      </c>
      <c r="B253" t="s">
        <v>69</v>
      </c>
      <c r="C253">
        <v>2018</v>
      </c>
      <c r="D253">
        <v>4</v>
      </c>
      <c r="E253">
        <f>(D253/10)*100</f>
        <v>40</v>
      </c>
      <c r="F253">
        <f>AVERAGE(E253:E275)</f>
        <v>44.782608695652172</v>
      </c>
      <c r="G253">
        <f>_xlfn.STDEV.S(E253:E275)</f>
        <v>8.9795551708975978</v>
      </c>
    </row>
    <row r="254" spans="1:7" x14ac:dyDescent="0.3">
      <c r="D254">
        <v>5</v>
      </c>
      <c r="E254">
        <f t="shared" ref="E254:E275" si="11">(D254/10)*100</f>
        <v>50</v>
      </c>
    </row>
    <row r="255" spans="1:7" x14ac:dyDescent="0.3">
      <c r="D255">
        <v>6</v>
      </c>
      <c r="E255">
        <f t="shared" si="11"/>
        <v>60</v>
      </c>
    </row>
    <row r="256" spans="1:7" x14ac:dyDescent="0.3">
      <c r="D256">
        <v>6</v>
      </c>
      <c r="E256">
        <f t="shared" si="11"/>
        <v>60</v>
      </c>
    </row>
    <row r="257" spans="4:5" x14ac:dyDescent="0.3">
      <c r="D257">
        <v>5</v>
      </c>
      <c r="E257">
        <f t="shared" si="11"/>
        <v>50</v>
      </c>
    </row>
    <row r="258" spans="4:5" x14ac:dyDescent="0.3">
      <c r="D258">
        <v>5</v>
      </c>
      <c r="E258">
        <f t="shared" si="11"/>
        <v>50</v>
      </c>
    </row>
    <row r="259" spans="4:5" x14ac:dyDescent="0.3">
      <c r="D259">
        <v>5</v>
      </c>
      <c r="E259">
        <f t="shared" si="11"/>
        <v>50</v>
      </c>
    </row>
    <row r="260" spans="4:5" x14ac:dyDescent="0.3">
      <c r="D260">
        <v>6</v>
      </c>
      <c r="E260">
        <f t="shared" si="11"/>
        <v>60</v>
      </c>
    </row>
    <row r="261" spans="4:5" x14ac:dyDescent="0.3">
      <c r="D261">
        <v>5</v>
      </c>
      <c r="E261">
        <f t="shared" si="11"/>
        <v>50</v>
      </c>
    </row>
    <row r="262" spans="4:5" x14ac:dyDescent="0.3">
      <c r="D262">
        <v>4</v>
      </c>
      <c r="E262">
        <f t="shared" si="11"/>
        <v>40</v>
      </c>
    </row>
    <row r="263" spans="4:5" x14ac:dyDescent="0.3">
      <c r="D263">
        <v>4</v>
      </c>
      <c r="E263">
        <f t="shared" si="11"/>
        <v>40</v>
      </c>
    </row>
    <row r="264" spans="4:5" x14ac:dyDescent="0.3">
      <c r="D264">
        <v>3</v>
      </c>
      <c r="E264">
        <f t="shared" si="11"/>
        <v>30</v>
      </c>
    </row>
    <row r="265" spans="4:5" x14ac:dyDescent="0.3">
      <c r="D265">
        <v>5</v>
      </c>
      <c r="E265">
        <f t="shared" si="11"/>
        <v>50</v>
      </c>
    </row>
    <row r="266" spans="4:5" x14ac:dyDescent="0.3">
      <c r="D266">
        <v>4</v>
      </c>
      <c r="E266">
        <f t="shared" si="11"/>
        <v>40</v>
      </c>
    </row>
    <row r="267" spans="4:5" x14ac:dyDescent="0.3">
      <c r="D267">
        <v>4</v>
      </c>
      <c r="E267">
        <f t="shared" si="11"/>
        <v>40</v>
      </c>
    </row>
    <row r="268" spans="4:5" x14ac:dyDescent="0.3">
      <c r="D268">
        <v>3</v>
      </c>
      <c r="E268">
        <f t="shared" si="11"/>
        <v>30</v>
      </c>
    </row>
    <row r="269" spans="4:5" x14ac:dyDescent="0.3">
      <c r="D269">
        <v>5</v>
      </c>
      <c r="E269">
        <f t="shared" si="11"/>
        <v>50</v>
      </c>
    </row>
    <row r="270" spans="4:5" x14ac:dyDescent="0.3">
      <c r="D270">
        <v>4</v>
      </c>
      <c r="E270">
        <f t="shared" si="11"/>
        <v>40</v>
      </c>
    </row>
    <row r="271" spans="4:5" x14ac:dyDescent="0.3">
      <c r="D271">
        <v>4</v>
      </c>
      <c r="E271">
        <f t="shared" si="11"/>
        <v>40</v>
      </c>
    </row>
    <row r="272" spans="4:5" x14ac:dyDescent="0.3">
      <c r="D272">
        <v>5</v>
      </c>
      <c r="E272">
        <f t="shared" si="11"/>
        <v>50</v>
      </c>
    </row>
    <row r="273" spans="1:7" x14ac:dyDescent="0.3">
      <c r="D273">
        <v>4</v>
      </c>
      <c r="E273">
        <f t="shared" si="11"/>
        <v>40</v>
      </c>
    </row>
    <row r="274" spans="1:7" x14ac:dyDescent="0.3">
      <c r="D274">
        <v>3</v>
      </c>
      <c r="E274">
        <f t="shared" si="11"/>
        <v>30</v>
      </c>
    </row>
    <row r="275" spans="1:7" x14ac:dyDescent="0.3">
      <c r="D275">
        <v>4</v>
      </c>
      <c r="E275">
        <f t="shared" si="11"/>
        <v>40</v>
      </c>
    </row>
    <row r="277" spans="1:7" ht="15" thickBot="1" x14ac:dyDescent="0.35">
      <c r="A277" s="1" t="s">
        <v>2</v>
      </c>
      <c r="B277" s="1" t="s">
        <v>3</v>
      </c>
      <c r="C277" s="1" t="s">
        <v>4</v>
      </c>
      <c r="D277" s="2" t="s">
        <v>211</v>
      </c>
      <c r="E277" s="1" t="s">
        <v>167</v>
      </c>
      <c r="F277" s="1" t="s">
        <v>29</v>
      </c>
      <c r="G277" s="1" t="s">
        <v>122</v>
      </c>
    </row>
    <row r="278" spans="1:7" x14ac:dyDescent="0.3">
      <c r="A278" t="s">
        <v>72</v>
      </c>
      <c r="B278" t="s">
        <v>73</v>
      </c>
      <c r="C278">
        <v>2019</v>
      </c>
      <c r="D278">
        <v>7</v>
      </c>
      <c r="E278">
        <f>(D278/10)*100</f>
        <v>70</v>
      </c>
      <c r="F278">
        <f>AVERAGE(E278:E329)</f>
        <v>46.92307692307692</v>
      </c>
      <c r="G278">
        <f>_xlfn.STDEV.S(E278:E329)</f>
        <v>11.638081766754055</v>
      </c>
    </row>
    <row r="279" spans="1:7" x14ac:dyDescent="0.3">
      <c r="D279">
        <v>4</v>
      </c>
      <c r="E279">
        <f t="shared" ref="E279:E329" si="12">(D279/10)*100</f>
        <v>40</v>
      </c>
    </row>
    <row r="280" spans="1:7" x14ac:dyDescent="0.3">
      <c r="D280">
        <v>3</v>
      </c>
      <c r="E280">
        <f t="shared" si="12"/>
        <v>30</v>
      </c>
    </row>
    <row r="281" spans="1:7" x14ac:dyDescent="0.3">
      <c r="D281">
        <v>3</v>
      </c>
      <c r="E281">
        <f t="shared" si="12"/>
        <v>30</v>
      </c>
    </row>
    <row r="282" spans="1:7" x14ac:dyDescent="0.3">
      <c r="D282">
        <v>4</v>
      </c>
      <c r="E282">
        <f t="shared" si="12"/>
        <v>40</v>
      </c>
    </row>
    <row r="283" spans="1:7" x14ac:dyDescent="0.3">
      <c r="D283">
        <v>3</v>
      </c>
      <c r="E283">
        <f t="shared" si="12"/>
        <v>30</v>
      </c>
    </row>
    <row r="284" spans="1:7" x14ac:dyDescent="0.3">
      <c r="D284">
        <v>5</v>
      </c>
      <c r="E284">
        <f t="shared" si="12"/>
        <v>50</v>
      </c>
    </row>
    <row r="285" spans="1:7" x14ac:dyDescent="0.3">
      <c r="D285">
        <v>4</v>
      </c>
      <c r="E285">
        <f t="shared" si="12"/>
        <v>40</v>
      </c>
    </row>
    <row r="286" spans="1:7" x14ac:dyDescent="0.3">
      <c r="D286">
        <v>4</v>
      </c>
      <c r="E286">
        <f t="shared" si="12"/>
        <v>40</v>
      </c>
    </row>
    <row r="287" spans="1:7" x14ac:dyDescent="0.3">
      <c r="D287">
        <v>5</v>
      </c>
      <c r="E287">
        <f t="shared" si="12"/>
        <v>50</v>
      </c>
    </row>
    <row r="288" spans="1:7" x14ac:dyDescent="0.3">
      <c r="D288">
        <v>4</v>
      </c>
      <c r="E288">
        <f t="shared" si="12"/>
        <v>40</v>
      </c>
    </row>
    <row r="289" spans="4:5" x14ac:dyDescent="0.3">
      <c r="D289">
        <v>3</v>
      </c>
      <c r="E289">
        <f t="shared" si="12"/>
        <v>30</v>
      </c>
    </row>
    <row r="290" spans="4:5" x14ac:dyDescent="0.3">
      <c r="D290">
        <v>7</v>
      </c>
      <c r="E290">
        <f t="shared" si="12"/>
        <v>70</v>
      </c>
    </row>
    <row r="291" spans="4:5" x14ac:dyDescent="0.3">
      <c r="D291">
        <v>6</v>
      </c>
      <c r="E291">
        <f t="shared" si="12"/>
        <v>60</v>
      </c>
    </row>
    <row r="292" spans="4:5" x14ac:dyDescent="0.3">
      <c r="D292">
        <v>7</v>
      </c>
      <c r="E292">
        <f t="shared" si="12"/>
        <v>70</v>
      </c>
    </row>
    <row r="293" spans="4:5" x14ac:dyDescent="0.3">
      <c r="D293">
        <v>5</v>
      </c>
      <c r="E293">
        <f t="shared" si="12"/>
        <v>50</v>
      </c>
    </row>
    <row r="294" spans="4:5" x14ac:dyDescent="0.3">
      <c r="D294">
        <v>3</v>
      </c>
      <c r="E294">
        <f t="shared" si="12"/>
        <v>30</v>
      </c>
    </row>
    <row r="295" spans="4:5" x14ac:dyDescent="0.3">
      <c r="D295">
        <v>4</v>
      </c>
      <c r="E295">
        <f t="shared" si="12"/>
        <v>40</v>
      </c>
    </row>
    <row r="296" spans="4:5" x14ac:dyDescent="0.3">
      <c r="D296">
        <v>5</v>
      </c>
      <c r="E296">
        <f t="shared" si="12"/>
        <v>50</v>
      </c>
    </row>
    <row r="297" spans="4:5" x14ac:dyDescent="0.3">
      <c r="D297">
        <v>4</v>
      </c>
      <c r="E297">
        <f t="shared" si="12"/>
        <v>40</v>
      </c>
    </row>
    <row r="298" spans="4:5" x14ac:dyDescent="0.3">
      <c r="D298">
        <v>5</v>
      </c>
      <c r="E298">
        <f t="shared" si="12"/>
        <v>50</v>
      </c>
    </row>
    <row r="299" spans="4:5" x14ac:dyDescent="0.3">
      <c r="D299">
        <v>4</v>
      </c>
      <c r="E299">
        <f t="shared" si="12"/>
        <v>40</v>
      </c>
    </row>
    <row r="300" spans="4:5" x14ac:dyDescent="0.3">
      <c r="D300">
        <v>4</v>
      </c>
      <c r="E300">
        <f t="shared" si="12"/>
        <v>40</v>
      </c>
    </row>
    <row r="301" spans="4:5" x14ac:dyDescent="0.3">
      <c r="D301">
        <v>3</v>
      </c>
      <c r="E301">
        <f t="shared" si="12"/>
        <v>30</v>
      </c>
    </row>
    <row r="302" spans="4:5" x14ac:dyDescent="0.3">
      <c r="D302">
        <v>4</v>
      </c>
      <c r="E302">
        <f t="shared" si="12"/>
        <v>40</v>
      </c>
    </row>
    <row r="303" spans="4:5" x14ac:dyDescent="0.3">
      <c r="D303">
        <v>5</v>
      </c>
      <c r="E303">
        <f t="shared" si="12"/>
        <v>50</v>
      </c>
    </row>
    <row r="304" spans="4:5" x14ac:dyDescent="0.3">
      <c r="D304">
        <v>4</v>
      </c>
      <c r="E304">
        <f t="shared" si="12"/>
        <v>40</v>
      </c>
    </row>
    <row r="305" spans="4:5" x14ac:dyDescent="0.3">
      <c r="D305">
        <v>5</v>
      </c>
      <c r="E305">
        <f t="shared" si="12"/>
        <v>50</v>
      </c>
    </row>
    <row r="306" spans="4:5" x14ac:dyDescent="0.3">
      <c r="D306">
        <v>5</v>
      </c>
      <c r="E306">
        <f t="shared" si="12"/>
        <v>50</v>
      </c>
    </row>
    <row r="307" spans="4:5" x14ac:dyDescent="0.3">
      <c r="D307">
        <v>5</v>
      </c>
      <c r="E307">
        <f t="shared" si="12"/>
        <v>50</v>
      </c>
    </row>
    <row r="308" spans="4:5" x14ac:dyDescent="0.3">
      <c r="D308">
        <v>5</v>
      </c>
      <c r="E308">
        <f t="shared" si="12"/>
        <v>50</v>
      </c>
    </row>
    <row r="309" spans="4:5" x14ac:dyDescent="0.3">
      <c r="D309">
        <v>6</v>
      </c>
      <c r="E309">
        <f t="shared" si="12"/>
        <v>60</v>
      </c>
    </row>
    <row r="310" spans="4:5" x14ac:dyDescent="0.3">
      <c r="D310">
        <v>6</v>
      </c>
      <c r="E310">
        <f t="shared" si="12"/>
        <v>60</v>
      </c>
    </row>
    <row r="311" spans="4:5" x14ac:dyDescent="0.3">
      <c r="D311">
        <v>4</v>
      </c>
      <c r="E311">
        <f t="shared" si="12"/>
        <v>40</v>
      </c>
    </row>
    <row r="312" spans="4:5" x14ac:dyDescent="0.3">
      <c r="D312">
        <v>5</v>
      </c>
      <c r="E312">
        <f t="shared" si="12"/>
        <v>50</v>
      </c>
    </row>
    <row r="313" spans="4:5" x14ac:dyDescent="0.3">
      <c r="D313">
        <v>5</v>
      </c>
      <c r="E313">
        <f t="shared" si="12"/>
        <v>50</v>
      </c>
    </row>
    <row r="314" spans="4:5" x14ac:dyDescent="0.3">
      <c r="D314">
        <v>5</v>
      </c>
      <c r="E314">
        <f t="shared" si="12"/>
        <v>50</v>
      </c>
    </row>
    <row r="315" spans="4:5" x14ac:dyDescent="0.3">
      <c r="D315">
        <v>4</v>
      </c>
      <c r="E315">
        <f t="shared" si="12"/>
        <v>40</v>
      </c>
    </row>
    <row r="316" spans="4:5" x14ac:dyDescent="0.3">
      <c r="D316">
        <v>6</v>
      </c>
      <c r="E316">
        <f t="shared" si="12"/>
        <v>60</v>
      </c>
    </row>
    <row r="317" spans="4:5" x14ac:dyDescent="0.3">
      <c r="D317">
        <v>5</v>
      </c>
      <c r="E317">
        <f t="shared" si="12"/>
        <v>50</v>
      </c>
    </row>
    <row r="318" spans="4:5" x14ac:dyDescent="0.3">
      <c r="D318">
        <v>5</v>
      </c>
      <c r="E318">
        <f t="shared" si="12"/>
        <v>50</v>
      </c>
    </row>
    <row r="319" spans="4:5" x14ac:dyDescent="0.3">
      <c r="D319">
        <v>8</v>
      </c>
      <c r="E319">
        <f t="shared" si="12"/>
        <v>80</v>
      </c>
    </row>
    <row r="320" spans="4:5" x14ac:dyDescent="0.3">
      <c r="D320">
        <v>6</v>
      </c>
      <c r="E320">
        <f t="shared" si="12"/>
        <v>60</v>
      </c>
    </row>
    <row r="321" spans="1:7" x14ac:dyDescent="0.3">
      <c r="D321">
        <v>5</v>
      </c>
      <c r="E321">
        <f t="shared" si="12"/>
        <v>50</v>
      </c>
    </row>
    <row r="322" spans="1:7" x14ac:dyDescent="0.3">
      <c r="D322">
        <v>5</v>
      </c>
      <c r="E322">
        <f t="shared" si="12"/>
        <v>50</v>
      </c>
    </row>
    <row r="323" spans="1:7" x14ac:dyDescent="0.3">
      <c r="D323">
        <v>4</v>
      </c>
      <c r="E323">
        <f t="shared" si="12"/>
        <v>40</v>
      </c>
    </row>
    <row r="324" spans="1:7" x14ac:dyDescent="0.3">
      <c r="D324">
        <v>5</v>
      </c>
      <c r="E324">
        <f t="shared" si="12"/>
        <v>50</v>
      </c>
    </row>
    <row r="325" spans="1:7" x14ac:dyDescent="0.3">
      <c r="D325">
        <v>3</v>
      </c>
      <c r="E325">
        <f t="shared" si="12"/>
        <v>30</v>
      </c>
    </row>
    <row r="326" spans="1:7" x14ac:dyDescent="0.3">
      <c r="D326">
        <v>6</v>
      </c>
      <c r="E326">
        <f t="shared" si="12"/>
        <v>60</v>
      </c>
    </row>
    <row r="327" spans="1:7" x14ac:dyDescent="0.3">
      <c r="D327">
        <v>3</v>
      </c>
      <c r="E327">
        <f t="shared" si="12"/>
        <v>30</v>
      </c>
    </row>
    <row r="328" spans="1:7" x14ac:dyDescent="0.3">
      <c r="D328">
        <v>4</v>
      </c>
      <c r="E328">
        <f t="shared" si="12"/>
        <v>40</v>
      </c>
    </row>
    <row r="329" spans="1:7" x14ac:dyDescent="0.3">
      <c r="D329">
        <v>5</v>
      </c>
      <c r="E329">
        <f t="shared" si="12"/>
        <v>50</v>
      </c>
    </row>
    <row r="331" spans="1:7" ht="15" thickBot="1" x14ac:dyDescent="0.35">
      <c r="A331" s="1" t="s">
        <v>2</v>
      </c>
      <c r="B331" s="1" t="s">
        <v>3</v>
      </c>
      <c r="C331" s="1" t="s">
        <v>4</v>
      </c>
      <c r="D331" s="2" t="s">
        <v>212</v>
      </c>
      <c r="E331" s="1" t="s">
        <v>167</v>
      </c>
      <c r="F331" s="1" t="s">
        <v>29</v>
      </c>
      <c r="G331" s="1" t="s">
        <v>122</v>
      </c>
    </row>
    <row r="332" spans="1:7" x14ac:dyDescent="0.3">
      <c r="A332" t="s">
        <v>72</v>
      </c>
      <c r="B332" t="s">
        <v>73</v>
      </c>
      <c r="C332">
        <v>2019</v>
      </c>
      <c r="D332">
        <v>5</v>
      </c>
      <c r="E332">
        <f>(D332/10)*100</f>
        <v>50</v>
      </c>
      <c r="F332">
        <f>AVERAGE(E332:E383)</f>
        <v>52.307692307692307</v>
      </c>
      <c r="G332">
        <f>_xlfn.STDEV.S(E332:E383)</f>
        <v>20.733167953635679</v>
      </c>
    </row>
    <row r="333" spans="1:7" x14ac:dyDescent="0.3">
      <c r="D333">
        <v>6</v>
      </c>
      <c r="E333">
        <f t="shared" ref="E333:E383" si="13">(D333/10)*100</f>
        <v>60</v>
      </c>
    </row>
    <row r="334" spans="1:7" x14ac:dyDescent="0.3">
      <c r="D334">
        <v>7</v>
      </c>
      <c r="E334">
        <f t="shared" si="13"/>
        <v>70</v>
      </c>
    </row>
    <row r="335" spans="1:7" x14ac:dyDescent="0.3">
      <c r="D335">
        <v>7</v>
      </c>
      <c r="E335">
        <f t="shared" si="13"/>
        <v>70</v>
      </c>
    </row>
    <row r="336" spans="1:7" x14ac:dyDescent="0.3">
      <c r="D336">
        <v>3</v>
      </c>
      <c r="E336">
        <f t="shared" si="13"/>
        <v>30</v>
      </c>
    </row>
    <row r="337" spans="4:5" x14ac:dyDescent="0.3">
      <c r="D337">
        <v>4</v>
      </c>
      <c r="E337">
        <f t="shared" si="13"/>
        <v>40</v>
      </c>
    </row>
    <row r="338" spans="4:5" x14ac:dyDescent="0.3">
      <c r="D338">
        <v>8</v>
      </c>
      <c r="E338">
        <f t="shared" si="13"/>
        <v>80</v>
      </c>
    </row>
    <row r="339" spans="4:5" x14ac:dyDescent="0.3">
      <c r="D339">
        <v>7</v>
      </c>
      <c r="E339">
        <f t="shared" si="13"/>
        <v>70</v>
      </c>
    </row>
    <row r="340" spans="4:5" x14ac:dyDescent="0.3">
      <c r="D340">
        <v>4</v>
      </c>
      <c r="E340">
        <f t="shared" si="13"/>
        <v>40</v>
      </c>
    </row>
    <row r="341" spans="4:5" x14ac:dyDescent="0.3">
      <c r="D341">
        <v>7</v>
      </c>
      <c r="E341">
        <f t="shared" si="13"/>
        <v>70</v>
      </c>
    </row>
    <row r="342" spans="4:5" x14ac:dyDescent="0.3">
      <c r="D342">
        <v>9</v>
      </c>
      <c r="E342">
        <f t="shared" si="13"/>
        <v>90</v>
      </c>
    </row>
    <row r="343" spans="4:5" x14ac:dyDescent="0.3">
      <c r="D343">
        <v>1</v>
      </c>
      <c r="E343">
        <f t="shared" si="13"/>
        <v>10</v>
      </c>
    </row>
    <row r="344" spans="4:5" x14ac:dyDescent="0.3">
      <c r="D344">
        <v>7</v>
      </c>
      <c r="E344">
        <f t="shared" si="13"/>
        <v>70</v>
      </c>
    </row>
    <row r="345" spans="4:5" x14ac:dyDescent="0.3">
      <c r="D345">
        <v>2</v>
      </c>
      <c r="E345">
        <f t="shared" si="13"/>
        <v>20</v>
      </c>
    </row>
    <row r="346" spans="4:5" x14ac:dyDescent="0.3">
      <c r="D346">
        <v>5</v>
      </c>
      <c r="E346">
        <f t="shared" si="13"/>
        <v>50</v>
      </c>
    </row>
    <row r="347" spans="4:5" x14ac:dyDescent="0.3">
      <c r="D347">
        <v>2</v>
      </c>
      <c r="E347">
        <f t="shared" si="13"/>
        <v>20</v>
      </c>
    </row>
    <row r="348" spans="4:5" x14ac:dyDescent="0.3">
      <c r="D348">
        <v>4</v>
      </c>
      <c r="E348">
        <f t="shared" si="13"/>
        <v>40</v>
      </c>
    </row>
    <row r="349" spans="4:5" x14ac:dyDescent="0.3">
      <c r="D349">
        <v>4</v>
      </c>
      <c r="E349">
        <f t="shared" si="13"/>
        <v>40</v>
      </c>
    </row>
    <row r="350" spans="4:5" x14ac:dyDescent="0.3">
      <c r="D350">
        <v>7</v>
      </c>
      <c r="E350">
        <f t="shared" si="13"/>
        <v>70</v>
      </c>
    </row>
    <row r="351" spans="4:5" x14ac:dyDescent="0.3">
      <c r="D351">
        <v>5</v>
      </c>
      <c r="E351">
        <f t="shared" si="13"/>
        <v>50</v>
      </c>
    </row>
    <row r="352" spans="4:5" x14ac:dyDescent="0.3">
      <c r="D352">
        <v>5</v>
      </c>
      <c r="E352">
        <f t="shared" si="13"/>
        <v>50</v>
      </c>
    </row>
    <row r="353" spans="4:5" x14ac:dyDescent="0.3">
      <c r="D353">
        <v>4</v>
      </c>
      <c r="E353">
        <f t="shared" si="13"/>
        <v>40</v>
      </c>
    </row>
    <row r="354" spans="4:5" x14ac:dyDescent="0.3">
      <c r="D354">
        <v>7</v>
      </c>
      <c r="E354">
        <f t="shared" si="13"/>
        <v>70</v>
      </c>
    </row>
    <row r="355" spans="4:5" x14ac:dyDescent="0.3">
      <c r="D355">
        <v>7</v>
      </c>
      <c r="E355">
        <f t="shared" si="13"/>
        <v>70</v>
      </c>
    </row>
    <row r="356" spans="4:5" x14ac:dyDescent="0.3">
      <c r="D356">
        <v>4</v>
      </c>
      <c r="E356">
        <f t="shared" si="13"/>
        <v>40</v>
      </c>
    </row>
    <row r="357" spans="4:5" x14ac:dyDescent="0.3">
      <c r="D357">
        <v>5</v>
      </c>
      <c r="E357">
        <f t="shared" si="13"/>
        <v>50</v>
      </c>
    </row>
    <row r="358" spans="4:5" x14ac:dyDescent="0.3">
      <c r="D358">
        <v>4</v>
      </c>
      <c r="E358">
        <f t="shared" si="13"/>
        <v>40</v>
      </c>
    </row>
    <row r="359" spans="4:5" x14ac:dyDescent="0.3">
      <c r="D359">
        <v>4</v>
      </c>
      <c r="E359">
        <f t="shared" si="13"/>
        <v>40</v>
      </c>
    </row>
    <row r="360" spans="4:5" x14ac:dyDescent="0.3">
      <c r="D360">
        <v>4</v>
      </c>
      <c r="E360">
        <f t="shared" si="13"/>
        <v>40</v>
      </c>
    </row>
    <row r="361" spans="4:5" x14ac:dyDescent="0.3">
      <c r="D361">
        <v>4</v>
      </c>
      <c r="E361">
        <f t="shared" si="13"/>
        <v>40</v>
      </c>
    </row>
    <row r="362" spans="4:5" x14ac:dyDescent="0.3">
      <c r="D362">
        <v>6</v>
      </c>
      <c r="E362">
        <f t="shared" si="13"/>
        <v>60</v>
      </c>
    </row>
    <row r="363" spans="4:5" x14ac:dyDescent="0.3">
      <c r="D363">
        <v>10</v>
      </c>
      <c r="E363">
        <f t="shared" si="13"/>
        <v>100</v>
      </c>
    </row>
    <row r="364" spans="4:5" x14ac:dyDescent="0.3">
      <c r="D364">
        <v>7</v>
      </c>
      <c r="E364">
        <f t="shared" si="13"/>
        <v>70</v>
      </c>
    </row>
    <row r="365" spans="4:5" x14ac:dyDescent="0.3">
      <c r="D365">
        <v>4</v>
      </c>
      <c r="E365">
        <f t="shared" si="13"/>
        <v>40</v>
      </c>
    </row>
    <row r="366" spans="4:5" x14ac:dyDescent="0.3">
      <c r="D366">
        <v>8</v>
      </c>
      <c r="E366">
        <f t="shared" si="13"/>
        <v>80</v>
      </c>
    </row>
    <row r="367" spans="4:5" x14ac:dyDescent="0.3">
      <c r="D367">
        <v>4</v>
      </c>
      <c r="E367">
        <f t="shared" si="13"/>
        <v>40</v>
      </c>
    </row>
    <row r="368" spans="4:5" x14ac:dyDescent="0.3">
      <c r="D368">
        <v>5</v>
      </c>
      <c r="E368">
        <f t="shared" si="13"/>
        <v>50</v>
      </c>
    </row>
    <row r="369" spans="4:5" x14ac:dyDescent="0.3">
      <c r="D369">
        <v>5</v>
      </c>
      <c r="E369">
        <f t="shared" si="13"/>
        <v>50</v>
      </c>
    </row>
    <row r="370" spans="4:5" x14ac:dyDescent="0.3">
      <c r="D370">
        <v>8</v>
      </c>
      <c r="E370">
        <f t="shared" si="13"/>
        <v>80</v>
      </c>
    </row>
    <row r="371" spans="4:5" x14ac:dyDescent="0.3">
      <c r="D371">
        <v>4</v>
      </c>
      <c r="E371">
        <f t="shared" si="13"/>
        <v>40</v>
      </c>
    </row>
    <row r="372" spans="4:5" x14ac:dyDescent="0.3">
      <c r="D372">
        <v>6</v>
      </c>
      <c r="E372">
        <f t="shared" si="13"/>
        <v>60</v>
      </c>
    </row>
    <row r="373" spans="4:5" x14ac:dyDescent="0.3">
      <c r="D373">
        <v>9</v>
      </c>
      <c r="E373">
        <f t="shared" si="13"/>
        <v>90</v>
      </c>
    </row>
    <row r="374" spans="4:5" x14ac:dyDescent="0.3">
      <c r="D374">
        <v>2</v>
      </c>
      <c r="E374">
        <f t="shared" si="13"/>
        <v>20</v>
      </c>
    </row>
    <row r="375" spans="4:5" x14ac:dyDescent="0.3">
      <c r="D375">
        <v>4</v>
      </c>
      <c r="E375">
        <f t="shared" si="13"/>
        <v>40</v>
      </c>
    </row>
    <row r="376" spans="4:5" x14ac:dyDescent="0.3">
      <c r="D376">
        <v>1</v>
      </c>
      <c r="E376">
        <f t="shared" si="13"/>
        <v>10</v>
      </c>
    </row>
    <row r="377" spans="4:5" x14ac:dyDescent="0.3">
      <c r="D377">
        <v>4</v>
      </c>
      <c r="E377">
        <f t="shared" si="13"/>
        <v>40</v>
      </c>
    </row>
    <row r="378" spans="4:5" x14ac:dyDescent="0.3">
      <c r="D378">
        <v>4</v>
      </c>
      <c r="E378">
        <f t="shared" si="13"/>
        <v>40</v>
      </c>
    </row>
    <row r="379" spans="4:5" x14ac:dyDescent="0.3">
      <c r="D379">
        <v>4</v>
      </c>
      <c r="E379">
        <f t="shared" si="13"/>
        <v>40</v>
      </c>
    </row>
    <row r="380" spans="4:5" x14ac:dyDescent="0.3">
      <c r="D380">
        <v>4</v>
      </c>
      <c r="E380">
        <f t="shared" si="13"/>
        <v>40</v>
      </c>
    </row>
    <row r="381" spans="4:5" x14ac:dyDescent="0.3">
      <c r="D381">
        <v>5</v>
      </c>
      <c r="E381">
        <f t="shared" si="13"/>
        <v>50</v>
      </c>
    </row>
    <row r="382" spans="4:5" x14ac:dyDescent="0.3">
      <c r="D382">
        <v>8</v>
      </c>
      <c r="E382">
        <f t="shared" si="13"/>
        <v>80</v>
      </c>
    </row>
    <row r="383" spans="4:5" x14ac:dyDescent="0.3">
      <c r="D383">
        <v>8</v>
      </c>
      <c r="E383">
        <f t="shared" si="13"/>
        <v>80</v>
      </c>
    </row>
    <row r="385" spans="1:7" ht="15" thickBot="1" x14ac:dyDescent="0.35">
      <c r="A385" s="1" t="s">
        <v>2</v>
      </c>
      <c r="B385" s="1" t="s">
        <v>3</v>
      </c>
      <c r="C385" s="1" t="s">
        <v>4</v>
      </c>
      <c r="D385" s="2" t="s">
        <v>121</v>
      </c>
      <c r="E385" s="1" t="s">
        <v>167</v>
      </c>
      <c r="F385" s="1" t="s">
        <v>29</v>
      </c>
      <c r="G385" s="1" t="s">
        <v>122</v>
      </c>
    </row>
    <row r="386" spans="1:7" x14ac:dyDescent="0.3">
      <c r="A386" t="s">
        <v>76</v>
      </c>
      <c r="B386" t="s">
        <v>77</v>
      </c>
      <c r="C386">
        <v>2019</v>
      </c>
      <c r="D386">
        <v>1</v>
      </c>
      <c r="E386">
        <f>(D386/10)*100</f>
        <v>10</v>
      </c>
      <c r="F386">
        <f>AVERAGE(E386:E426)</f>
        <v>7.3170731707317076</v>
      </c>
      <c r="G386">
        <f>_xlfn.STDEV.S(E386:E426)</f>
        <v>7.4244158840620047</v>
      </c>
    </row>
    <row r="387" spans="1:7" x14ac:dyDescent="0.3">
      <c r="D387">
        <v>0</v>
      </c>
      <c r="E387">
        <f t="shared" ref="E387:E426" si="14">(D387/10)*100</f>
        <v>0</v>
      </c>
    </row>
    <row r="388" spans="1:7" x14ac:dyDescent="0.3">
      <c r="D388">
        <v>0</v>
      </c>
      <c r="E388">
        <f t="shared" si="14"/>
        <v>0</v>
      </c>
    </row>
    <row r="389" spans="1:7" x14ac:dyDescent="0.3">
      <c r="D389">
        <v>0</v>
      </c>
      <c r="E389">
        <f t="shared" si="14"/>
        <v>0</v>
      </c>
    </row>
    <row r="390" spans="1:7" x14ac:dyDescent="0.3">
      <c r="D390">
        <v>2</v>
      </c>
      <c r="E390">
        <f t="shared" si="14"/>
        <v>20</v>
      </c>
    </row>
    <row r="391" spans="1:7" x14ac:dyDescent="0.3">
      <c r="D391">
        <v>1</v>
      </c>
      <c r="E391">
        <f t="shared" si="14"/>
        <v>10</v>
      </c>
    </row>
    <row r="392" spans="1:7" x14ac:dyDescent="0.3">
      <c r="D392">
        <v>1</v>
      </c>
      <c r="E392">
        <f t="shared" si="14"/>
        <v>10</v>
      </c>
    </row>
    <row r="393" spans="1:7" x14ac:dyDescent="0.3">
      <c r="D393">
        <v>0</v>
      </c>
      <c r="E393">
        <f t="shared" si="14"/>
        <v>0</v>
      </c>
    </row>
    <row r="394" spans="1:7" x14ac:dyDescent="0.3">
      <c r="D394">
        <v>1</v>
      </c>
      <c r="E394">
        <f t="shared" si="14"/>
        <v>10</v>
      </c>
    </row>
    <row r="395" spans="1:7" x14ac:dyDescent="0.3">
      <c r="D395">
        <v>1</v>
      </c>
      <c r="E395">
        <f t="shared" si="14"/>
        <v>10</v>
      </c>
    </row>
    <row r="396" spans="1:7" x14ac:dyDescent="0.3">
      <c r="D396">
        <v>1</v>
      </c>
      <c r="E396">
        <f t="shared" si="14"/>
        <v>10</v>
      </c>
    </row>
    <row r="397" spans="1:7" x14ac:dyDescent="0.3">
      <c r="D397">
        <v>0</v>
      </c>
      <c r="E397">
        <f t="shared" si="14"/>
        <v>0</v>
      </c>
    </row>
    <row r="398" spans="1:7" x14ac:dyDescent="0.3">
      <c r="D398">
        <v>0</v>
      </c>
      <c r="E398">
        <f t="shared" si="14"/>
        <v>0</v>
      </c>
    </row>
    <row r="399" spans="1:7" x14ac:dyDescent="0.3">
      <c r="D399">
        <v>0</v>
      </c>
      <c r="E399">
        <f t="shared" si="14"/>
        <v>0</v>
      </c>
    </row>
    <row r="400" spans="1:7" x14ac:dyDescent="0.3">
      <c r="D400">
        <v>1</v>
      </c>
      <c r="E400">
        <f t="shared" si="14"/>
        <v>10</v>
      </c>
    </row>
    <row r="401" spans="4:5" x14ac:dyDescent="0.3">
      <c r="D401">
        <v>0</v>
      </c>
      <c r="E401">
        <f t="shared" si="14"/>
        <v>0</v>
      </c>
    </row>
    <row r="402" spans="4:5" x14ac:dyDescent="0.3">
      <c r="D402">
        <v>1</v>
      </c>
      <c r="E402">
        <f t="shared" si="14"/>
        <v>10</v>
      </c>
    </row>
    <row r="403" spans="4:5" x14ac:dyDescent="0.3">
      <c r="D403">
        <v>1</v>
      </c>
      <c r="E403">
        <f t="shared" si="14"/>
        <v>10</v>
      </c>
    </row>
    <row r="404" spans="4:5" x14ac:dyDescent="0.3">
      <c r="D404">
        <v>0</v>
      </c>
      <c r="E404">
        <f t="shared" si="14"/>
        <v>0</v>
      </c>
    </row>
    <row r="405" spans="4:5" x14ac:dyDescent="0.3">
      <c r="D405">
        <v>1</v>
      </c>
      <c r="E405">
        <f t="shared" si="14"/>
        <v>10</v>
      </c>
    </row>
    <row r="406" spans="4:5" x14ac:dyDescent="0.3">
      <c r="D406">
        <v>1</v>
      </c>
      <c r="E406">
        <f t="shared" si="14"/>
        <v>10</v>
      </c>
    </row>
    <row r="407" spans="4:5" x14ac:dyDescent="0.3">
      <c r="D407">
        <v>2</v>
      </c>
      <c r="E407">
        <f t="shared" si="14"/>
        <v>20</v>
      </c>
    </row>
    <row r="408" spans="4:5" x14ac:dyDescent="0.3">
      <c r="D408">
        <v>0</v>
      </c>
      <c r="E408">
        <f t="shared" si="14"/>
        <v>0</v>
      </c>
    </row>
    <row r="409" spans="4:5" x14ac:dyDescent="0.3">
      <c r="D409">
        <v>2</v>
      </c>
      <c r="E409">
        <f t="shared" si="14"/>
        <v>20</v>
      </c>
    </row>
    <row r="410" spans="4:5" x14ac:dyDescent="0.3">
      <c r="D410">
        <v>2</v>
      </c>
      <c r="E410">
        <f t="shared" si="14"/>
        <v>20</v>
      </c>
    </row>
    <row r="411" spans="4:5" x14ac:dyDescent="0.3">
      <c r="D411">
        <v>2</v>
      </c>
      <c r="E411">
        <f t="shared" si="14"/>
        <v>20</v>
      </c>
    </row>
    <row r="412" spans="4:5" x14ac:dyDescent="0.3">
      <c r="D412">
        <v>2</v>
      </c>
      <c r="E412">
        <f t="shared" si="14"/>
        <v>20</v>
      </c>
    </row>
    <row r="413" spans="4:5" x14ac:dyDescent="0.3">
      <c r="D413">
        <v>0</v>
      </c>
      <c r="E413">
        <f t="shared" si="14"/>
        <v>0</v>
      </c>
    </row>
    <row r="414" spans="4:5" x14ac:dyDescent="0.3">
      <c r="D414">
        <v>0</v>
      </c>
      <c r="E414">
        <f t="shared" si="14"/>
        <v>0</v>
      </c>
    </row>
    <row r="415" spans="4:5" x14ac:dyDescent="0.3">
      <c r="D415">
        <v>1</v>
      </c>
      <c r="E415">
        <f t="shared" si="14"/>
        <v>10</v>
      </c>
    </row>
    <row r="416" spans="4:5" x14ac:dyDescent="0.3">
      <c r="D416">
        <v>1</v>
      </c>
      <c r="E416">
        <f t="shared" si="14"/>
        <v>10</v>
      </c>
    </row>
    <row r="417" spans="1:8" x14ac:dyDescent="0.3">
      <c r="D417">
        <v>2</v>
      </c>
      <c r="E417">
        <f t="shared" si="14"/>
        <v>20</v>
      </c>
    </row>
    <row r="418" spans="1:8" x14ac:dyDescent="0.3">
      <c r="D418">
        <v>0</v>
      </c>
      <c r="E418">
        <f t="shared" si="14"/>
        <v>0</v>
      </c>
    </row>
    <row r="419" spans="1:8" x14ac:dyDescent="0.3">
      <c r="D419">
        <v>1</v>
      </c>
      <c r="E419">
        <f t="shared" si="14"/>
        <v>10</v>
      </c>
    </row>
    <row r="420" spans="1:8" x14ac:dyDescent="0.3">
      <c r="D420">
        <v>0</v>
      </c>
      <c r="E420">
        <f t="shared" si="14"/>
        <v>0</v>
      </c>
    </row>
    <row r="421" spans="1:8" x14ac:dyDescent="0.3">
      <c r="D421">
        <v>0</v>
      </c>
      <c r="E421">
        <f t="shared" si="14"/>
        <v>0</v>
      </c>
    </row>
    <row r="422" spans="1:8" x14ac:dyDescent="0.3">
      <c r="D422">
        <v>1</v>
      </c>
      <c r="E422">
        <f t="shared" si="14"/>
        <v>10</v>
      </c>
    </row>
    <row r="423" spans="1:8" x14ac:dyDescent="0.3">
      <c r="D423">
        <v>0</v>
      </c>
      <c r="E423">
        <f t="shared" si="14"/>
        <v>0</v>
      </c>
    </row>
    <row r="424" spans="1:8" x14ac:dyDescent="0.3">
      <c r="D424">
        <v>1</v>
      </c>
      <c r="E424">
        <f t="shared" si="14"/>
        <v>10</v>
      </c>
    </row>
    <row r="425" spans="1:8" x14ac:dyDescent="0.3">
      <c r="D425">
        <v>0</v>
      </c>
      <c r="E425">
        <f t="shared" si="14"/>
        <v>0</v>
      </c>
    </row>
    <row r="426" spans="1:8" x14ac:dyDescent="0.3">
      <c r="D426">
        <v>0</v>
      </c>
      <c r="E426">
        <f t="shared" si="14"/>
        <v>0</v>
      </c>
    </row>
    <row r="428" spans="1:8" ht="15" thickBot="1" x14ac:dyDescent="0.35">
      <c r="A428" s="1" t="s">
        <v>2</v>
      </c>
      <c r="B428" s="1" t="s">
        <v>3</v>
      </c>
      <c r="C428" s="1" t="s">
        <v>4</v>
      </c>
      <c r="D428" s="2" t="s">
        <v>121</v>
      </c>
      <c r="E428" s="1" t="s">
        <v>167</v>
      </c>
      <c r="F428" s="1" t="s">
        <v>29</v>
      </c>
      <c r="G428" s="1" t="s">
        <v>122</v>
      </c>
      <c r="H428" s="3"/>
    </row>
    <row r="429" spans="1:8" x14ac:dyDescent="0.3">
      <c r="A429" t="s">
        <v>78</v>
      </c>
      <c r="B429" t="s">
        <v>79</v>
      </c>
      <c r="C429">
        <v>2018</v>
      </c>
      <c r="D429">
        <v>1</v>
      </c>
      <c r="E429" s="5">
        <f>(D429/15)*100</f>
        <v>6.666666666666667</v>
      </c>
      <c r="F429" s="5">
        <f>AVERAGE(E429:E523)</f>
        <v>18.385964912280706</v>
      </c>
      <c r="G429">
        <f>_xlfn.STDEV.S(E429:E523)</f>
        <v>11.535361994079475</v>
      </c>
    </row>
    <row r="430" spans="1:8" x14ac:dyDescent="0.3">
      <c r="D430">
        <v>4</v>
      </c>
      <c r="E430" s="5">
        <f t="shared" ref="E430:E493" si="15">(D430/15)*100</f>
        <v>26.666666666666668</v>
      </c>
    </row>
    <row r="431" spans="1:8" x14ac:dyDescent="0.3">
      <c r="D431">
        <v>1</v>
      </c>
      <c r="E431" s="5">
        <f t="shared" si="15"/>
        <v>6.666666666666667</v>
      </c>
    </row>
    <row r="432" spans="1:8" x14ac:dyDescent="0.3">
      <c r="D432">
        <v>1</v>
      </c>
      <c r="E432" s="5">
        <f t="shared" si="15"/>
        <v>6.666666666666667</v>
      </c>
    </row>
    <row r="433" spans="4:5" x14ac:dyDescent="0.3">
      <c r="D433">
        <v>1</v>
      </c>
      <c r="E433" s="5">
        <f t="shared" si="15"/>
        <v>6.666666666666667</v>
      </c>
    </row>
    <row r="434" spans="4:5" x14ac:dyDescent="0.3">
      <c r="D434">
        <v>2</v>
      </c>
      <c r="E434" s="5">
        <f t="shared" si="15"/>
        <v>13.333333333333334</v>
      </c>
    </row>
    <row r="435" spans="4:5" x14ac:dyDescent="0.3">
      <c r="D435">
        <v>2</v>
      </c>
      <c r="E435" s="5">
        <f t="shared" si="15"/>
        <v>13.333333333333334</v>
      </c>
    </row>
    <row r="436" spans="4:5" x14ac:dyDescent="0.3">
      <c r="D436">
        <v>2</v>
      </c>
      <c r="E436" s="5">
        <f t="shared" si="15"/>
        <v>13.333333333333334</v>
      </c>
    </row>
    <row r="437" spans="4:5" x14ac:dyDescent="0.3">
      <c r="D437">
        <v>1</v>
      </c>
      <c r="E437" s="5">
        <f t="shared" si="15"/>
        <v>6.666666666666667</v>
      </c>
    </row>
    <row r="438" spans="4:5" x14ac:dyDescent="0.3">
      <c r="D438">
        <v>4</v>
      </c>
      <c r="E438" s="5">
        <f t="shared" si="15"/>
        <v>26.666666666666668</v>
      </c>
    </row>
    <row r="439" spans="4:5" x14ac:dyDescent="0.3">
      <c r="D439">
        <v>1</v>
      </c>
      <c r="E439" s="5">
        <f t="shared" si="15"/>
        <v>6.666666666666667</v>
      </c>
    </row>
    <row r="440" spans="4:5" x14ac:dyDescent="0.3">
      <c r="D440">
        <v>2</v>
      </c>
      <c r="E440" s="5">
        <f t="shared" si="15"/>
        <v>13.333333333333334</v>
      </c>
    </row>
    <row r="441" spans="4:5" x14ac:dyDescent="0.3">
      <c r="D441">
        <v>2</v>
      </c>
      <c r="E441" s="5">
        <f t="shared" si="15"/>
        <v>13.333333333333334</v>
      </c>
    </row>
    <row r="442" spans="4:5" x14ac:dyDescent="0.3">
      <c r="D442">
        <v>5</v>
      </c>
      <c r="E442" s="5">
        <f t="shared" si="15"/>
        <v>33.333333333333329</v>
      </c>
    </row>
    <row r="443" spans="4:5" x14ac:dyDescent="0.3">
      <c r="D443">
        <v>0</v>
      </c>
      <c r="E443" s="5">
        <f t="shared" si="15"/>
        <v>0</v>
      </c>
    </row>
    <row r="444" spans="4:5" x14ac:dyDescent="0.3">
      <c r="D444">
        <v>1</v>
      </c>
      <c r="E444" s="5">
        <f t="shared" si="15"/>
        <v>6.666666666666667</v>
      </c>
    </row>
    <row r="445" spans="4:5" x14ac:dyDescent="0.3">
      <c r="D445">
        <v>1</v>
      </c>
      <c r="E445" s="5">
        <f t="shared" si="15"/>
        <v>6.666666666666667</v>
      </c>
    </row>
    <row r="446" spans="4:5" x14ac:dyDescent="0.3">
      <c r="D446">
        <v>1</v>
      </c>
      <c r="E446" s="5">
        <f t="shared" si="15"/>
        <v>6.666666666666667</v>
      </c>
    </row>
    <row r="447" spans="4:5" x14ac:dyDescent="0.3">
      <c r="D447">
        <v>4</v>
      </c>
      <c r="E447" s="5">
        <f t="shared" si="15"/>
        <v>26.666666666666668</v>
      </c>
    </row>
    <row r="448" spans="4:5" x14ac:dyDescent="0.3">
      <c r="D448">
        <v>4</v>
      </c>
      <c r="E448" s="5">
        <f t="shared" si="15"/>
        <v>26.666666666666668</v>
      </c>
    </row>
    <row r="449" spans="4:5" x14ac:dyDescent="0.3">
      <c r="D449">
        <v>4</v>
      </c>
      <c r="E449" s="5">
        <f t="shared" si="15"/>
        <v>26.666666666666668</v>
      </c>
    </row>
    <row r="450" spans="4:5" x14ac:dyDescent="0.3">
      <c r="D450">
        <v>2</v>
      </c>
      <c r="E450" s="5">
        <f t="shared" si="15"/>
        <v>13.333333333333334</v>
      </c>
    </row>
    <row r="451" spans="4:5" x14ac:dyDescent="0.3">
      <c r="D451">
        <v>3</v>
      </c>
      <c r="E451" s="5">
        <f t="shared" si="15"/>
        <v>20</v>
      </c>
    </row>
    <row r="452" spans="4:5" x14ac:dyDescent="0.3">
      <c r="D452">
        <v>5</v>
      </c>
      <c r="E452" s="5">
        <f t="shared" si="15"/>
        <v>33.333333333333329</v>
      </c>
    </row>
    <row r="453" spans="4:5" x14ac:dyDescent="0.3">
      <c r="D453">
        <v>4</v>
      </c>
      <c r="E453" s="5">
        <f t="shared" si="15"/>
        <v>26.666666666666668</v>
      </c>
    </row>
    <row r="454" spans="4:5" x14ac:dyDescent="0.3">
      <c r="D454">
        <v>4</v>
      </c>
      <c r="E454" s="5">
        <f t="shared" si="15"/>
        <v>26.666666666666668</v>
      </c>
    </row>
    <row r="455" spans="4:5" x14ac:dyDescent="0.3">
      <c r="D455">
        <v>1</v>
      </c>
      <c r="E455" s="5">
        <f t="shared" si="15"/>
        <v>6.666666666666667</v>
      </c>
    </row>
    <row r="456" spans="4:5" x14ac:dyDescent="0.3">
      <c r="D456">
        <v>1</v>
      </c>
      <c r="E456" s="5">
        <f t="shared" si="15"/>
        <v>6.666666666666667</v>
      </c>
    </row>
    <row r="457" spans="4:5" x14ac:dyDescent="0.3">
      <c r="D457">
        <v>4</v>
      </c>
      <c r="E457" s="5">
        <f t="shared" si="15"/>
        <v>26.666666666666668</v>
      </c>
    </row>
    <row r="458" spans="4:5" x14ac:dyDescent="0.3">
      <c r="D458">
        <v>1</v>
      </c>
      <c r="E458" s="5">
        <f t="shared" si="15"/>
        <v>6.666666666666667</v>
      </c>
    </row>
    <row r="459" spans="4:5" x14ac:dyDescent="0.3">
      <c r="D459">
        <v>4</v>
      </c>
      <c r="E459" s="5">
        <f t="shared" si="15"/>
        <v>26.666666666666668</v>
      </c>
    </row>
    <row r="460" spans="4:5" x14ac:dyDescent="0.3">
      <c r="D460">
        <v>1</v>
      </c>
      <c r="E460" s="5">
        <f t="shared" si="15"/>
        <v>6.666666666666667</v>
      </c>
    </row>
    <row r="461" spans="4:5" x14ac:dyDescent="0.3">
      <c r="D461">
        <v>1</v>
      </c>
      <c r="E461" s="5">
        <f t="shared" si="15"/>
        <v>6.666666666666667</v>
      </c>
    </row>
    <row r="462" spans="4:5" x14ac:dyDescent="0.3">
      <c r="D462">
        <v>0</v>
      </c>
      <c r="E462" s="5">
        <f t="shared" si="15"/>
        <v>0</v>
      </c>
    </row>
    <row r="463" spans="4:5" x14ac:dyDescent="0.3">
      <c r="D463">
        <v>5</v>
      </c>
      <c r="E463" s="5">
        <f t="shared" si="15"/>
        <v>33.333333333333329</v>
      </c>
    </row>
    <row r="464" spans="4:5" x14ac:dyDescent="0.3">
      <c r="D464">
        <v>1</v>
      </c>
      <c r="E464" s="5">
        <f t="shared" si="15"/>
        <v>6.666666666666667</v>
      </c>
    </row>
    <row r="465" spans="4:5" x14ac:dyDescent="0.3">
      <c r="D465">
        <v>0</v>
      </c>
      <c r="E465" s="5">
        <f t="shared" si="15"/>
        <v>0</v>
      </c>
    </row>
    <row r="466" spans="4:5" x14ac:dyDescent="0.3">
      <c r="D466">
        <v>5</v>
      </c>
      <c r="E466" s="5">
        <f t="shared" si="15"/>
        <v>33.333333333333329</v>
      </c>
    </row>
    <row r="467" spans="4:5" x14ac:dyDescent="0.3">
      <c r="D467">
        <v>6</v>
      </c>
      <c r="E467" s="5">
        <f t="shared" si="15"/>
        <v>40</v>
      </c>
    </row>
    <row r="468" spans="4:5" x14ac:dyDescent="0.3">
      <c r="D468">
        <v>1</v>
      </c>
      <c r="E468" s="5">
        <f t="shared" si="15"/>
        <v>6.666666666666667</v>
      </c>
    </row>
    <row r="469" spans="4:5" x14ac:dyDescent="0.3">
      <c r="D469">
        <v>4</v>
      </c>
      <c r="E469" s="5">
        <f t="shared" si="15"/>
        <v>26.666666666666668</v>
      </c>
    </row>
    <row r="470" spans="4:5" x14ac:dyDescent="0.3">
      <c r="D470">
        <v>0</v>
      </c>
      <c r="E470" s="5">
        <f t="shared" si="15"/>
        <v>0</v>
      </c>
    </row>
    <row r="471" spans="4:5" x14ac:dyDescent="0.3">
      <c r="D471">
        <v>4</v>
      </c>
      <c r="E471" s="5">
        <f t="shared" si="15"/>
        <v>26.666666666666668</v>
      </c>
    </row>
    <row r="472" spans="4:5" x14ac:dyDescent="0.3">
      <c r="D472">
        <v>1</v>
      </c>
      <c r="E472" s="5">
        <f t="shared" si="15"/>
        <v>6.666666666666667</v>
      </c>
    </row>
    <row r="473" spans="4:5" x14ac:dyDescent="0.3">
      <c r="D473">
        <v>3</v>
      </c>
      <c r="E473" s="5">
        <f t="shared" si="15"/>
        <v>20</v>
      </c>
    </row>
    <row r="474" spans="4:5" x14ac:dyDescent="0.3">
      <c r="D474">
        <v>6</v>
      </c>
      <c r="E474" s="5">
        <f t="shared" si="15"/>
        <v>40</v>
      </c>
    </row>
    <row r="475" spans="4:5" x14ac:dyDescent="0.3">
      <c r="D475">
        <v>2</v>
      </c>
      <c r="E475" s="5">
        <f t="shared" si="15"/>
        <v>13.333333333333334</v>
      </c>
    </row>
    <row r="476" spans="4:5" x14ac:dyDescent="0.3">
      <c r="D476">
        <v>2</v>
      </c>
      <c r="E476" s="5">
        <f t="shared" si="15"/>
        <v>13.333333333333334</v>
      </c>
    </row>
    <row r="477" spans="4:5" x14ac:dyDescent="0.3">
      <c r="D477">
        <v>4</v>
      </c>
      <c r="E477" s="5">
        <f t="shared" si="15"/>
        <v>26.666666666666668</v>
      </c>
    </row>
    <row r="478" spans="4:5" x14ac:dyDescent="0.3">
      <c r="D478">
        <v>2</v>
      </c>
      <c r="E478" s="5">
        <f t="shared" si="15"/>
        <v>13.333333333333334</v>
      </c>
    </row>
    <row r="479" spans="4:5" x14ac:dyDescent="0.3">
      <c r="D479">
        <v>6</v>
      </c>
      <c r="E479" s="5">
        <f t="shared" si="15"/>
        <v>40</v>
      </c>
    </row>
    <row r="480" spans="4:5" x14ac:dyDescent="0.3">
      <c r="D480">
        <v>4</v>
      </c>
      <c r="E480" s="5">
        <f t="shared" si="15"/>
        <v>26.666666666666668</v>
      </c>
    </row>
    <row r="481" spans="4:5" x14ac:dyDescent="0.3">
      <c r="D481">
        <v>1</v>
      </c>
      <c r="E481" s="5">
        <f t="shared" si="15"/>
        <v>6.666666666666667</v>
      </c>
    </row>
    <row r="482" spans="4:5" x14ac:dyDescent="0.3">
      <c r="D482">
        <v>1</v>
      </c>
      <c r="E482" s="5">
        <f t="shared" si="15"/>
        <v>6.666666666666667</v>
      </c>
    </row>
    <row r="483" spans="4:5" x14ac:dyDescent="0.3">
      <c r="D483">
        <v>1</v>
      </c>
      <c r="E483" s="5">
        <f t="shared" si="15"/>
        <v>6.666666666666667</v>
      </c>
    </row>
    <row r="484" spans="4:5" x14ac:dyDescent="0.3">
      <c r="D484">
        <v>0</v>
      </c>
      <c r="E484" s="5">
        <f t="shared" si="15"/>
        <v>0</v>
      </c>
    </row>
    <row r="485" spans="4:5" x14ac:dyDescent="0.3">
      <c r="D485">
        <v>5</v>
      </c>
      <c r="E485" s="5">
        <f t="shared" si="15"/>
        <v>33.333333333333329</v>
      </c>
    </row>
    <row r="486" spans="4:5" x14ac:dyDescent="0.3">
      <c r="D486">
        <v>8</v>
      </c>
      <c r="E486" s="5">
        <f t="shared" si="15"/>
        <v>53.333333333333336</v>
      </c>
    </row>
    <row r="487" spans="4:5" x14ac:dyDescent="0.3">
      <c r="D487">
        <v>4</v>
      </c>
      <c r="E487" s="5">
        <f t="shared" si="15"/>
        <v>26.666666666666668</v>
      </c>
    </row>
    <row r="488" spans="4:5" x14ac:dyDescent="0.3">
      <c r="D488">
        <v>4</v>
      </c>
      <c r="E488" s="5">
        <f t="shared" si="15"/>
        <v>26.666666666666668</v>
      </c>
    </row>
    <row r="489" spans="4:5" x14ac:dyDescent="0.3">
      <c r="D489">
        <v>4</v>
      </c>
      <c r="E489" s="5">
        <f t="shared" si="15"/>
        <v>26.666666666666668</v>
      </c>
    </row>
    <row r="490" spans="4:5" x14ac:dyDescent="0.3">
      <c r="D490">
        <v>4</v>
      </c>
      <c r="E490" s="5">
        <f t="shared" si="15"/>
        <v>26.666666666666668</v>
      </c>
    </row>
    <row r="491" spans="4:5" x14ac:dyDescent="0.3">
      <c r="D491">
        <v>4</v>
      </c>
      <c r="E491" s="5">
        <f t="shared" si="15"/>
        <v>26.666666666666668</v>
      </c>
    </row>
    <row r="492" spans="4:5" x14ac:dyDescent="0.3">
      <c r="D492">
        <v>4</v>
      </c>
      <c r="E492" s="5">
        <f t="shared" si="15"/>
        <v>26.666666666666668</v>
      </c>
    </row>
    <row r="493" spans="4:5" x14ac:dyDescent="0.3">
      <c r="D493">
        <v>1</v>
      </c>
      <c r="E493" s="5">
        <f t="shared" si="15"/>
        <v>6.666666666666667</v>
      </c>
    </row>
    <row r="494" spans="4:5" x14ac:dyDescent="0.3">
      <c r="D494">
        <v>5</v>
      </c>
      <c r="E494" s="5">
        <f t="shared" ref="E494:E523" si="16">(D494/15)*100</f>
        <v>33.333333333333329</v>
      </c>
    </row>
    <row r="495" spans="4:5" x14ac:dyDescent="0.3">
      <c r="D495">
        <v>4</v>
      </c>
      <c r="E495" s="5">
        <f t="shared" si="16"/>
        <v>26.666666666666668</v>
      </c>
    </row>
    <row r="496" spans="4:5" x14ac:dyDescent="0.3">
      <c r="D496">
        <v>4</v>
      </c>
      <c r="E496" s="5">
        <f t="shared" si="16"/>
        <v>26.666666666666668</v>
      </c>
    </row>
    <row r="497" spans="4:5" x14ac:dyDescent="0.3">
      <c r="D497">
        <v>4</v>
      </c>
      <c r="E497" s="5">
        <f t="shared" si="16"/>
        <v>26.666666666666668</v>
      </c>
    </row>
    <row r="498" spans="4:5" x14ac:dyDescent="0.3">
      <c r="D498">
        <v>5</v>
      </c>
      <c r="E498" s="5">
        <f t="shared" si="16"/>
        <v>33.333333333333329</v>
      </c>
    </row>
    <row r="499" spans="4:5" x14ac:dyDescent="0.3">
      <c r="D499">
        <v>1</v>
      </c>
      <c r="E499" s="5">
        <f t="shared" si="16"/>
        <v>6.666666666666667</v>
      </c>
    </row>
    <row r="500" spans="4:5" x14ac:dyDescent="0.3">
      <c r="D500">
        <v>2</v>
      </c>
      <c r="E500" s="5">
        <f t="shared" si="16"/>
        <v>13.333333333333334</v>
      </c>
    </row>
    <row r="501" spans="4:5" x14ac:dyDescent="0.3">
      <c r="D501">
        <v>2</v>
      </c>
      <c r="E501" s="5">
        <f t="shared" si="16"/>
        <v>13.333333333333334</v>
      </c>
    </row>
    <row r="502" spans="4:5" x14ac:dyDescent="0.3">
      <c r="D502">
        <v>5</v>
      </c>
      <c r="E502" s="5">
        <f t="shared" si="16"/>
        <v>33.333333333333329</v>
      </c>
    </row>
    <row r="503" spans="4:5" x14ac:dyDescent="0.3">
      <c r="D503">
        <v>4</v>
      </c>
      <c r="E503" s="5">
        <f t="shared" si="16"/>
        <v>26.666666666666668</v>
      </c>
    </row>
    <row r="504" spans="4:5" x14ac:dyDescent="0.3">
      <c r="D504">
        <v>4</v>
      </c>
      <c r="E504" s="5">
        <f t="shared" si="16"/>
        <v>26.666666666666668</v>
      </c>
    </row>
    <row r="505" spans="4:5" x14ac:dyDescent="0.3">
      <c r="D505">
        <v>4</v>
      </c>
      <c r="E505" s="5">
        <f t="shared" si="16"/>
        <v>26.666666666666668</v>
      </c>
    </row>
    <row r="506" spans="4:5" x14ac:dyDescent="0.3">
      <c r="D506">
        <v>4</v>
      </c>
      <c r="E506" s="5">
        <f t="shared" si="16"/>
        <v>26.666666666666668</v>
      </c>
    </row>
    <row r="507" spans="4:5" x14ac:dyDescent="0.3">
      <c r="D507">
        <v>4</v>
      </c>
      <c r="E507" s="5">
        <f t="shared" si="16"/>
        <v>26.666666666666668</v>
      </c>
    </row>
    <row r="508" spans="4:5" x14ac:dyDescent="0.3">
      <c r="D508">
        <v>0</v>
      </c>
      <c r="E508" s="5">
        <f t="shared" si="16"/>
        <v>0</v>
      </c>
    </row>
    <row r="509" spans="4:5" x14ac:dyDescent="0.3">
      <c r="D509">
        <v>1</v>
      </c>
      <c r="E509" s="5">
        <f t="shared" si="16"/>
        <v>6.666666666666667</v>
      </c>
    </row>
    <row r="510" spans="4:5" x14ac:dyDescent="0.3">
      <c r="D510">
        <v>4</v>
      </c>
      <c r="E510" s="5">
        <f t="shared" si="16"/>
        <v>26.666666666666668</v>
      </c>
    </row>
    <row r="511" spans="4:5" x14ac:dyDescent="0.3">
      <c r="D511">
        <v>2</v>
      </c>
      <c r="E511" s="5">
        <f t="shared" si="16"/>
        <v>13.333333333333334</v>
      </c>
    </row>
    <row r="512" spans="4:5" x14ac:dyDescent="0.3">
      <c r="D512">
        <v>2</v>
      </c>
      <c r="E512" s="5">
        <f t="shared" si="16"/>
        <v>13.333333333333334</v>
      </c>
    </row>
    <row r="513" spans="1:7" x14ac:dyDescent="0.3">
      <c r="D513">
        <v>2</v>
      </c>
      <c r="E513" s="5">
        <f t="shared" si="16"/>
        <v>13.333333333333334</v>
      </c>
    </row>
    <row r="514" spans="1:7" x14ac:dyDescent="0.3">
      <c r="D514">
        <v>2</v>
      </c>
      <c r="E514" s="5">
        <f t="shared" si="16"/>
        <v>13.333333333333334</v>
      </c>
    </row>
    <row r="515" spans="1:7" x14ac:dyDescent="0.3">
      <c r="D515">
        <v>1</v>
      </c>
      <c r="E515" s="5">
        <f t="shared" si="16"/>
        <v>6.666666666666667</v>
      </c>
    </row>
    <row r="516" spans="1:7" x14ac:dyDescent="0.3">
      <c r="D516">
        <v>2</v>
      </c>
      <c r="E516" s="5">
        <f t="shared" si="16"/>
        <v>13.333333333333334</v>
      </c>
    </row>
    <row r="517" spans="1:7" x14ac:dyDescent="0.3">
      <c r="D517">
        <v>4</v>
      </c>
      <c r="E517" s="5">
        <f t="shared" si="16"/>
        <v>26.666666666666668</v>
      </c>
    </row>
    <row r="518" spans="1:7" x14ac:dyDescent="0.3">
      <c r="D518">
        <v>3</v>
      </c>
      <c r="E518" s="5">
        <f t="shared" si="16"/>
        <v>20</v>
      </c>
    </row>
    <row r="519" spans="1:7" x14ac:dyDescent="0.3">
      <c r="D519">
        <v>2</v>
      </c>
      <c r="E519" s="5">
        <f t="shared" si="16"/>
        <v>13.333333333333334</v>
      </c>
    </row>
    <row r="520" spans="1:7" x14ac:dyDescent="0.3">
      <c r="D520">
        <v>2</v>
      </c>
      <c r="E520" s="5">
        <f t="shared" si="16"/>
        <v>13.333333333333334</v>
      </c>
    </row>
    <row r="521" spans="1:7" x14ac:dyDescent="0.3">
      <c r="D521">
        <v>2</v>
      </c>
      <c r="E521" s="5">
        <f t="shared" si="16"/>
        <v>13.333333333333334</v>
      </c>
    </row>
    <row r="522" spans="1:7" x14ac:dyDescent="0.3">
      <c r="D522">
        <v>4</v>
      </c>
      <c r="E522" s="5">
        <f t="shared" si="16"/>
        <v>26.666666666666668</v>
      </c>
    </row>
    <row r="523" spans="1:7" x14ac:dyDescent="0.3">
      <c r="D523">
        <v>5</v>
      </c>
      <c r="E523" s="5">
        <f t="shared" si="16"/>
        <v>33.333333333333329</v>
      </c>
    </row>
    <row r="525" spans="1:7" ht="15" thickBot="1" x14ac:dyDescent="0.35">
      <c r="A525" s="1" t="s">
        <v>2</v>
      </c>
      <c r="B525" s="1" t="s">
        <v>3</v>
      </c>
      <c r="C525" s="1" t="s">
        <v>4</v>
      </c>
      <c r="D525" s="2" t="s">
        <v>121</v>
      </c>
      <c r="E525" s="1" t="s">
        <v>167</v>
      </c>
      <c r="F525" s="1" t="s">
        <v>29</v>
      </c>
      <c r="G525" s="1" t="s">
        <v>122</v>
      </c>
    </row>
    <row r="526" spans="1:7" x14ac:dyDescent="0.3">
      <c r="A526" t="s">
        <v>82</v>
      </c>
      <c r="B526" t="s">
        <v>83</v>
      </c>
      <c r="C526">
        <v>2013</v>
      </c>
      <c r="D526">
        <v>3</v>
      </c>
      <c r="E526">
        <f>(D526/10)*100</f>
        <v>30</v>
      </c>
      <c r="F526">
        <f>AVERAGE(E526:E581)</f>
        <v>33.75</v>
      </c>
      <c r="G526">
        <f>_xlfn.STDEV.S(E526:E581)</f>
        <v>9.4508296894072643</v>
      </c>
    </row>
    <row r="527" spans="1:7" x14ac:dyDescent="0.3">
      <c r="D527">
        <v>3</v>
      </c>
      <c r="E527">
        <f t="shared" ref="E527:E581" si="17">(D527/10)*100</f>
        <v>30</v>
      </c>
    </row>
    <row r="528" spans="1:7" x14ac:dyDescent="0.3">
      <c r="D528">
        <v>5</v>
      </c>
      <c r="E528">
        <f t="shared" si="17"/>
        <v>50</v>
      </c>
    </row>
    <row r="529" spans="4:5" x14ac:dyDescent="0.3">
      <c r="D529">
        <v>2</v>
      </c>
      <c r="E529">
        <f t="shared" si="17"/>
        <v>20</v>
      </c>
    </row>
    <row r="530" spans="4:5" x14ac:dyDescent="0.3">
      <c r="D530">
        <v>3</v>
      </c>
      <c r="E530">
        <f t="shared" si="17"/>
        <v>30</v>
      </c>
    </row>
    <row r="531" spans="4:5" x14ac:dyDescent="0.3">
      <c r="D531">
        <v>4</v>
      </c>
      <c r="E531">
        <f t="shared" si="17"/>
        <v>40</v>
      </c>
    </row>
    <row r="532" spans="4:5" x14ac:dyDescent="0.3">
      <c r="D532">
        <v>5</v>
      </c>
      <c r="E532">
        <f t="shared" si="17"/>
        <v>50</v>
      </c>
    </row>
    <row r="533" spans="4:5" x14ac:dyDescent="0.3">
      <c r="D533">
        <v>3</v>
      </c>
      <c r="E533">
        <f t="shared" si="17"/>
        <v>30</v>
      </c>
    </row>
    <row r="534" spans="4:5" x14ac:dyDescent="0.3">
      <c r="D534">
        <v>4</v>
      </c>
      <c r="E534">
        <f t="shared" si="17"/>
        <v>40</v>
      </c>
    </row>
    <row r="535" spans="4:5" x14ac:dyDescent="0.3">
      <c r="D535">
        <v>4</v>
      </c>
      <c r="E535">
        <f t="shared" si="17"/>
        <v>40</v>
      </c>
    </row>
    <row r="536" spans="4:5" x14ac:dyDescent="0.3">
      <c r="D536">
        <v>3</v>
      </c>
      <c r="E536">
        <f t="shared" si="17"/>
        <v>30</v>
      </c>
    </row>
    <row r="537" spans="4:5" x14ac:dyDescent="0.3">
      <c r="D537">
        <v>4</v>
      </c>
      <c r="E537">
        <f t="shared" si="17"/>
        <v>40</v>
      </c>
    </row>
    <row r="538" spans="4:5" x14ac:dyDescent="0.3">
      <c r="D538">
        <v>3</v>
      </c>
      <c r="E538">
        <f t="shared" si="17"/>
        <v>30</v>
      </c>
    </row>
    <row r="539" spans="4:5" x14ac:dyDescent="0.3">
      <c r="D539">
        <v>2</v>
      </c>
      <c r="E539">
        <f t="shared" si="17"/>
        <v>20</v>
      </c>
    </row>
    <row r="540" spans="4:5" x14ac:dyDescent="0.3">
      <c r="D540">
        <v>2</v>
      </c>
      <c r="E540">
        <f t="shared" si="17"/>
        <v>20</v>
      </c>
    </row>
    <row r="541" spans="4:5" x14ac:dyDescent="0.3">
      <c r="D541">
        <v>3</v>
      </c>
      <c r="E541">
        <f t="shared" si="17"/>
        <v>30</v>
      </c>
    </row>
    <row r="542" spans="4:5" x14ac:dyDescent="0.3">
      <c r="D542">
        <v>3</v>
      </c>
      <c r="E542">
        <f t="shared" si="17"/>
        <v>30</v>
      </c>
    </row>
    <row r="543" spans="4:5" x14ac:dyDescent="0.3">
      <c r="D543">
        <v>3</v>
      </c>
      <c r="E543">
        <f t="shared" si="17"/>
        <v>30</v>
      </c>
    </row>
    <row r="544" spans="4:5" x14ac:dyDescent="0.3">
      <c r="D544">
        <v>4</v>
      </c>
      <c r="E544">
        <f t="shared" si="17"/>
        <v>40</v>
      </c>
    </row>
    <row r="545" spans="4:5" x14ac:dyDescent="0.3">
      <c r="D545">
        <v>4</v>
      </c>
      <c r="E545">
        <f t="shared" si="17"/>
        <v>40</v>
      </c>
    </row>
    <row r="546" spans="4:5" x14ac:dyDescent="0.3">
      <c r="D546">
        <v>3</v>
      </c>
      <c r="E546">
        <f t="shared" si="17"/>
        <v>30</v>
      </c>
    </row>
    <row r="547" spans="4:5" x14ac:dyDescent="0.3">
      <c r="D547">
        <v>3</v>
      </c>
      <c r="E547">
        <f t="shared" si="17"/>
        <v>30</v>
      </c>
    </row>
    <row r="548" spans="4:5" x14ac:dyDescent="0.3">
      <c r="D548">
        <v>4</v>
      </c>
      <c r="E548">
        <f t="shared" si="17"/>
        <v>40</v>
      </c>
    </row>
    <row r="549" spans="4:5" x14ac:dyDescent="0.3">
      <c r="D549">
        <v>2</v>
      </c>
      <c r="E549">
        <f t="shared" si="17"/>
        <v>20</v>
      </c>
    </row>
    <row r="550" spans="4:5" x14ac:dyDescent="0.3">
      <c r="D550">
        <v>3</v>
      </c>
      <c r="E550">
        <f t="shared" si="17"/>
        <v>30</v>
      </c>
    </row>
    <row r="551" spans="4:5" x14ac:dyDescent="0.3">
      <c r="D551">
        <v>5</v>
      </c>
      <c r="E551">
        <f t="shared" si="17"/>
        <v>50</v>
      </c>
    </row>
    <row r="552" spans="4:5" x14ac:dyDescent="0.3">
      <c r="D552">
        <v>3</v>
      </c>
      <c r="E552">
        <f t="shared" si="17"/>
        <v>30</v>
      </c>
    </row>
    <row r="553" spans="4:5" x14ac:dyDescent="0.3">
      <c r="D553">
        <v>3</v>
      </c>
      <c r="E553">
        <f t="shared" si="17"/>
        <v>30</v>
      </c>
    </row>
    <row r="554" spans="4:5" x14ac:dyDescent="0.3">
      <c r="D554">
        <v>4</v>
      </c>
      <c r="E554">
        <f t="shared" si="17"/>
        <v>40</v>
      </c>
    </row>
    <row r="555" spans="4:5" x14ac:dyDescent="0.3">
      <c r="D555">
        <v>3</v>
      </c>
      <c r="E555">
        <f t="shared" si="17"/>
        <v>30</v>
      </c>
    </row>
    <row r="556" spans="4:5" x14ac:dyDescent="0.3">
      <c r="D556">
        <v>4</v>
      </c>
      <c r="E556">
        <f t="shared" si="17"/>
        <v>40</v>
      </c>
    </row>
    <row r="557" spans="4:5" x14ac:dyDescent="0.3">
      <c r="D557">
        <v>3</v>
      </c>
      <c r="E557">
        <f t="shared" si="17"/>
        <v>30</v>
      </c>
    </row>
    <row r="558" spans="4:5" x14ac:dyDescent="0.3">
      <c r="D558">
        <v>4</v>
      </c>
      <c r="E558">
        <f t="shared" si="17"/>
        <v>40</v>
      </c>
    </row>
    <row r="559" spans="4:5" x14ac:dyDescent="0.3">
      <c r="D559">
        <v>3</v>
      </c>
      <c r="E559">
        <f t="shared" si="17"/>
        <v>30</v>
      </c>
    </row>
    <row r="560" spans="4:5" x14ac:dyDescent="0.3">
      <c r="D560">
        <v>3</v>
      </c>
      <c r="E560">
        <f t="shared" si="17"/>
        <v>30</v>
      </c>
    </row>
    <row r="561" spans="4:5" x14ac:dyDescent="0.3">
      <c r="D561">
        <v>4</v>
      </c>
      <c r="E561">
        <f t="shared" si="17"/>
        <v>40</v>
      </c>
    </row>
    <row r="562" spans="4:5" x14ac:dyDescent="0.3">
      <c r="D562">
        <v>3</v>
      </c>
      <c r="E562">
        <f t="shared" si="17"/>
        <v>30</v>
      </c>
    </row>
    <row r="563" spans="4:5" x14ac:dyDescent="0.3">
      <c r="D563">
        <v>3</v>
      </c>
      <c r="E563">
        <f t="shared" si="17"/>
        <v>30</v>
      </c>
    </row>
    <row r="564" spans="4:5" x14ac:dyDescent="0.3">
      <c r="D564">
        <v>4</v>
      </c>
      <c r="E564">
        <f t="shared" si="17"/>
        <v>40</v>
      </c>
    </row>
    <row r="565" spans="4:5" x14ac:dyDescent="0.3">
      <c r="D565">
        <v>4</v>
      </c>
      <c r="E565">
        <f t="shared" si="17"/>
        <v>40</v>
      </c>
    </row>
    <row r="566" spans="4:5" x14ac:dyDescent="0.3">
      <c r="D566">
        <v>3</v>
      </c>
      <c r="E566">
        <f t="shared" si="17"/>
        <v>30</v>
      </c>
    </row>
    <row r="567" spans="4:5" x14ac:dyDescent="0.3">
      <c r="D567">
        <v>2</v>
      </c>
      <c r="E567">
        <f t="shared" si="17"/>
        <v>20</v>
      </c>
    </row>
    <row r="568" spans="4:5" x14ac:dyDescent="0.3">
      <c r="D568">
        <v>6</v>
      </c>
      <c r="E568">
        <f t="shared" si="17"/>
        <v>60</v>
      </c>
    </row>
    <row r="569" spans="4:5" x14ac:dyDescent="0.3">
      <c r="D569">
        <v>5</v>
      </c>
      <c r="E569">
        <f t="shared" si="17"/>
        <v>50</v>
      </c>
    </row>
    <row r="570" spans="4:5" x14ac:dyDescent="0.3">
      <c r="D570">
        <v>3</v>
      </c>
      <c r="E570">
        <f t="shared" si="17"/>
        <v>30</v>
      </c>
    </row>
    <row r="571" spans="4:5" x14ac:dyDescent="0.3">
      <c r="D571">
        <v>4</v>
      </c>
      <c r="E571">
        <f t="shared" si="17"/>
        <v>40</v>
      </c>
    </row>
    <row r="572" spans="4:5" x14ac:dyDescent="0.3">
      <c r="D572">
        <v>3</v>
      </c>
      <c r="E572">
        <f t="shared" si="17"/>
        <v>30</v>
      </c>
    </row>
    <row r="573" spans="4:5" x14ac:dyDescent="0.3">
      <c r="D573">
        <v>3</v>
      </c>
      <c r="E573">
        <f t="shared" si="17"/>
        <v>30</v>
      </c>
    </row>
    <row r="574" spans="4:5" x14ac:dyDescent="0.3">
      <c r="D574">
        <v>4</v>
      </c>
      <c r="E574">
        <f t="shared" si="17"/>
        <v>40</v>
      </c>
    </row>
    <row r="575" spans="4:5" x14ac:dyDescent="0.3">
      <c r="D575">
        <v>2</v>
      </c>
      <c r="E575">
        <f t="shared" si="17"/>
        <v>20</v>
      </c>
    </row>
    <row r="576" spans="4:5" x14ac:dyDescent="0.3">
      <c r="D576">
        <v>3</v>
      </c>
      <c r="E576">
        <f t="shared" si="17"/>
        <v>30</v>
      </c>
    </row>
    <row r="577" spans="1:7" x14ac:dyDescent="0.3">
      <c r="D577">
        <v>2</v>
      </c>
      <c r="E577">
        <f t="shared" si="17"/>
        <v>20</v>
      </c>
    </row>
    <row r="578" spans="1:7" x14ac:dyDescent="0.3">
      <c r="D578">
        <v>3</v>
      </c>
      <c r="E578">
        <f t="shared" si="17"/>
        <v>30</v>
      </c>
    </row>
    <row r="579" spans="1:7" x14ac:dyDescent="0.3">
      <c r="D579">
        <v>2</v>
      </c>
      <c r="E579">
        <f t="shared" si="17"/>
        <v>20</v>
      </c>
    </row>
    <row r="580" spans="1:7" x14ac:dyDescent="0.3">
      <c r="D580">
        <v>6</v>
      </c>
      <c r="E580">
        <f t="shared" si="17"/>
        <v>60</v>
      </c>
    </row>
    <row r="581" spans="1:7" x14ac:dyDescent="0.3">
      <c r="D581">
        <v>3</v>
      </c>
      <c r="E581">
        <f t="shared" si="17"/>
        <v>30</v>
      </c>
    </row>
    <row r="583" spans="1:7" ht="15" thickBot="1" x14ac:dyDescent="0.35">
      <c r="A583" s="1" t="s">
        <v>2</v>
      </c>
      <c r="B583" s="1" t="s">
        <v>3</v>
      </c>
      <c r="C583" s="1" t="s">
        <v>4</v>
      </c>
      <c r="D583" s="2" t="s">
        <v>121</v>
      </c>
      <c r="E583" s="1" t="s">
        <v>167</v>
      </c>
      <c r="F583" s="1" t="s">
        <v>29</v>
      </c>
      <c r="G583" s="1" t="s">
        <v>122</v>
      </c>
    </row>
    <row r="584" spans="1:7" x14ac:dyDescent="0.3">
      <c r="A584" t="s">
        <v>86</v>
      </c>
      <c r="B584" t="s">
        <v>87</v>
      </c>
      <c r="C584">
        <v>2018</v>
      </c>
      <c r="D584">
        <v>5</v>
      </c>
      <c r="E584">
        <f>(D584/10)*100</f>
        <v>50</v>
      </c>
      <c r="F584">
        <f>AVERAGE(E584:E599)</f>
        <v>54.375</v>
      </c>
      <c r="G584">
        <f>_xlfn.STDEV.S(E584:E599)</f>
        <v>11.528949070347508</v>
      </c>
    </row>
    <row r="585" spans="1:7" x14ac:dyDescent="0.3">
      <c r="D585">
        <v>5</v>
      </c>
      <c r="E585">
        <f t="shared" ref="E585:E599" si="18">(D585/10)*100</f>
        <v>50</v>
      </c>
    </row>
    <row r="586" spans="1:7" x14ac:dyDescent="0.3">
      <c r="D586">
        <v>4</v>
      </c>
      <c r="E586">
        <f t="shared" si="18"/>
        <v>40</v>
      </c>
    </row>
    <row r="587" spans="1:7" x14ac:dyDescent="0.3">
      <c r="D587">
        <v>5</v>
      </c>
      <c r="E587">
        <f t="shared" si="18"/>
        <v>50</v>
      </c>
    </row>
    <row r="588" spans="1:7" x14ac:dyDescent="0.3">
      <c r="D588">
        <v>6</v>
      </c>
      <c r="E588">
        <f t="shared" si="18"/>
        <v>60</v>
      </c>
    </row>
    <row r="589" spans="1:7" x14ac:dyDescent="0.3">
      <c r="D589">
        <v>4</v>
      </c>
      <c r="E589">
        <f t="shared" si="18"/>
        <v>40</v>
      </c>
    </row>
    <row r="590" spans="1:7" x14ac:dyDescent="0.3">
      <c r="D590">
        <v>5</v>
      </c>
      <c r="E590">
        <f t="shared" si="18"/>
        <v>50</v>
      </c>
    </row>
    <row r="591" spans="1:7" x14ac:dyDescent="0.3">
      <c r="D591">
        <v>6</v>
      </c>
      <c r="E591">
        <f t="shared" si="18"/>
        <v>60</v>
      </c>
    </row>
    <row r="592" spans="1:7" x14ac:dyDescent="0.3">
      <c r="D592">
        <v>6</v>
      </c>
      <c r="E592">
        <f t="shared" si="18"/>
        <v>60</v>
      </c>
    </row>
    <row r="593" spans="1:7" x14ac:dyDescent="0.3">
      <c r="D593">
        <v>8</v>
      </c>
      <c r="E593">
        <f t="shared" si="18"/>
        <v>80</v>
      </c>
    </row>
    <row r="594" spans="1:7" x14ac:dyDescent="0.3">
      <c r="D594">
        <v>4</v>
      </c>
      <c r="E594">
        <f t="shared" si="18"/>
        <v>40</v>
      </c>
    </row>
    <row r="595" spans="1:7" x14ac:dyDescent="0.3">
      <c r="D595">
        <v>7</v>
      </c>
      <c r="E595">
        <f t="shared" si="18"/>
        <v>70</v>
      </c>
    </row>
    <row r="596" spans="1:7" x14ac:dyDescent="0.3">
      <c r="D596">
        <v>4</v>
      </c>
      <c r="E596">
        <f t="shared" si="18"/>
        <v>40</v>
      </c>
    </row>
    <row r="597" spans="1:7" x14ac:dyDescent="0.3">
      <c r="D597">
        <v>6</v>
      </c>
      <c r="E597">
        <f t="shared" si="18"/>
        <v>60</v>
      </c>
    </row>
    <row r="598" spans="1:7" x14ac:dyDescent="0.3">
      <c r="D598">
        <v>6</v>
      </c>
      <c r="E598">
        <f t="shared" si="18"/>
        <v>60</v>
      </c>
    </row>
    <row r="599" spans="1:7" x14ac:dyDescent="0.3">
      <c r="D599">
        <v>6</v>
      </c>
      <c r="E599">
        <f t="shared" si="18"/>
        <v>60</v>
      </c>
    </row>
    <row r="601" spans="1:7" ht="15" thickBot="1" x14ac:dyDescent="0.35">
      <c r="A601" s="1" t="s">
        <v>2</v>
      </c>
      <c r="B601" s="1" t="s">
        <v>3</v>
      </c>
      <c r="C601" s="1" t="s">
        <v>4</v>
      </c>
      <c r="D601" s="2" t="s">
        <v>121</v>
      </c>
      <c r="E601" s="1" t="s">
        <v>167</v>
      </c>
      <c r="F601" s="1" t="s">
        <v>29</v>
      </c>
      <c r="G601" s="1" t="s">
        <v>122</v>
      </c>
    </row>
    <row r="602" spans="1:7" x14ac:dyDescent="0.3">
      <c r="A602" t="s">
        <v>46</v>
      </c>
      <c r="B602" t="s">
        <v>47</v>
      </c>
      <c r="C602">
        <v>2020</v>
      </c>
      <c r="D602">
        <v>3</v>
      </c>
      <c r="E602">
        <f>(D602/10)*100</f>
        <v>30</v>
      </c>
      <c r="F602">
        <f>AVERAGE(E602:E648)</f>
        <v>26.808510638297872</v>
      </c>
      <c r="G602">
        <f>_xlfn.STDEV.S(E602:E648)</f>
        <v>5.9367620287286211</v>
      </c>
    </row>
    <row r="603" spans="1:7" x14ac:dyDescent="0.3">
      <c r="D603">
        <v>4</v>
      </c>
      <c r="E603">
        <f t="shared" ref="E603:E648" si="19">(D603/10)*100</f>
        <v>40</v>
      </c>
    </row>
    <row r="604" spans="1:7" x14ac:dyDescent="0.3">
      <c r="D604">
        <v>2</v>
      </c>
      <c r="E604">
        <f t="shared" si="19"/>
        <v>20</v>
      </c>
    </row>
    <row r="605" spans="1:7" x14ac:dyDescent="0.3">
      <c r="D605">
        <v>2</v>
      </c>
      <c r="E605">
        <f t="shared" si="19"/>
        <v>20</v>
      </c>
    </row>
    <row r="606" spans="1:7" x14ac:dyDescent="0.3">
      <c r="D606">
        <v>3</v>
      </c>
      <c r="E606">
        <f t="shared" si="19"/>
        <v>30</v>
      </c>
    </row>
    <row r="607" spans="1:7" x14ac:dyDescent="0.3">
      <c r="D607">
        <v>2</v>
      </c>
      <c r="E607">
        <f t="shared" si="19"/>
        <v>20</v>
      </c>
    </row>
    <row r="608" spans="1:7" x14ac:dyDescent="0.3">
      <c r="D608">
        <v>3</v>
      </c>
      <c r="E608">
        <f t="shared" si="19"/>
        <v>30</v>
      </c>
    </row>
    <row r="609" spans="4:5" x14ac:dyDescent="0.3">
      <c r="D609">
        <v>3</v>
      </c>
      <c r="E609">
        <f t="shared" si="19"/>
        <v>30</v>
      </c>
    </row>
    <row r="610" spans="4:5" x14ac:dyDescent="0.3">
      <c r="D610">
        <v>2</v>
      </c>
      <c r="E610">
        <f t="shared" si="19"/>
        <v>20</v>
      </c>
    </row>
    <row r="611" spans="4:5" x14ac:dyDescent="0.3">
      <c r="D611">
        <v>3</v>
      </c>
      <c r="E611">
        <f t="shared" si="19"/>
        <v>30</v>
      </c>
    </row>
    <row r="612" spans="4:5" x14ac:dyDescent="0.3">
      <c r="D612">
        <v>3</v>
      </c>
      <c r="E612">
        <f t="shared" si="19"/>
        <v>30</v>
      </c>
    </row>
    <row r="613" spans="4:5" x14ac:dyDescent="0.3">
      <c r="D613">
        <v>3</v>
      </c>
      <c r="E613">
        <f t="shared" si="19"/>
        <v>30</v>
      </c>
    </row>
    <row r="614" spans="4:5" x14ac:dyDescent="0.3">
      <c r="D614">
        <v>3</v>
      </c>
      <c r="E614">
        <f t="shared" si="19"/>
        <v>30</v>
      </c>
    </row>
    <row r="615" spans="4:5" x14ac:dyDescent="0.3">
      <c r="D615">
        <v>3</v>
      </c>
      <c r="E615">
        <f t="shared" si="19"/>
        <v>30</v>
      </c>
    </row>
    <row r="616" spans="4:5" x14ac:dyDescent="0.3">
      <c r="D616">
        <v>3</v>
      </c>
      <c r="E616">
        <f t="shared" si="19"/>
        <v>30</v>
      </c>
    </row>
    <row r="617" spans="4:5" x14ac:dyDescent="0.3">
      <c r="D617">
        <v>3</v>
      </c>
      <c r="E617">
        <f t="shared" si="19"/>
        <v>30</v>
      </c>
    </row>
    <row r="618" spans="4:5" x14ac:dyDescent="0.3">
      <c r="D618">
        <v>3</v>
      </c>
      <c r="E618">
        <f t="shared" si="19"/>
        <v>30</v>
      </c>
    </row>
    <row r="619" spans="4:5" x14ac:dyDescent="0.3">
      <c r="D619">
        <v>2</v>
      </c>
      <c r="E619">
        <f t="shared" si="19"/>
        <v>20</v>
      </c>
    </row>
    <row r="620" spans="4:5" x14ac:dyDescent="0.3">
      <c r="D620">
        <v>2</v>
      </c>
      <c r="E620">
        <f t="shared" si="19"/>
        <v>20</v>
      </c>
    </row>
    <row r="621" spans="4:5" x14ac:dyDescent="0.3">
      <c r="D621">
        <v>3</v>
      </c>
      <c r="E621">
        <f t="shared" si="19"/>
        <v>30</v>
      </c>
    </row>
    <row r="622" spans="4:5" x14ac:dyDescent="0.3">
      <c r="D622">
        <v>2</v>
      </c>
      <c r="E622">
        <f t="shared" si="19"/>
        <v>20</v>
      </c>
    </row>
    <row r="623" spans="4:5" x14ac:dyDescent="0.3">
      <c r="D623">
        <v>3</v>
      </c>
      <c r="E623">
        <f t="shared" si="19"/>
        <v>30</v>
      </c>
    </row>
    <row r="624" spans="4:5" x14ac:dyDescent="0.3">
      <c r="D624">
        <v>2</v>
      </c>
      <c r="E624">
        <f t="shared" si="19"/>
        <v>20</v>
      </c>
    </row>
    <row r="625" spans="4:5" x14ac:dyDescent="0.3">
      <c r="D625">
        <v>2</v>
      </c>
      <c r="E625">
        <f t="shared" si="19"/>
        <v>20</v>
      </c>
    </row>
    <row r="626" spans="4:5" x14ac:dyDescent="0.3">
      <c r="D626">
        <v>2</v>
      </c>
      <c r="E626">
        <f t="shared" si="19"/>
        <v>20</v>
      </c>
    </row>
    <row r="627" spans="4:5" x14ac:dyDescent="0.3">
      <c r="D627">
        <v>2</v>
      </c>
      <c r="E627">
        <f t="shared" si="19"/>
        <v>20</v>
      </c>
    </row>
    <row r="628" spans="4:5" x14ac:dyDescent="0.3">
      <c r="D628">
        <v>2</v>
      </c>
      <c r="E628">
        <f t="shared" si="19"/>
        <v>20</v>
      </c>
    </row>
    <row r="629" spans="4:5" x14ac:dyDescent="0.3">
      <c r="D629">
        <v>2</v>
      </c>
      <c r="E629">
        <f t="shared" si="19"/>
        <v>20</v>
      </c>
    </row>
    <row r="630" spans="4:5" x14ac:dyDescent="0.3">
      <c r="D630">
        <v>2</v>
      </c>
      <c r="E630">
        <f t="shared" si="19"/>
        <v>20</v>
      </c>
    </row>
    <row r="631" spans="4:5" x14ac:dyDescent="0.3">
      <c r="D631">
        <v>3</v>
      </c>
      <c r="E631">
        <f t="shared" si="19"/>
        <v>30</v>
      </c>
    </row>
    <row r="632" spans="4:5" x14ac:dyDescent="0.3">
      <c r="D632">
        <v>3</v>
      </c>
      <c r="E632">
        <f t="shared" si="19"/>
        <v>30</v>
      </c>
    </row>
    <row r="633" spans="4:5" x14ac:dyDescent="0.3">
      <c r="D633">
        <v>3</v>
      </c>
      <c r="E633">
        <f t="shared" si="19"/>
        <v>30</v>
      </c>
    </row>
    <row r="634" spans="4:5" x14ac:dyDescent="0.3">
      <c r="D634">
        <v>3</v>
      </c>
      <c r="E634">
        <f t="shared" si="19"/>
        <v>30</v>
      </c>
    </row>
    <row r="635" spans="4:5" x14ac:dyDescent="0.3">
      <c r="D635">
        <v>4</v>
      </c>
      <c r="E635">
        <f t="shared" si="19"/>
        <v>40</v>
      </c>
    </row>
    <row r="636" spans="4:5" x14ac:dyDescent="0.3">
      <c r="D636">
        <v>3</v>
      </c>
      <c r="E636">
        <f t="shared" si="19"/>
        <v>30</v>
      </c>
    </row>
    <row r="637" spans="4:5" x14ac:dyDescent="0.3">
      <c r="D637">
        <v>2</v>
      </c>
      <c r="E637">
        <f t="shared" si="19"/>
        <v>20</v>
      </c>
    </row>
    <row r="638" spans="4:5" x14ac:dyDescent="0.3">
      <c r="D638">
        <v>3</v>
      </c>
      <c r="E638">
        <f t="shared" si="19"/>
        <v>30</v>
      </c>
    </row>
    <row r="639" spans="4:5" x14ac:dyDescent="0.3">
      <c r="D639">
        <v>3</v>
      </c>
      <c r="E639">
        <f t="shared" si="19"/>
        <v>30</v>
      </c>
    </row>
    <row r="640" spans="4:5" x14ac:dyDescent="0.3">
      <c r="D640">
        <v>3</v>
      </c>
      <c r="E640">
        <f t="shared" si="19"/>
        <v>30</v>
      </c>
    </row>
    <row r="641" spans="1:10" x14ac:dyDescent="0.3">
      <c r="D641">
        <v>3</v>
      </c>
      <c r="E641">
        <f t="shared" si="19"/>
        <v>30</v>
      </c>
    </row>
    <row r="642" spans="1:10" x14ac:dyDescent="0.3">
      <c r="D642">
        <v>3</v>
      </c>
      <c r="E642">
        <f t="shared" si="19"/>
        <v>30</v>
      </c>
    </row>
    <row r="643" spans="1:10" x14ac:dyDescent="0.3">
      <c r="D643">
        <v>3</v>
      </c>
      <c r="E643">
        <f t="shared" si="19"/>
        <v>30</v>
      </c>
    </row>
    <row r="644" spans="1:10" x14ac:dyDescent="0.3">
      <c r="D644">
        <v>4</v>
      </c>
      <c r="E644">
        <f t="shared" si="19"/>
        <v>40</v>
      </c>
    </row>
    <row r="645" spans="1:10" x14ac:dyDescent="0.3">
      <c r="D645">
        <v>2</v>
      </c>
      <c r="E645">
        <f t="shared" si="19"/>
        <v>20</v>
      </c>
    </row>
    <row r="646" spans="1:10" x14ac:dyDescent="0.3">
      <c r="D646">
        <v>3</v>
      </c>
      <c r="E646">
        <f t="shared" si="19"/>
        <v>30</v>
      </c>
    </row>
    <row r="647" spans="1:10" x14ac:dyDescent="0.3">
      <c r="D647">
        <v>2</v>
      </c>
      <c r="E647">
        <f t="shared" si="19"/>
        <v>20</v>
      </c>
    </row>
    <row r="648" spans="1:10" x14ac:dyDescent="0.3">
      <c r="D648">
        <v>2</v>
      </c>
      <c r="E648">
        <f t="shared" si="19"/>
        <v>20</v>
      </c>
    </row>
    <row r="650" spans="1:10" ht="15" thickBot="1" x14ac:dyDescent="0.35">
      <c r="A650" s="1" t="s">
        <v>2</v>
      </c>
      <c r="B650" s="1" t="s">
        <v>3</v>
      </c>
      <c r="C650" s="1" t="s">
        <v>4</v>
      </c>
      <c r="D650" s="2"/>
      <c r="E650" s="1"/>
      <c r="F650" s="1"/>
      <c r="G650" s="1"/>
    </row>
    <row r="651" spans="1:10" x14ac:dyDescent="0.3">
      <c r="A651" t="s">
        <v>80</v>
      </c>
      <c r="B651" t="s">
        <v>81</v>
      </c>
      <c r="C651">
        <v>2011</v>
      </c>
    </row>
    <row r="653" spans="1:10" ht="15" thickBot="1" x14ac:dyDescent="0.35"/>
    <row r="654" spans="1:10" ht="40.200000000000003" customHeight="1" thickTop="1" thickBot="1" x14ac:dyDescent="0.35">
      <c r="A654" s="19" t="s">
        <v>2</v>
      </c>
      <c r="B654" s="19" t="s">
        <v>271</v>
      </c>
      <c r="C654" s="19" t="s">
        <v>272</v>
      </c>
      <c r="D654" s="16" t="s">
        <v>329</v>
      </c>
      <c r="E654" s="19" t="s">
        <v>273</v>
      </c>
      <c r="F654" s="19" t="s">
        <v>274</v>
      </c>
      <c r="G654" s="2" t="s">
        <v>121</v>
      </c>
      <c r="H654" s="1" t="s">
        <v>167</v>
      </c>
      <c r="I654" s="1" t="s">
        <v>29</v>
      </c>
      <c r="J654" s="1" t="s">
        <v>122</v>
      </c>
    </row>
    <row r="655" spans="1:10" x14ac:dyDescent="0.3">
      <c r="A655" s="17" t="s">
        <v>275</v>
      </c>
      <c r="B655" s="17" t="s">
        <v>276</v>
      </c>
      <c r="C655" s="17" t="s">
        <v>277</v>
      </c>
      <c r="D655" s="17" t="s">
        <v>277</v>
      </c>
      <c r="E655" s="17" t="s">
        <v>277</v>
      </c>
      <c r="F655" s="17" t="s">
        <v>277</v>
      </c>
      <c r="G655">
        <f>COUNTIF(B655:F655, "Y")</f>
        <v>1</v>
      </c>
      <c r="H655">
        <f>(G655/5)*100</f>
        <v>20</v>
      </c>
      <c r="I655">
        <f>AVERAGE(H655:H706)</f>
        <v>25.76923076923077</v>
      </c>
      <c r="J655">
        <f>_xlfn.STDEV.S(H655:H706)</f>
        <v>17.416034289615816</v>
      </c>
    </row>
    <row r="656" spans="1:10" x14ac:dyDescent="0.3">
      <c r="A656" s="17" t="s">
        <v>278</v>
      </c>
      <c r="B656" s="17" t="s">
        <v>276</v>
      </c>
      <c r="C656" s="17" t="s">
        <v>277</v>
      </c>
      <c r="D656" s="17" t="s">
        <v>277</v>
      </c>
      <c r="E656" s="17" t="s">
        <v>277</v>
      </c>
      <c r="F656" s="17" t="s">
        <v>276</v>
      </c>
      <c r="G656">
        <f>COUNTIF(B656:F656, "Y")</f>
        <v>2</v>
      </c>
      <c r="H656">
        <f t="shared" ref="H656:H706" si="20">(G656/5)*100</f>
        <v>40</v>
      </c>
    </row>
    <row r="657" spans="1:8" x14ac:dyDescent="0.3">
      <c r="A657" s="17" t="s">
        <v>279</v>
      </c>
      <c r="B657" s="17" t="s">
        <v>276</v>
      </c>
      <c r="C657" s="17" t="s">
        <v>277</v>
      </c>
      <c r="D657" s="17" t="s">
        <v>277</v>
      </c>
      <c r="E657" s="17" t="s">
        <v>277</v>
      </c>
      <c r="F657" s="17" t="s">
        <v>277</v>
      </c>
      <c r="G657">
        <f t="shared" ref="G657:G706" si="21">COUNTIF(B657:F657, "Y")</f>
        <v>1</v>
      </c>
      <c r="H657">
        <f t="shared" si="20"/>
        <v>20</v>
      </c>
    </row>
    <row r="658" spans="1:8" x14ac:dyDescent="0.3">
      <c r="A658" s="17" t="s">
        <v>280</v>
      </c>
      <c r="B658" s="17" t="s">
        <v>276</v>
      </c>
      <c r="C658" s="17" t="s">
        <v>277</v>
      </c>
      <c r="D658" s="17" t="s">
        <v>277</v>
      </c>
      <c r="E658" s="17" t="s">
        <v>277</v>
      </c>
      <c r="F658" s="17" t="s">
        <v>276</v>
      </c>
      <c r="G658">
        <f t="shared" si="21"/>
        <v>2</v>
      </c>
      <c r="H658">
        <f t="shared" si="20"/>
        <v>40</v>
      </c>
    </row>
    <row r="659" spans="1:8" x14ac:dyDescent="0.3">
      <c r="A659" s="17" t="s">
        <v>281</v>
      </c>
      <c r="B659" s="17" t="s">
        <v>277</v>
      </c>
      <c r="C659" s="17" t="s">
        <v>277</v>
      </c>
      <c r="D659" s="17" t="s">
        <v>277</v>
      </c>
      <c r="E659" s="17" t="s">
        <v>276</v>
      </c>
      <c r="F659" s="17" t="s">
        <v>276</v>
      </c>
      <c r="G659">
        <f t="shared" si="21"/>
        <v>2</v>
      </c>
      <c r="H659">
        <f t="shared" si="20"/>
        <v>40</v>
      </c>
    </row>
    <row r="660" spans="1:8" x14ac:dyDescent="0.3">
      <c r="A660" s="17" t="s">
        <v>282</v>
      </c>
      <c r="B660" s="17" t="s">
        <v>276</v>
      </c>
      <c r="C660" s="17" t="s">
        <v>277</v>
      </c>
      <c r="D660" s="17" t="s">
        <v>277</v>
      </c>
      <c r="E660" s="17" t="s">
        <v>277</v>
      </c>
      <c r="F660" s="17" t="s">
        <v>277</v>
      </c>
      <c r="G660">
        <f t="shared" si="21"/>
        <v>1</v>
      </c>
      <c r="H660">
        <f t="shared" si="20"/>
        <v>20</v>
      </c>
    </row>
    <row r="661" spans="1:8" x14ac:dyDescent="0.3">
      <c r="A661" s="17" t="s">
        <v>283</v>
      </c>
      <c r="B661" s="17" t="s">
        <v>277</v>
      </c>
      <c r="C661" s="17" t="s">
        <v>277</v>
      </c>
      <c r="D661" s="17" t="s">
        <v>277</v>
      </c>
      <c r="E661" s="17" t="s">
        <v>277</v>
      </c>
      <c r="F661" s="17" t="s">
        <v>276</v>
      </c>
      <c r="G661">
        <f t="shared" si="21"/>
        <v>1</v>
      </c>
      <c r="H661">
        <f t="shared" si="20"/>
        <v>20</v>
      </c>
    </row>
    <row r="662" spans="1:8" x14ac:dyDescent="0.3">
      <c r="A662" s="17" t="s">
        <v>284</v>
      </c>
      <c r="B662" s="17" t="s">
        <v>277</v>
      </c>
      <c r="C662" s="17" t="s">
        <v>277</v>
      </c>
      <c r="D662" s="17" t="s">
        <v>277</v>
      </c>
      <c r="E662" s="17" t="s">
        <v>277</v>
      </c>
      <c r="F662" s="17" t="s">
        <v>276</v>
      </c>
      <c r="G662">
        <f t="shared" si="21"/>
        <v>1</v>
      </c>
      <c r="H662">
        <f t="shared" si="20"/>
        <v>20</v>
      </c>
    </row>
    <row r="663" spans="1:8" x14ac:dyDescent="0.3">
      <c r="A663" s="17" t="s">
        <v>285</v>
      </c>
      <c r="B663" s="17" t="s">
        <v>276</v>
      </c>
      <c r="C663" s="17" t="s">
        <v>277</v>
      </c>
      <c r="D663" s="17" t="s">
        <v>277</v>
      </c>
      <c r="E663" s="17" t="s">
        <v>277</v>
      </c>
      <c r="F663" s="17" t="s">
        <v>276</v>
      </c>
      <c r="G663">
        <f t="shared" si="21"/>
        <v>2</v>
      </c>
      <c r="H663">
        <f t="shared" si="20"/>
        <v>40</v>
      </c>
    </row>
    <row r="664" spans="1:8" x14ac:dyDescent="0.3">
      <c r="A664" s="17" t="s">
        <v>286</v>
      </c>
      <c r="B664" s="17" t="s">
        <v>276</v>
      </c>
      <c r="C664" s="17" t="s">
        <v>277</v>
      </c>
      <c r="D664" s="17" t="s">
        <v>277</v>
      </c>
      <c r="E664" s="17" t="s">
        <v>277</v>
      </c>
      <c r="F664" s="17" t="s">
        <v>277</v>
      </c>
      <c r="G664">
        <f t="shared" si="21"/>
        <v>1</v>
      </c>
      <c r="H664">
        <f t="shared" si="20"/>
        <v>20</v>
      </c>
    </row>
    <row r="665" spans="1:8" x14ac:dyDescent="0.3">
      <c r="A665" s="17" t="s">
        <v>287</v>
      </c>
      <c r="B665" s="17" t="s">
        <v>276</v>
      </c>
      <c r="C665" s="17" t="s">
        <v>277</v>
      </c>
      <c r="D665" s="17" t="s">
        <v>277</v>
      </c>
      <c r="E665" s="17" t="s">
        <v>277</v>
      </c>
      <c r="F665" s="17" t="s">
        <v>276</v>
      </c>
      <c r="G665">
        <f t="shared" si="21"/>
        <v>2</v>
      </c>
      <c r="H665">
        <f t="shared" si="20"/>
        <v>40</v>
      </c>
    </row>
    <row r="666" spans="1:8" x14ac:dyDescent="0.3">
      <c r="A666" s="17" t="s">
        <v>288</v>
      </c>
      <c r="B666" s="17" t="s">
        <v>277</v>
      </c>
      <c r="C666" s="17" t="s">
        <v>277</v>
      </c>
      <c r="D666" s="17" t="s">
        <v>277</v>
      </c>
      <c r="E666" s="17" t="s">
        <v>277</v>
      </c>
      <c r="F666" s="17" t="s">
        <v>277</v>
      </c>
      <c r="G666">
        <f t="shared" si="21"/>
        <v>0</v>
      </c>
      <c r="H666">
        <f t="shared" si="20"/>
        <v>0</v>
      </c>
    </row>
    <row r="667" spans="1:8" x14ac:dyDescent="0.3">
      <c r="A667" s="17" t="s">
        <v>289</v>
      </c>
      <c r="B667" s="17" t="s">
        <v>276</v>
      </c>
      <c r="C667" s="17" t="s">
        <v>277</v>
      </c>
      <c r="D667" s="17" t="s">
        <v>277</v>
      </c>
      <c r="E667" s="17" t="s">
        <v>277</v>
      </c>
      <c r="F667" s="17" t="s">
        <v>276</v>
      </c>
      <c r="G667">
        <f t="shared" si="21"/>
        <v>2</v>
      </c>
      <c r="H667">
        <f t="shared" si="20"/>
        <v>40</v>
      </c>
    </row>
    <row r="668" spans="1:8" x14ac:dyDescent="0.3">
      <c r="A668" s="17" t="s">
        <v>290</v>
      </c>
      <c r="B668" s="17" t="s">
        <v>276</v>
      </c>
      <c r="C668" s="17" t="s">
        <v>277</v>
      </c>
      <c r="D668" s="17" t="s">
        <v>277</v>
      </c>
      <c r="E668" s="17" t="s">
        <v>276</v>
      </c>
      <c r="F668" s="17" t="s">
        <v>276</v>
      </c>
      <c r="G668">
        <f t="shared" si="21"/>
        <v>3</v>
      </c>
      <c r="H668">
        <f t="shared" si="20"/>
        <v>60</v>
      </c>
    </row>
    <row r="669" spans="1:8" x14ac:dyDescent="0.3">
      <c r="A669" s="17" t="s">
        <v>291</v>
      </c>
      <c r="B669" s="17" t="s">
        <v>277</v>
      </c>
      <c r="C669" s="17" t="s">
        <v>277</v>
      </c>
      <c r="D669" s="17" t="s">
        <v>277</v>
      </c>
      <c r="E669" s="17" t="s">
        <v>277</v>
      </c>
      <c r="F669" s="17" t="s">
        <v>276</v>
      </c>
      <c r="G669">
        <f t="shared" si="21"/>
        <v>1</v>
      </c>
      <c r="H669">
        <f t="shared" si="20"/>
        <v>20</v>
      </c>
    </row>
    <row r="670" spans="1:8" x14ac:dyDescent="0.3">
      <c r="A670" s="17" t="s">
        <v>292</v>
      </c>
      <c r="B670" s="17" t="s">
        <v>276</v>
      </c>
      <c r="C670" s="17" t="s">
        <v>277</v>
      </c>
      <c r="D670" s="17" t="s">
        <v>277</v>
      </c>
      <c r="E670" s="17" t="s">
        <v>277</v>
      </c>
      <c r="F670" s="17" t="s">
        <v>277</v>
      </c>
      <c r="G670">
        <f t="shared" si="21"/>
        <v>1</v>
      </c>
      <c r="H670">
        <f t="shared" si="20"/>
        <v>20</v>
      </c>
    </row>
    <row r="671" spans="1:8" x14ac:dyDescent="0.3">
      <c r="A671" s="17" t="s">
        <v>293</v>
      </c>
      <c r="B671" s="17" t="s">
        <v>277</v>
      </c>
      <c r="C671" s="17" t="s">
        <v>277</v>
      </c>
      <c r="D671" s="17" t="s">
        <v>277</v>
      </c>
      <c r="E671" s="17" t="s">
        <v>277</v>
      </c>
      <c r="F671" s="17" t="s">
        <v>276</v>
      </c>
      <c r="G671">
        <f t="shared" si="21"/>
        <v>1</v>
      </c>
      <c r="H671">
        <f t="shared" si="20"/>
        <v>20</v>
      </c>
    </row>
    <row r="672" spans="1:8" x14ac:dyDescent="0.3">
      <c r="A672" s="17" t="s">
        <v>294</v>
      </c>
      <c r="B672" s="17" t="s">
        <v>276</v>
      </c>
      <c r="C672" s="17" t="s">
        <v>277</v>
      </c>
      <c r="D672" s="17" t="s">
        <v>277</v>
      </c>
      <c r="E672" s="17" t="s">
        <v>277</v>
      </c>
      <c r="F672" s="17" t="s">
        <v>277</v>
      </c>
      <c r="G672">
        <f t="shared" si="21"/>
        <v>1</v>
      </c>
      <c r="H672">
        <f t="shared" si="20"/>
        <v>20</v>
      </c>
    </row>
    <row r="673" spans="1:8" x14ac:dyDescent="0.3">
      <c r="A673" s="17" t="s">
        <v>295</v>
      </c>
      <c r="B673" s="17" t="s">
        <v>276</v>
      </c>
      <c r="C673" s="17" t="s">
        <v>277</v>
      </c>
      <c r="D673" s="17" t="s">
        <v>277</v>
      </c>
      <c r="E673" s="17" t="s">
        <v>277</v>
      </c>
      <c r="F673" s="17" t="s">
        <v>277</v>
      </c>
      <c r="G673">
        <f t="shared" si="21"/>
        <v>1</v>
      </c>
      <c r="H673">
        <f t="shared" si="20"/>
        <v>20</v>
      </c>
    </row>
    <row r="674" spans="1:8" x14ac:dyDescent="0.3">
      <c r="A674" s="17" t="s">
        <v>296</v>
      </c>
      <c r="B674" s="17" t="s">
        <v>277</v>
      </c>
      <c r="C674" s="17" t="s">
        <v>277</v>
      </c>
      <c r="D674" s="17" t="s">
        <v>277</v>
      </c>
      <c r="E674" s="17" t="s">
        <v>277</v>
      </c>
      <c r="F674" s="17" t="s">
        <v>276</v>
      </c>
      <c r="G674">
        <f t="shared" si="21"/>
        <v>1</v>
      </c>
      <c r="H674">
        <f t="shared" si="20"/>
        <v>20</v>
      </c>
    </row>
    <row r="675" spans="1:8" x14ac:dyDescent="0.3">
      <c r="A675" s="17" t="s">
        <v>297</v>
      </c>
      <c r="B675" s="17" t="s">
        <v>276</v>
      </c>
      <c r="C675" s="17" t="s">
        <v>277</v>
      </c>
      <c r="D675" s="17" t="s">
        <v>277</v>
      </c>
      <c r="E675" s="17" t="s">
        <v>277</v>
      </c>
      <c r="F675" s="17" t="s">
        <v>277</v>
      </c>
      <c r="G675">
        <f t="shared" si="21"/>
        <v>1</v>
      </c>
      <c r="H675">
        <f t="shared" si="20"/>
        <v>20</v>
      </c>
    </row>
    <row r="676" spans="1:8" x14ac:dyDescent="0.3">
      <c r="A676" s="17" t="s">
        <v>298</v>
      </c>
      <c r="B676" s="17" t="s">
        <v>276</v>
      </c>
      <c r="C676" s="17" t="s">
        <v>277</v>
      </c>
      <c r="D676" s="17" t="s">
        <v>277</v>
      </c>
      <c r="E676" s="17" t="s">
        <v>277</v>
      </c>
      <c r="F676" s="17" t="s">
        <v>277</v>
      </c>
      <c r="G676">
        <f t="shared" si="21"/>
        <v>1</v>
      </c>
      <c r="H676">
        <f t="shared" si="20"/>
        <v>20</v>
      </c>
    </row>
    <row r="677" spans="1:8" x14ac:dyDescent="0.3">
      <c r="A677" s="17" t="s">
        <v>299</v>
      </c>
      <c r="B677" s="17" t="s">
        <v>277</v>
      </c>
      <c r="C677" s="17" t="s">
        <v>277</v>
      </c>
      <c r="D677" s="17" t="s">
        <v>277</v>
      </c>
      <c r="E677" s="17" t="s">
        <v>277</v>
      </c>
      <c r="F677" s="17" t="s">
        <v>277</v>
      </c>
      <c r="G677">
        <f t="shared" si="21"/>
        <v>0</v>
      </c>
      <c r="H677">
        <f t="shared" si="20"/>
        <v>0</v>
      </c>
    </row>
    <row r="678" spans="1:8" x14ac:dyDescent="0.3">
      <c r="A678" s="17" t="s">
        <v>300</v>
      </c>
      <c r="B678" s="17" t="s">
        <v>277</v>
      </c>
      <c r="C678" s="17" t="s">
        <v>277</v>
      </c>
      <c r="D678" s="17" t="s">
        <v>277</v>
      </c>
      <c r="E678" s="17" t="s">
        <v>277</v>
      </c>
      <c r="F678" s="17" t="s">
        <v>277</v>
      </c>
      <c r="G678">
        <f t="shared" si="21"/>
        <v>0</v>
      </c>
      <c r="H678">
        <f t="shared" si="20"/>
        <v>0</v>
      </c>
    </row>
    <row r="679" spans="1:8" x14ac:dyDescent="0.3">
      <c r="A679" s="17" t="s">
        <v>301</v>
      </c>
      <c r="B679" s="17" t="s">
        <v>276</v>
      </c>
      <c r="C679" s="17" t="s">
        <v>277</v>
      </c>
      <c r="D679" s="17" t="s">
        <v>277</v>
      </c>
      <c r="E679" s="17" t="s">
        <v>276</v>
      </c>
      <c r="F679" s="17" t="s">
        <v>276</v>
      </c>
      <c r="G679">
        <f t="shared" si="21"/>
        <v>3</v>
      </c>
      <c r="H679">
        <f t="shared" si="20"/>
        <v>60</v>
      </c>
    </row>
    <row r="680" spans="1:8" x14ac:dyDescent="0.3">
      <c r="A680" s="17" t="s">
        <v>302</v>
      </c>
      <c r="B680" s="17" t="s">
        <v>276</v>
      </c>
      <c r="C680" s="17" t="s">
        <v>277</v>
      </c>
      <c r="D680" s="17" t="s">
        <v>277</v>
      </c>
      <c r="E680" s="17" t="s">
        <v>277</v>
      </c>
      <c r="F680" s="17" t="s">
        <v>276</v>
      </c>
      <c r="G680">
        <f t="shared" si="21"/>
        <v>2</v>
      </c>
      <c r="H680">
        <f t="shared" si="20"/>
        <v>40</v>
      </c>
    </row>
    <row r="681" spans="1:8" x14ac:dyDescent="0.3">
      <c r="A681" s="17" t="s">
        <v>303</v>
      </c>
      <c r="B681" s="17" t="s">
        <v>277</v>
      </c>
      <c r="C681" s="17" t="s">
        <v>277</v>
      </c>
      <c r="D681" s="17" t="s">
        <v>277</v>
      </c>
      <c r="E681" s="17" t="s">
        <v>277</v>
      </c>
      <c r="F681" s="17" t="s">
        <v>277</v>
      </c>
      <c r="G681">
        <f t="shared" si="21"/>
        <v>0</v>
      </c>
      <c r="H681">
        <f t="shared" si="20"/>
        <v>0</v>
      </c>
    </row>
    <row r="682" spans="1:8" x14ac:dyDescent="0.3">
      <c r="A682" s="17" t="s">
        <v>304</v>
      </c>
      <c r="B682" s="17" t="s">
        <v>276</v>
      </c>
      <c r="C682" s="17" t="s">
        <v>277</v>
      </c>
      <c r="D682" s="17" t="s">
        <v>277</v>
      </c>
      <c r="E682" s="17" t="s">
        <v>277</v>
      </c>
      <c r="F682" s="17" t="s">
        <v>277</v>
      </c>
      <c r="G682">
        <f t="shared" si="21"/>
        <v>1</v>
      </c>
      <c r="H682">
        <f t="shared" si="20"/>
        <v>20</v>
      </c>
    </row>
    <row r="683" spans="1:8" x14ac:dyDescent="0.3">
      <c r="A683" s="17" t="s">
        <v>305</v>
      </c>
      <c r="B683" s="17" t="s">
        <v>276</v>
      </c>
      <c r="C683" s="17" t="s">
        <v>277</v>
      </c>
      <c r="D683" s="17" t="s">
        <v>277</v>
      </c>
      <c r="E683" s="17" t="s">
        <v>277</v>
      </c>
      <c r="F683" s="17" t="s">
        <v>276</v>
      </c>
      <c r="G683">
        <f t="shared" si="21"/>
        <v>2</v>
      </c>
      <c r="H683">
        <f t="shared" si="20"/>
        <v>40</v>
      </c>
    </row>
    <row r="684" spans="1:8" x14ac:dyDescent="0.3">
      <c r="A684" s="17" t="s">
        <v>306</v>
      </c>
      <c r="B684" s="17" t="s">
        <v>276</v>
      </c>
      <c r="C684" s="17" t="s">
        <v>277</v>
      </c>
      <c r="D684" s="17" t="s">
        <v>277</v>
      </c>
      <c r="E684" s="17" t="s">
        <v>277</v>
      </c>
      <c r="F684" s="17" t="s">
        <v>277</v>
      </c>
      <c r="G684">
        <f t="shared" si="21"/>
        <v>1</v>
      </c>
      <c r="H684">
        <f t="shared" si="20"/>
        <v>20</v>
      </c>
    </row>
    <row r="685" spans="1:8" x14ac:dyDescent="0.3">
      <c r="A685" s="17" t="s">
        <v>307</v>
      </c>
      <c r="B685" s="17" t="s">
        <v>276</v>
      </c>
      <c r="C685" s="17" t="s">
        <v>277</v>
      </c>
      <c r="D685" s="17" t="s">
        <v>277</v>
      </c>
      <c r="E685" s="17" t="s">
        <v>277</v>
      </c>
      <c r="F685" s="17" t="s">
        <v>277</v>
      </c>
      <c r="G685">
        <f t="shared" si="21"/>
        <v>1</v>
      </c>
      <c r="H685">
        <f t="shared" si="20"/>
        <v>20</v>
      </c>
    </row>
    <row r="686" spans="1:8" x14ac:dyDescent="0.3">
      <c r="A686" s="17" t="s">
        <v>308</v>
      </c>
      <c r="B686" s="17" t="s">
        <v>276</v>
      </c>
      <c r="C686" s="17" t="s">
        <v>277</v>
      </c>
      <c r="D686" s="17" t="s">
        <v>277</v>
      </c>
      <c r="E686" s="17" t="s">
        <v>277</v>
      </c>
      <c r="F686" s="17" t="s">
        <v>276</v>
      </c>
      <c r="G686">
        <f t="shared" si="21"/>
        <v>2</v>
      </c>
      <c r="H686">
        <f t="shared" si="20"/>
        <v>40</v>
      </c>
    </row>
    <row r="687" spans="1:8" x14ac:dyDescent="0.3">
      <c r="A687" s="17" t="s">
        <v>309</v>
      </c>
      <c r="B687" s="17" t="s">
        <v>276</v>
      </c>
      <c r="C687" s="17" t="s">
        <v>277</v>
      </c>
      <c r="D687" s="17" t="s">
        <v>277</v>
      </c>
      <c r="E687" s="17" t="s">
        <v>277</v>
      </c>
      <c r="F687" s="17" t="s">
        <v>276</v>
      </c>
      <c r="G687">
        <f t="shared" si="21"/>
        <v>2</v>
      </c>
      <c r="H687">
        <f t="shared" si="20"/>
        <v>40</v>
      </c>
    </row>
    <row r="688" spans="1:8" x14ac:dyDescent="0.3">
      <c r="A688" s="17" t="s">
        <v>310</v>
      </c>
      <c r="B688" s="17" t="s">
        <v>276</v>
      </c>
      <c r="C688" s="17" t="s">
        <v>277</v>
      </c>
      <c r="D688" s="17" t="s">
        <v>277</v>
      </c>
      <c r="E688" s="17" t="s">
        <v>277</v>
      </c>
      <c r="F688" s="17" t="s">
        <v>277</v>
      </c>
      <c r="G688">
        <f t="shared" si="21"/>
        <v>1</v>
      </c>
      <c r="H688">
        <f t="shared" si="20"/>
        <v>20</v>
      </c>
    </row>
    <row r="689" spans="1:8" x14ac:dyDescent="0.3">
      <c r="A689" s="17" t="s">
        <v>311</v>
      </c>
      <c r="B689" s="17" t="s">
        <v>276</v>
      </c>
      <c r="C689" s="17" t="s">
        <v>277</v>
      </c>
      <c r="D689" s="17" t="s">
        <v>277</v>
      </c>
      <c r="E689" s="17" t="s">
        <v>277</v>
      </c>
      <c r="F689" s="17" t="s">
        <v>277</v>
      </c>
      <c r="G689">
        <f t="shared" si="21"/>
        <v>1</v>
      </c>
      <c r="H689">
        <f t="shared" si="20"/>
        <v>20</v>
      </c>
    </row>
    <row r="690" spans="1:8" x14ac:dyDescent="0.3">
      <c r="A690" s="17" t="s">
        <v>312</v>
      </c>
      <c r="B690" s="17" t="s">
        <v>276</v>
      </c>
      <c r="C690" s="17" t="s">
        <v>277</v>
      </c>
      <c r="D690" s="17" t="s">
        <v>277</v>
      </c>
      <c r="E690" s="17" t="s">
        <v>277</v>
      </c>
      <c r="F690" s="17" t="s">
        <v>277</v>
      </c>
      <c r="G690">
        <f t="shared" si="21"/>
        <v>1</v>
      </c>
      <c r="H690">
        <f t="shared" si="20"/>
        <v>20</v>
      </c>
    </row>
    <row r="691" spans="1:8" x14ac:dyDescent="0.3">
      <c r="A691" s="17" t="s">
        <v>313</v>
      </c>
      <c r="B691" s="17" t="s">
        <v>277</v>
      </c>
      <c r="C691" s="17" t="s">
        <v>277</v>
      </c>
      <c r="D691" s="17" t="s">
        <v>277</v>
      </c>
      <c r="E691" s="17" t="s">
        <v>277</v>
      </c>
      <c r="F691" s="17" t="s">
        <v>277</v>
      </c>
      <c r="G691">
        <f t="shared" si="21"/>
        <v>0</v>
      </c>
      <c r="H691">
        <f t="shared" si="20"/>
        <v>0</v>
      </c>
    </row>
    <row r="692" spans="1:8" x14ac:dyDescent="0.3">
      <c r="A692" s="17" t="s">
        <v>314</v>
      </c>
      <c r="B692" s="17" t="s">
        <v>276</v>
      </c>
      <c r="C692" s="17" t="s">
        <v>277</v>
      </c>
      <c r="D692" s="17" t="s">
        <v>277</v>
      </c>
      <c r="E692" s="17" t="s">
        <v>277</v>
      </c>
      <c r="F692" s="17" t="s">
        <v>276</v>
      </c>
      <c r="G692">
        <f t="shared" si="21"/>
        <v>2</v>
      </c>
      <c r="H692">
        <f t="shared" si="20"/>
        <v>40</v>
      </c>
    </row>
    <row r="693" spans="1:8" x14ac:dyDescent="0.3">
      <c r="A693" s="17" t="s">
        <v>315</v>
      </c>
      <c r="B693" s="17" t="s">
        <v>276</v>
      </c>
      <c r="C693" s="17" t="s">
        <v>277</v>
      </c>
      <c r="D693" s="17" t="s">
        <v>277</v>
      </c>
      <c r="E693" s="17" t="s">
        <v>277</v>
      </c>
      <c r="F693" s="17" t="s">
        <v>276</v>
      </c>
      <c r="G693">
        <f t="shared" si="21"/>
        <v>2</v>
      </c>
      <c r="H693">
        <f t="shared" si="20"/>
        <v>40</v>
      </c>
    </row>
    <row r="694" spans="1:8" x14ac:dyDescent="0.3">
      <c r="A694" s="17" t="s">
        <v>316</v>
      </c>
      <c r="B694" s="17" t="s">
        <v>276</v>
      </c>
      <c r="C694" s="17" t="s">
        <v>277</v>
      </c>
      <c r="D694" s="17" t="s">
        <v>277</v>
      </c>
      <c r="E694" s="17" t="s">
        <v>276</v>
      </c>
      <c r="F694" s="17" t="s">
        <v>277</v>
      </c>
      <c r="G694">
        <f t="shared" si="21"/>
        <v>2</v>
      </c>
      <c r="H694">
        <f t="shared" si="20"/>
        <v>40</v>
      </c>
    </row>
    <row r="695" spans="1:8" x14ac:dyDescent="0.3">
      <c r="A695" s="17" t="s">
        <v>317</v>
      </c>
      <c r="B695" s="17" t="s">
        <v>277</v>
      </c>
      <c r="C695" s="17" t="s">
        <v>277</v>
      </c>
      <c r="D695" s="17" t="s">
        <v>277</v>
      </c>
      <c r="E695" s="17" t="s">
        <v>277</v>
      </c>
      <c r="F695" s="17" t="s">
        <v>276</v>
      </c>
      <c r="G695">
        <f t="shared" si="21"/>
        <v>1</v>
      </c>
      <c r="H695">
        <f t="shared" si="20"/>
        <v>20</v>
      </c>
    </row>
    <row r="696" spans="1:8" x14ac:dyDescent="0.3">
      <c r="A696" s="17" t="s">
        <v>318</v>
      </c>
      <c r="B696" s="17" t="s">
        <v>277</v>
      </c>
      <c r="C696" s="17" t="s">
        <v>277</v>
      </c>
      <c r="D696" s="17" t="s">
        <v>277</v>
      </c>
      <c r="E696" s="17" t="s">
        <v>277</v>
      </c>
      <c r="F696" s="17" t="s">
        <v>276</v>
      </c>
      <c r="G696">
        <f t="shared" si="21"/>
        <v>1</v>
      </c>
      <c r="H696">
        <f t="shared" si="20"/>
        <v>20</v>
      </c>
    </row>
    <row r="697" spans="1:8" x14ac:dyDescent="0.3">
      <c r="A697" s="17" t="s">
        <v>319</v>
      </c>
      <c r="B697" s="17" t="s">
        <v>276</v>
      </c>
      <c r="C697" s="17" t="s">
        <v>277</v>
      </c>
      <c r="D697" s="17" t="s">
        <v>277</v>
      </c>
      <c r="E697" s="17" t="s">
        <v>277</v>
      </c>
      <c r="F697" s="17" t="s">
        <v>277</v>
      </c>
      <c r="G697">
        <f t="shared" si="21"/>
        <v>1</v>
      </c>
      <c r="H697">
        <f t="shared" si="20"/>
        <v>20</v>
      </c>
    </row>
    <row r="698" spans="1:8" x14ac:dyDescent="0.3">
      <c r="A698" s="17" t="s">
        <v>320</v>
      </c>
      <c r="B698" s="17" t="s">
        <v>276</v>
      </c>
      <c r="C698" s="17" t="s">
        <v>276</v>
      </c>
      <c r="D698" s="17" t="s">
        <v>276</v>
      </c>
      <c r="E698" s="17" t="s">
        <v>276</v>
      </c>
      <c r="F698" s="17" t="s">
        <v>276</v>
      </c>
      <c r="G698">
        <f t="shared" si="21"/>
        <v>5</v>
      </c>
      <c r="H698">
        <f t="shared" si="20"/>
        <v>100</v>
      </c>
    </row>
    <row r="699" spans="1:8" x14ac:dyDescent="0.3">
      <c r="A699" s="17" t="s">
        <v>321</v>
      </c>
      <c r="B699" s="17" t="s">
        <v>276</v>
      </c>
      <c r="C699" s="17" t="s">
        <v>277</v>
      </c>
      <c r="D699" s="17" t="s">
        <v>277</v>
      </c>
      <c r="E699" s="17" t="s">
        <v>277</v>
      </c>
      <c r="F699" s="17" t="s">
        <v>277</v>
      </c>
      <c r="G699">
        <f t="shared" si="21"/>
        <v>1</v>
      </c>
      <c r="H699">
        <f t="shared" si="20"/>
        <v>20</v>
      </c>
    </row>
    <row r="700" spans="1:8" x14ac:dyDescent="0.3">
      <c r="A700" s="17" t="s">
        <v>322</v>
      </c>
      <c r="B700" s="17" t="s">
        <v>276</v>
      </c>
      <c r="C700" s="17" t="s">
        <v>277</v>
      </c>
      <c r="D700" s="17" t="s">
        <v>277</v>
      </c>
      <c r="E700" s="17" t="s">
        <v>277</v>
      </c>
      <c r="F700" s="17" t="s">
        <v>277</v>
      </c>
      <c r="G700">
        <f t="shared" si="21"/>
        <v>1</v>
      </c>
      <c r="H700">
        <f t="shared" si="20"/>
        <v>20</v>
      </c>
    </row>
    <row r="701" spans="1:8" x14ac:dyDescent="0.3">
      <c r="A701" s="17" t="s">
        <v>323</v>
      </c>
      <c r="B701" s="17" t="s">
        <v>276</v>
      </c>
      <c r="C701" s="17" t="s">
        <v>277</v>
      </c>
      <c r="D701" s="17" t="s">
        <v>277</v>
      </c>
      <c r="E701" s="17" t="s">
        <v>277</v>
      </c>
      <c r="F701" s="17" t="s">
        <v>277</v>
      </c>
      <c r="G701">
        <f t="shared" si="21"/>
        <v>1</v>
      </c>
      <c r="H701">
        <f t="shared" si="20"/>
        <v>20</v>
      </c>
    </row>
    <row r="702" spans="1:8" x14ac:dyDescent="0.3">
      <c r="A702" s="17" t="s">
        <v>324</v>
      </c>
      <c r="B702" s="17" t="s">
        <v>276</v>
      </c>
      <c r="C702" s="17" t="s">
        <v>277</v>
      </c>
      <c r="D702" s="17" t="s">
        <v>277</v>
      </c>
      <c r="E702" s="17" t="s">
        <v>277</v>
      </c>
      <c r="F702" s="17" t="s">
        <v>277</v>
      </c>
      <c r="G702">
        <f t="shared" si="21"/>
        <v>1</v>
      </c>
      <c r="H702">
        <f t="shared" si="20"/>
        <v>20</v>
      </c>
    </row>
    <row r="703" spans="1:8" x14ac:dyDescent="0.3">
      <c r="A703" s="17" t="s">
        <v>325</v>
      </c>
      <c r="B703" s="17" t="s">
        <v>276</v>
      </c>
      <c r="C703" s="17" t="s">
        <v>277</v>
      </c>
      <c r="D703" s="17" t="s">
        <v>277</v>
      </c>
      <c r="E703" s="17" t="s">
        <v>277</v>
      </c>
      <c r="F703" s="17" t="s">
        <v>277</v>
      </c>
      <c r="G703">
        <f t="shared" si="21"/>
        <v>1</v>
      </c>
      <c r="H703">
        <f t="shared" si="20"/>
        <v>20</v>
      </c>
    </row>
    <row r="704" spans="1:8" x14ac:dyDescent="0.3">
      <c r="A704" s="17" t="s">
        <v>326</v>
      </c>
      <c r="B704" s="17" t="s">
        <v>276</v>
      </c>
      <c r="C704" s="17" t="s">
        <v>277</v>
      </c>
      <c r="D704" s="17" t="s">
        <v>277</v>
      </c>
      <c r="E704" s="17" t="s">
        <v>277</v>
      </c>
      <c r="F704" s="17" t="s">
        <v>277</v>
      </c>
      <c r="G704">
        <f t="shared" si="21"/>
        <v>1</v>
      </c>
      <c r="H704">
        <f t="shared" si="20"/>
        <v>20</v>
      </c>
    </row>
    <row r="705" spans="1:8" x14ac:dyDescent="0.3">
      <c r="A705" s="17" t="s">
        <v>327</v>
      </c>
      <c r="B705" s="17" t="s">
        <v>276</v>
      </c>
      <c r="C705" s="17" t="s">
        <v>277</v>
      </c>
      <c r="D705" s="17" t="s">
        <v>277</v>
      </c>
      <c r="E705" s="17" t="s">
        <v>277</v>
      </c>
      <c r="F705" s="17" t="s">
        <v>277</v>
      </c>
      <c r="G705">
        <f t="shared" si="21"/>
        <v>1</v>
      </c>
      <c r="H705">
        <f t="shared" si="20"/>
        <v>20</v>
      </c>
    </row>
    <row r="706" spans="1:8" ht="15" thickBot="1" x14ac:dyDescent="0.35">
      <c r="A706" s="18" t="s">
        <v>328</v>
      </c>
      <c r="B706" s="18" t="s">
        <v>277</v>
      </c>
      <c r="C706" s="18" t="s">
        <v>277</v>
      </c>
      <c r="D706" s="18" t="s">
        <v>277</v>
      </c>
      <c r="E706" s="18" t="s">
        <v>277</v>
      </c>
      <c r="F706" s="18" t="s">
        <v>277</v>
      </c>
      <c r="G706">
        <f t="shared" si="21"/>
        <v>0</v>
      </c>
      <c r="H706">
        <f t="shared" si="20"/>
        <v>0</v>
      </c>
    </row>
    <row r="707" spans="1:8" ht="15" thickTop="1" x14ac:dyDescent="0.3"/>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D33068-6AA3-4B39-B7A2-032AEC535EDC}">
  <dimension ref="A1:C7"/>
  <sheetViews>
    <sheetView workbookViewId="0">
      <selection activeCell="F23" sqref="F23"/>
    </sheetView>
  </sheetViews>
  <sheetFormatPr defaultRowHeight="14.4" x14ac:dyDescent="0.3"/>
  <cols>
    <col min="1" max="1" width="13" customWidth="1"/>
    <col min="2" max="2" width="52.109375" customWidth="1"/>
    <col min="3" max="3" width="15.33203125" customWidth="1"/>
  </cols>
  <sheetData>
    <row r="1" spans="1:3" ht="15" thickBot="1" x14ac:dyDescent="0.35">
      <c r="A1" s="1" t="s">
        <v>262</v>
      </c>
      <c r="B1" s="1" t="s">
        <v>368</v>
      </c>
      <c r="C1" s="1" t="s">
        <v>261</v>
      </c>
    </row>
    <row r="2" spans="1:3" x14ac:dyDescent="0.3">
      <c r="A2" s="25" t="s">
        <v>260</v>
      </c>
      <c r="B2" t="s">
        <v>259</v>
      </c>
      <c r="C2">
        <v>78730</v>
      </c>
    </row>
    <row r="3" spans="1:3" x14ac:dyDescent="0.3">
      <c r="A3" s="26"/>
      <c r="B3" t="s">
        <v>258</v>
      </c>
      <c r="C3">
        <v>14441</v>
      </c>
    </row>
    <row r="4" spans="1:3" x14ac:dyDescent="0.3">
      <c r="A4" s="26"/>
      <c r="B4" t="s">
        <v>257</v>
      </c>
      <c r="C4">
        <v>383</v>
      </c>
    </row>
    <row r="5" spans="1:3" x14ac:dyDescent="0.3">
      <c r="A5" s="26"/>
      <c r="B5" t="s">
        <v>256</v>
      </c>
      <c r="C5">
        <v>406</v>
      </c>
    </row>
    <row r="6" spans="1:3" x14ac:dyDescent="0.3">
      <c r="A6" s="26"/>
      <c r="B6" t="s">
        <v>255</v>
      </c>
      <c r="C6">
        <v>142</v>
      </c>
    </row>
    <row r="7" spans="1:3" x14ac:dyDescent="0.3">
      <c r="A7" s="26"/>
      <c r="B7" t="s">
        <v>254</v>
      </c>
      <c r="C7">
        <v>735</v>
      </c>
    </row>
  </sheetData>
  <mergeCells count="1">
    <mergeCell ref="A2:A7"/>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22FE43-4051-48B0-9393-4F281F24D91E}">
  <dimension ref="A1:G19"/>
  <sheetViews>
    <sheetView workbookViewId="0">
      <selection activeCell="D24" sqref="A1:D24"/>
    </sheetView>
  </sheetViews>
  <sheetFormatPr defaultRowHeight="14.4" x14ac:dyDescent="0.3"/>
  <cols>
    <col min="1" max="1" width="17.77734375" customWidth="1"/>
    <col min="3" max="3" width="17.5546875" customWidth="1"/>
    <col min="5" max="5" width="36.33203125" customWidth="1"/>
    <col min="6" max="6" width="44.33203125" customWidth="1"/>
    <col min="7" max="7" width="50.33203125" customWidth="1"/>
  </cols>
  <sheetData>
    <row r="1" spans="1:7" ht="15" thickBot="1" x14ac:dyDescent="0.35">
      <c r="A1" s="1" t="s">
        <v>340</v>
      </c>
      <c r="C1" s="1" t="s">
        <v>341</v>
      </c>
      <c r="E1" s="27" t="s">
        <v>339</v>
      </c>
      <c r="F1" s="27"/>
      <c r="G1" s="27"/>
    </row>
    <row r="2" spans="1:7" x14ac:dyDescent="0.3">
      <c r="A2" t="s">
        <v>0</v>
      </c>
      <c r="C2" t="s">
        <v>0</v>
      </c>
      <c r="E2" s="6" t="s">
        <v>101</v>
      </c>
      <c r="F2" s="6" t="s">
        <v>25</v>
      </c>
      <c r="G2" s="6" t="s">
        <v>26</v>
      </c>
    </row>
    <row r="3" spans="1:7" x14ac:dyDescent="0.3">
      <c r="A3" t="s">
        <v>1</v>
      </c>
      <c r="C3" t="s">
        <v>1</v>
      </c>
      <c r="E3" s="4" t="s">
        <v>16</v>
      </c>
      <c r="F3" s="4" t="s">
        <v>100</v>
      </c>
      <c r="G3" s="4" t="s">
        <v>35</v>
      </c>
    </row>
    <row r="4" spans="1:7" x14ac:dyDescent="0.3">
      <c r="A4" t="s">
        <v>7</v>
      </c>
      <c r="C4" t="s">
        <v>10</v>
      </c>
      <c r="E4" s="4" t="s">
        <v>17</v>
      </c>
      <c r="F4" s="4" t="s">
        <v>19</v>
      </c>
      <c r="G4" s="4" t="s">
        <v>21</v>
      </c>
    </row>
    <row r="5" spans="1:7" x14ac:dyDescent="0.3">
      <c r="C5" t="s">
        <v>103</v>
      </c>
      <c r="E5" s="4" t="s">
        <v>18</v>
      </c>
      <c r="F5" s="4" t="s">
        <v>20</v>
      </c>
      <c r="G5" s="4" t="s">
        <v>91</v>
      </c>
    </row>
    <row r="6" spans="1:7" x14ac:dyDescent="0.3">
      <c r="E6" s="4" t="s">
        <v>23</v>
      </c>
      <c r="F6" s="4" t="s">
        <v>34</v>
      </c>
      <c r="G6" s="4"/>
    </row>
    <row r="7" spans="1:7" ht="15" thickBot="1" x14ac:dyDescent="0.35">
      <c r="A7" s="1" t="s">
        <v>343</v>
      </c>
      <c r="E7" s="4" t="s">
        <v>32</v>
      </c>
      <c r="F7" s="4"/>
      <c r="G7" s="4"/>
    </row>
    <row r="8" spans="1:7" x14ac:dyDescent="0.3">
      <c r="A8" t="s">
        <v>114</v>
      </c>
      <c r="E8" s="4" t="s">
        <v>90</v>
      </c>
      <c r="F8" s="4"/>
      <c r="G8" s="4"/>
    </row>
    <row r="9" spans="1:7" x14ac:dyDescent="0.3">
      <c r="A9" t="s">
        <v>115</v>
      </c>
      <c r="E9" s="4"/>
      <c r="F9" s="4"/>
      <c r="G9" s="4"/>
    </row>
    <row r="10" spans="1:7" x14ac:dyDescent="0.3">
      <c r="A10" t="s">
        <v>116</v>
      </c>
      <c r="E10" s="4"/>
      <c r="F10" s="4"/>
      <c r="G10" s="4"/>
    </row>
    <row r="11" spans="1:7" x14ac:dyDescent="0.3">
      <c r="A11" t="s">
        <v>10</v>
      </c>
      <c r="E11" s="21" t="s">
        <v>33</v>
      </c>
    </row>
    <row r="12" spans="1:7" x14ac:dyDescent="0.3">
      <c r="A12" t="s">
        <v>103</v>
      </c>
    </row>
    <row r="14" spans="1:7" ht="15" thickBot="1" x14ac:dyDescent="0.35">
      <c r="A14" s="1" t="s">
        <v>342</v>
      </c>
      <c r="E14" s="8"/>
    </row>
    <row r="15" spans="1:7" x14ac:dyDescent="0.3">
      <c r="A15" t="s">
        <v>170</v>
      </c>
    </row>
    <row r="16" spans="1:7" x14ac:dyDescent="0.3">
      <c r="A16" t="s">
        <v>118</v>
      </c>
    </row>
    <row r="17" spans="1:5" x14ac:dyDescent="0.3">
      <c r="A17" t="s">
        <v>119</v>
      </c>
    </row>
    <row r="18" spans="1:5" x14ac:dyDescent="0.3">
      <c r="A18" t="s">
        <v>10</v>
      </c>
    </row>
    <row r="19" spans="1:5" x14ac:dyDescent="0.3">
      <c r="A19" t="s">
        <v>103</v>
      </c>
      <c r="E19" s="8"/>
    </row>
  </sheetData>
  <mergeCells count="1">
    <mergeCell ref="E1:G1"/>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Dictionary</vt:lpstr>
      <vt:lpstr>Exclusion numbers</vt:lpstr>
      <vt:lpstr>Conclusions, ROB, pub bias</vt:lpstr>
      <vt:lpstr>Calculating ROB scores</vt:lpstr>
      <vt:lpstr>Pubmed search terms</vt:lpstr>
      <vt:lpstr>Data validation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Allanna Russell</dc:creator>
  <cp:lastModifiedBy>Allanna Russell</cp:lastModifiedBy>
  <dcterms:created xsi:type="dcterms:W3CDTF">2020-10-07T23:41:15Z</dcterms:created>
  <dcterms:modified xsi:type="dcterms:W3CDTF">2021-06-22T01:55:00Z</dcterms:modified>
</cp:coreProperties>
</file>