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2.xml" ContentType="application/vnd.openxmlformats-officedocument.spreadsheetml.comments+xml"/>
  <Override PartName="/xl/worksheets/sheet6.xml" ContentType="application/vnd.openxmlformats-officedocument.spreadsheetml.worksheet+xml"/>
  <Override PartName="/xl/comments/comment3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4.xml" ContentType="application/vnd.openxmlformats-officedocument.spreadsheetml.comment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omments/comment5.xml" ContentType="application/vnd.openxmlformats-officedocument.spreadsheetml.comments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38640" windowHeight="21120" tabRatio="916" firstSheet="0" activeTab="4" autoFilterDateGrouping="1"/>
  </bookViews>
  <sheets>
    <sheet name="Overview" sheetId="1" state="visible" r:id="rId1"/>
    <sheet name="Resource Planning" sheetId="2" state="visible" r:id="rId2"/>
    <sheet name="Operations" sheetId="3" state="visible" r:id="rId3"/>
    <sheet name="Fin. DPS Plann." sheetId="4" state="visible" r:id="rId4"/>
    <sheet name="Project" sheetId="5" state="visible" r:id="rId5"/>
    <sheet name="8fold INV" sheetId="6" state="visible" r:id="rId6"/>
    <sheet name="Travel Costs" sheetId="7" state="visible" r:id="rId7"/>
    <sheet name="FC + Rev" sheetId="8" state="visible" r:id="rId8"/>
    <sheet name="Steffi" sheetId="9" state="visible" r:id="rId9"/>
    <sheet name="Sonderbudget " sheetId="10" state="visible" r:id="rId10"/>
    <sheet name="Umlage" sheetId="11" state="visible" r:id="rId11"/>
    <sheet name="OP - 1st Lvl Supp" sheetId="12" state="visible" r:id="rId12"/>
    <sheet name="Supp CZ - TMS Exp" sheetId="13" state="visible" r:id="rId13"/>
    <sheet name="Productivity" sheetId="14" state="visible" r:id="rId14"/>
    <sheet name="VCC" sheetId="15" state="visible" r:id="rId15"/>
    <sheet name="TuPu Calc" sheetId="16" state="visible" r:id="rId16"/>
    <sheet name="TuPu Lic - History" sheetId="17" state="visible" r:id="rId17"/>
    <sheet name="TA_TM SM FY23_Stand 02_23" sheetId="18" state="hidden" r:id="rId18"/>
  </sheets>
  <externalReferences>
    <externalReference r:id="rId19"/>
  </externalReferences>
  <definedNames>
    <definedName name="Architect1_Cost">#REF!</definedName>
    <definedName name="Architect2_Cost">#REF!</definedName>
    <definedName name="Developer_Cost">#REF!</definedName>
    <definedName name="HoursPerWeek">#REF!</definedName>
    <definedName name="JC_OP_Costs">#REF!</definedName>
    <definedName name="Junior_Developer_Cost">#REF!</definedName>
    <definedName name="PCT">[1]PCT!$A$1:$R$346</definedName>
    <definedName name="PO_Cost">#REF!</definedName>
    <definedName name="Senior_Developer_Cost">#REF!</definedName>
    <definedName name="Service_Cost">#REF!</definedName>
    <definedName name="SM_Cost">#REF!</definedName>
    <definedName name="SM_Cost1">'[1]Cost Estimate'!$E$10</definedName>
    <definedName name="sprint_count">#REF!</definedName>
    <definedName name="Sprint_length">#REF!</definedName>
    <definedName name="Sprint_length1">'[1]Cost Estimate'!$H$17</definedName>
    <definedName name="Sprints">#REF!</definedName>
    <definedName name="Sprints1">[1]Sprints!$A:$H</definedName>
    <definedName name="TeamBudget">#REF!</definedName>
    <definedName name="TeamBudget1">'[1]Cost Estimate'!$E$36</definedName>
    <definedName name="Tester_Cost">#REF!</definedName>
    <definedName name="Tester_Costs1">'[1]Cost Estimate'!$K$12</definedName>
    <definedName name="workdaysperweek">#REF!</definedName>
    <definedName name="workhoursperday">#REF!</definedName>
    <definedName name="_xlnm._FilterDatabase" localSheetId="2" hidden="1">'Operations'!$A$1:$U$92</definedName>
    <definedName name="_xlnm._FilterDatabase" localSheetId="4" hidden="1">'Project'!$A$1:$AA$129</definedName>
    <definedName name="_xlnm._FilterDatabase" localSheetId="7" hidden="1">'FC + Rev'!$A$3:$AE$21</definedName>
    <definedName name="Architect1_Cost" localSheetId="9">#REF!</definedName>
    <definedName name="Architect2_Cost" localSheetId="9">#REF!</definedName>
    <definedName name="Developer_Cost" localSheetId="9">#REF!</definedName>
    <definedName name="HoursPerWeek" localSheetId="9">#REF!</definedName>
    <definedName name="JC_OP_Costs" localSheetId="9">#REF!</definedName>
    <definedName name="Junior_Developer_Cost" localSheetId="9">#REF!</definedName>
    <definedName name="PO_Cost" localSheetId="9">#REF!</definedName>
    <definedName name="Senior_Developer_Cost" localSheetId="9">#REF!</definedName>
    <definedName name="Service_Cost" localSheetId="9">#REF!</definedName>
    <definedName name="SM_Cost" localSheetId="9">#REF!</definedName>
    <definedName name="sprint_count" localSheetId="9">#REF!</definedName>
    <definedName name="Sprint_length" localSheetId="9">#REF!</definedName>
    <definedName name="Sprints" localSheetId="9">#REF!</definedName>
    <definedName name="TeamBudget" localSheetId="9">#REF!</definedName>
    <definedName name="Tester_Cost" localSheetId="9">#REF!</definedName>
    <definedName name="workdaysperweek" localSheetId="9">#REF!</definedName>
    <definedName name="workhoursperday" localSheetId="9">#REF!</definedName>
    <definedName name="_xlnm._FilterDatabase" localSheetId="11" hidden="1">'OP - 1st Lvl Supp'!$A$23:$F$35</definedName>
  </definedNames>
  <calcPr calcId="191028" fullCalcOnLoad="1"/>
</workbook>
</file>

<file path=xl/styles.xml><?xml version="1.0" encoding="utf-8"?>
<styleSheet xmlns="http://schemas.openxmlformats.org/spreadsheetml/2006/main">
  <numFmts count="15">
    <numFmt numFmtId="164" formatCode="_-* #,##0\ &quot;€&quot;_-;\-* #,##0\ &quot;€&quot;_-;_-* &quot;-&quot;??\ &quot;€&quot;_-;_-@_-"/>
    <numFmt numFmtId="165" formatCode="#,##0\ &quot;€&quot;;[Red]\-#,##0\ &quot;€&quot;"/>
    <numFmt numFmtId="166" formatCode="_-* #,##0_-;\-* #,##0_-;_-* &quot;-&quot;??_-;_-@_-"/>
    <numFmt numFmtId="167" formatCode="#,##0.00000_ ;\-#,##0.00000\ "/>
    <numFmt numFmtId="168" formatCode="0.0000%"/>
    <numFmt numFmtId="169" formatCode="#,##0.00\ &quot;€&quot;"/>
    <numFmt numFmtId="170" formatCode="_(* #,##0_);_(* \(#,##0\);_(* &quot;-&quot;??_);_(@_)"/>
    <numFmt numFmtId="171" formatCode="_-* #,##0.00\ &quot;€&quot;_-;\-* #,##0.00\ &quot;€&quot;_-;_-* &quot;-&quot;??\ &quot;€&quot;_-;_-@_-"/>
    <numFmt numFmtId="172" formatCode="_-* #,##0\ [$€-407]_-;\-* #,##0\ [$€-407]_-;_-* &quot;-&quot;??\ [$€-407]_-;_-@_-"/>
    <numFmt numFmtId="173" formatCode="#,##0_ ;\-#,##0\ "/>
    <numFmt numFmtId="174" formatCode="#,##0\ &quot;€&quot;"/>
    <numFmt numFmtId="175" formatCode="_-* #,##0.00_-;\-* #,##0.00_-;_-* &quot;-&quot;??_-;_-@_-"/>
    <numFmt numFmtId="176" formatCode="0\'000\ &quot;€&quot;"/>
    <numFmt numFmtId="177" formatCode="_-* #,##0.00\ _€_-;\-* #,##0.00\ _€_-;_-* &quot;-&quot;??\ _€_-;_-@_-"/>
    <numFmt numFmtId="178" formatCode="#,##0.00\ ;#,##0.00\ ;\-#\ ;\ @\ "/>
  </numFmts>
  <fonts count="87">
    <font>
      <name val="Arial"/>
      <family val="2"/>
      <color theme="1"/>
      <sz val="10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sz val="10"/>
    </font>
    <font>
      <name val="Arial"/>
      <family val="2"/>
      <color rgb="FFFF0000"/>
      <sz val="10"/>
    </font>
    <font>
      <name val="Arial"/>
      <family val="2"/>
      <b val="1"/>
      <sz val="10"/>
    </font>
    <font>
      <name val="Calibri"/>
      <family val="2"/>
      <color indexed="8"/>
      <sz val="11"/>
      <scheme val="minor"/>
    </font>
    <font>
      <name val="Arial"/>
      <family val="2"/>
      <b val="1"/>
      <color theme="0"/>
      <sz val="10"/>
    </font>
    <font>
      <name val="Arial"/>
      <family val="2"/>
      <color theme="3"/>
      <sz val="10"/>
    </font>
    <font>
      <name val="Arial"/>
      <family val="2"/>
      <sz val="11"/>
    </font>
    <font>
      <name val="Arial"/>
      <family val="2"/>
      <sz val="11"/>
    </font>
    <font>
      <name val="Arial"/>
      <family val="2"/>
      <b val="1"/>
      <color rgb="FFFF0000"/>
      <sz val="10"/>
    </font>
    <font>
      <name val="Arial"/>
      <family val="2"/>
      <color theme="1"/>
      <sz val="8"/>
    </font>
    <font>
      <name val="Segoe UI"/>
      <family val="2"/>
      <color indexed="81"/>
      <sz val="9"/>
    </font>
    <font>
      <name val="Segoe UI"/>
      <family val="2"/>
      <b val="1"/>
      <color indexed="81"/>
      <sz val="9"/>
    </font>
    <font>
      <name val="Arial"/>
      <family val="2"/>
      <color rgb="FF002060"/>
      <sz val="10"/>
    </font>
    <font>
      <name val="Cambria"/>
      <family val="2"/>
      <b val="1"/>
      <color theme="3"/>
      <sz val="18"/>
      <scheme val="major"/>
    </font>
    <font>
      <name val="Arial"/>
      <family val="2"/>
      <b val="1"/>
      <color theme="3"/>
      <sz val="15"/>
    </font>
    <font>
      <name val="Arial"/>
      <family val="2"/>
      <b val="1"/>
      <color theme="3"/>
      <sz val="13"/>
    </font>
    <font>
      <name val="Arial"/>
      <family val="2"/>
      <b val="1"/>
      <color theme="3"/>
      <sz val="11"/>
    </font>
    <font>
      <name val="Arial"/>
      <family val="2"/>
      <color rgb="FF006100"/>
      <sz val="10"/>
    </font>
    <font>
      <name val="Arial"/>
      <family val="2"/>
      <color rgb="FF9C0006"/>
      <sz val="10"/>
    </font>
    <font>
      <name val="Arial"/>
      <family val="2"/>
      <color rgb="FF9C6500"/>
      <sz val="10"/>
    </font>
    <font>
      <name val="Arial"/>
      <family val="2"/>
      <color rgb="FF3F3F76"/>
      <sz val="10"/>
    </font>
    <font>
      <name val="Arial"/>
      <family val="2"/>
      <b val="1"/>
      <color rgb="FF3F3F3F"/>
      <sz val="10"/>
    </font>
    <font>
      <name val="Arial"/>
      <family val="2"/>
      <b val="1"/>
      <color rgb="FFFA7D00"/>
      <sz val="10"/>
    </font>
    <font>
      <name val="Arial"/>
      <family val="2"/>
      <color rgb="FFFA7D00"/>
      <sz val="10"/>
    </font>
    <font>
      <name val="Arial"/>
      <family val="2"/>
      <i val="1"/>
      <color rgb="FF7F7F7F"/>
      <sz val="10"/>
    </font>
    <font>
      <name val="Arial"/>
      <family val="2"/>
      <color theme="0"/>
      <sz val="10"/>
    </font>
    <font>
      <name val="Arial"/>
      <family val="2"/>
      <i val="1"/>
      <color theme="1" tint="0.499984740745262"/>
      <sz val="10"/>
    </font>
    <font>
      <name val="Arial"/>
      <family val="2"/>
      <color rgb="FF000000"/>
      <sz val="11"/>
    </font>
    <font>
      <name val="Arial"/>
      <family val="2"/>
      <color theme="1"/>
      <sz val="11"/>
    </font>
    <font>
      <name val="Arial"/>
      <family val="2"/>
      <b val="1"/>
      <color rgb="FF000000"/>
      <sz val="11"/>
    </font>
    <font>
      <name val="Arial"/>
      <family val="2"/>
      <color rgb="FF009644"/>
      <sz val="10"/>
    </font>
    <font>
      <name val="Arial"/>
      <family val="2"/>
      <color rgb="FF00B050"/>
      <sz val="10"/>
    </font>
    <font>
      <name val="Arial"/>
      <family val="2"/>
      <color indexed="81"/>
      <sz val="10"/>
    </font>
    <font>
      <name val="Segoe UI"/>
      <family val="2"/>
      <color indexed="81"/>
      <sz val="10"/>
    </font>
    <font>
      <name val="Segoe UI"/>
      <family val="2"/>
      <b val="1"/>
      <i val="1"/>
      <color indexed="81"/>
      <sz val="9"/>
    </font>
    <font>
      <name val="Arial"/>
      <family val="2"/>
      <i val="1"/>
      <color theme="1"/>
      <sz val="10"/>
    </font>
    <font>
      <name val="Arial"/>
      <family val="2"/>
      <i val="1"/>
      <sz val="10"/>
    </font>
    <font>
      <name val="Arial"/>
      <family val="2"/>
      <b val="1"/>
      <color rgb="FF00B050"/>
      <sz val="10"/>
    </font>
    <font>
      <name val="Calibri"/>
      <charset val="134"/>
      <family val="3"/>
      <b val="1"/>
      <color theme="1"/>
      <sz val="11"/>
      <scheme val="minor"/>
    </font>
    <font>
      <name val="Arial"/>
      <family val="2"/>
      <sz val="8"/>
    </font>
    <font>
      <name val="Arial"/>
      <family val="2"/>
      <b val="1"/>
      <color theme="1"/>
      <sz val="8"/>
    </font>
    <font>
      <name val="Arial"/>
      <family val="2"/>
      <b val="1"/>
      <sz val="8"/>
    </font>
    <font>
      <name val="Arial"/>
      <family val="2"/>
      <b val="1"/>
      <color theme="0"/>
      <sz val="8"/>
    </font>
    <font>
      <name val="Arial"/>
      <family val="2"/>
      <b val="1"/>
      <color rgb="FFFF0000"/>
      <sz val="8"/>
    </font>
    <font>
      <name val="Arial"/>
      <family val="2"/>
      <color rgb="FFFF0000"/>
      <sz val="8"/>
    </font>
    <font>
      <name val="Calibri"/>
      <family val="2"/>
      <color rgb="FF000000"/>
      <sz val="10"/>
      <scheme val="minor"/>
    </font>
    <font>
      <name val="Arial"/>
      <charset val="1"/>
      <family val="2"/>
      <color rgb="FF000000"/>
      <sz val="11"/>
    </font>
    <font>
      <name val="Calibri"/>
      <family val="2"/>
      <sz val="11"/>
    </font>
    <font>
      <name val="Arial"/>
      <charset val="238"/>
      <family val="2"/>
      <b val="1"/>
      <sz val="10"/>
    </font>
    <font>
      <name val="Arial"/>
      <charset val="238"/>
      <family val="2"/>
      <b val="1"/>
      <color theme="1"/>
      <sz val="10"/>
    </font>
    <font>
      <name val="Arial"/>
      <family val="2"/>
      <b val="1"/>
      <color rgb="FF009644"/>
      <sz val="10"/>
    </font>
    <font>
      <name val="Arial"/>
      <family val="2"/>
      <b val="1"/>
      <color theme="0"/>
      <sz val="12"/>
    </font>
    <font>
      <name val="Arial"/>
      <family val="2"/>
      <color theme="1"/>
      <sz val="9"/>
    </font>
    <font>
      <name val="Arial"/>
      <family val="2"/>
      <b val="1"/>
      <sz val="9"/>
    </font>
    <font>
      <name val="Arial"/>
      <family val="2"/>
      <color rgb="FF009644"/>
      <sz val="9"/>
    </font>
    <font>
      <name val="Arial"/>
      <family val="2"/>
      <sz val="9"/>
    </font>
    <font>
      <name val="Arial"/>
      <family val="2"/>
      <color rgb="FFFF0000"/>
      <sz val="9"/>
    </font>
    <font>
      <name val="Arial"/>
      <family val="2"/>
      <b val="1"/>
      <color theme="1"/>
      <sz val="9"/>
    </font>
    <font>
      <name val="Arial"/>
      <family val="2"/>
      <b val="1"/>
      <color rgb="FF009644"/>
      <sz val="9"/>
    </font>
    <font>
      <name val="Arial"/>
      <family val="2"/>
      <color rgb="FF00B050"/>
      <sz val="9"/>
    </font>
    <font>
      <name val="Arial"/>
      <family val="2"/>
      <b val="1"/>
      <color rgb="FF00B050"/>
      <sz val="9"/>
    </font>
    <font>
      <name val="Arial"/>
      <family val="2"/>
      <color theme="4"/>
      <sz val="9"/>
    </font>
    <font>
      <name val="Arial"/>
      <family val="2"/>
      <b val="1"/>
      <sz val="12"/>
    </font>
    <font>
      <name val="Arial"/>
      <family val="2"/>
      <color theme="1"/>
      <sz val="12"/>
    </font>
    <font>
      <name val="Arial"/>
      <family val="2"/>
      <b val="1"/>
      <color rgb="FFFF0000"/>
      <sz val="9"/>
    </font>
    <font>
      <name val="Arial"/>
      <family val="2"/>
      <b val="1"/>
      <color theme="4"/>
      <sz val="9"/>
    </font>
    <font>
      <name val="Arial"/>
      <family val="2"/>
      <color rgb="FF0070C0"/>
      <sz val="10"/>
    </font>
    <font>
      <name val="Calibri"/>
      <family val="2"/>
      <color rgb="FF000000"/>
      <sz val="10"/>
      <scheme val="minor"/>
    </font>
    <font>
      <name val="Arial"/>
      <family val="2"/>
      <i val="1"/>
      <color theme="0" tint="-0.499984740745262"/>
      <sz val="10"/>
    </font>
    <font>
      <name val="Arial"/>
      <family val="2"/>
      <b val="1"/>
      <color theme="0"/>
      <sz val="11"/>
    </font>
    <font>
      <name val="Arial"/>
      <family val="2"/>
      <b val="1"/>
      <color rgb="FF0070C0"/>
      <sz val="10"/>
    </font>
    <font>
      <name val="Arial"/>
      <family val="2"/>
      <i val="1"/>
      <color theme="5"/>
      <sz val="10"/>
    </font>
    <font>
      <name val="Arial"/>
      <family val="2"/>
      <b val="1"/>
      <color rgb="FF257152"/>
      <sz val="10"/>
    </font>
    <font>
      <name val="Arial"/>
      <family val="2"/>
      <b val="1"/>
      <color rgb="FFFF0000"/>
      <sz val="11"/>
    </font>
    <font>
      <name val="Arial"/>
      <family val="2"/>
      <b val="1"/>
      <color theme="0"/>
      <sz val="10"/>
      <u val="single"/>
    </font>
    <font>
      <name val="Aptos Narrow"/>
      <family val="2"/>
      <color rgb="FF000000"/>
      <sz val="11"/>
    </font>
    <font>
      <name val="Aptos Narrow"/>
      <family val="2"/>
      <b val="1"/>
      <color rgb="FF000000"/>
      <sz val="11"/>
    </font>
    <font>
      <name val="Aptos Narrow"/>
      <family val="2"/>
      <b val="1"/>
      <color rgb="FFFF0000"/>
      <sz val="11"/>
    </font>
    <font>
      <name val="Arial"/>
      <family val="2"/>
      <color rgb="FF0070C0"/>
      <sz val="9"/>
    </font>
    <font>
      <name val="Calibri"/>
      <family val="2"/>
      <color rgb="FF000000"/>
      <sz val="10"/>
      <scheme val="minor"/>
    </font>
    <font>
      <name val="Arial"/>
      <family val="2"/>
      <i val="1"/>
      <color rgb="FF009644"/>
      <sz val="10"/>
    </font>
    <font>
      <name val="Arial"/>
      <family val="2"/>
      <b val="1"/>
      <color theme="4"/>
      <sz val="10"/>
    </font>
    <font>
      <color rgb="00FFA500"/>
    </font>
  </fonts>
  <fills count="6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9FF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AE18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E6F5"/>
        <bgColor rgb="FFC0E6F5"/>
      </patternFill>
    </fill>
    <fill>
      <patternFill patternType="solid">
        <fgColor rgb="FFF2F2F2"/>
        <bgColor rgb="FF000000"/>
      </patternFill>
    </fill>
    <fill>
      <patternFill patternType="solid">
        <fgColor rgb="FFADADAD"/>
        <bgColor rgb="FF000000"/>
      </patternFill>
    </fill>
    <fill>
      <patternFill patternType="solid">
        <fgColor theme="6" tint="0.3999755851924192"/>
        <bgColor indexed="64"/>
      </patternFill>
    </fill>
  </fills>
  <borders count="10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/>
      <bottom/>
      <diagonal/>
    </border>
    <border>
      <left/>
      <right/>
      <top/>
      <bottom style="thick">
        <color rgb="FF009644"/>
      </bottom>
      <diagonal/>
    </border>
    <border>
      <left style="thin">
        <color indexed="64"/>
      </left>
      <right style="thick">
        <color rgb="FF00964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9644"/>
      </right>
      <top/>
      <bottom style="thin">
        <color indexed="64"/>
      </bottom>
      <diagonal/>
    </border>
    <border>
      <left/>
      <right style="thick">
        <color rgb="FF00964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9644"/>
      </right>
      <top style="thin">
        <color indexed="64"/>
      </top>
      <bottom/>
      <diagonal/>
    </border>
    <border>
      <left style="thin">
        <color indexed="64"/>
      </left>
      <right style="thick">
        <color rgb="FF009644"/>
      </right>
      <top/>
      <bottom/>
      <diagonal/>
    </border>
    <border>
      <left/>
      <right style="thick">
        <color rgb="FF009644"/>
      </right>
      <top/>
      <bottom/>
      <diagonal/>
    </border>
    <border>
      <left style="thick">
        <color rgb="FF009644"/>
      </left>
      <right style="thin">
        <color indexed="64"/>
      </right>
      <top style="thin">
        <color indexed="64"/>
      </top>
      <bottom style="thick">
        <color rgb="FF0096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9644"/>
      </bottom>
      <diagonal/>
    </border>
    <border>
      <left style="thin">
        <color indexed="64"/>
      </left>
      <right style="thick">
        <color rgb="FF009644"/>
      </right>
      <top style="thin">
        <color indexed="64"/>
      </top>
      <bottom style="thick">
        <color rgb="FF009644"/>
      </bottom>
      <diagonal/>
    </border>
    <border>
      <left style="thin">
        <color auto="1"/>
      </left>
      <right style="thick">
        <color rgb="FF009644"/>
      </right>
      <top style="thin">
        <color rgb="FFFF0000"/>
      </top>
      <bottom style="thin">
        <color auto="1"/>
      </bottom>
      <diagonal/>
    </border>
    <border>
      <left style="thin">
        <color indexed="64"/>
      </left>
      <right style="thick">
        <color rgb="FF009644"/>
      </right>
      <top style="thick">
        <color rgb="FF009644"/>
      </top>
      <bottom style="thin">
        <color indexed="64"/>
      </bottom>
      <diagonal/>
    </border>
    <border>
      <left/>
      <right style="thick">
        <color rgb="FF009644"/>
      </right>
      <top style="thin">
        <color indexed="64"/>
      </top>
      <bottom/>
      <diagonal/>
    </border>
    <border>
      <left style="thick">
        <color rgb="FF009644"/>
      </left>
      <right style="thick">
        <color rgb="FFFF0000"/>
      </right>
      <top/>
      <bottom/>
      <diagonal/>
    </border>
    <border>
      <left/>
      <right/>
      <top/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rgb="FFFF0000"/>
      </right>
      <top/>
      <bottom/>
      <diagonal/>
    </border>
    <border>
      <left/>
      <right style="thin">
        <color rgb="FFB2B2B2"/>
      </right>
      <top style="thin">
        <color indexed="64"/>
      </top>
      <bottom/>
      <diagonal/>
    </border>
    <border>
      <left/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/>
      <diagonal/>
    </border>
  </borders>
  <cellStyleXfs count="74">
    <xf numFmtId="0" fontId="2" fillId="0" borderId="0"/>
    <xf numFmtId="0" fontId="7" fillId="0" borderId="0"/>
    <xf numFmtId="0" fontId="2" fillId="0" borderId="0"/>
    <xf numFmtId="0" fontId="2" fillId="2" borderId="1"/>
    <xf numFmtId="0" fontId="1" fillId="0" borderId="0"/>
    <xf numFmtId="175" fontId="2" fillId="0" borderId="0"/>
    <xf numFmtId="171" fontId="2" fillId="0" borderId="0"/>
    <xf numFmtId="9" fontId="2" fillId="0" borderId="0"/>
    <xf numFmtId="0" fontId="11" fillId="0" borderId="0"/>
    <xf numFmtId="9" fontId="11" fillId="0" borderId="0"/>
    <xf numFmtId="0" fontId="11" fillId="0" borderId="0"/>
    <xf numFmtId="43" fontId="11" fillId="0" borderId="0"/>
    <xf numFmtId="0" fontId="2" fillId="2" borderId="1"/>
    <xf numFmtId="176" fontId="13" fillId="0" borderId="14" applyAlignment="1">
      <alignment vertical="center"/>
    </xf>
    <xf numFmtId="0" fontId="13" fillId="0" borderId="0"/>
    <xf numFmtId="0" fontId="13" fillId="0" borderId="0"/>
    <xf numFmtId="0" fontId="4" fillId="0" borderId="0"/>
    <xf numFmtId="177" fontId="2" fillId="0" borderId="0"/>
    <xf numFmtId="0" fontId="7" fillId="0" borderId="0"/>
    <xf numFmtId="176" fontId="13" fillId="0" borderId="14" applyAlignment="1">
      <alignment vertical="center"/>
    </xf>
    <xf numFmtId="176" fontId="13" fillId="0" borderId="14" applyAlignment="1">
      <alignment vertical="center"/>
    </xf>
    <xf numFmtId="0" fontId="17" fillId="0" borderId="0"/>
    <xf numFmtId="0" fontId="18" fillId="0" borderId="6"/>
    <xf numFmtId="0" fontId="19" fillId="0" borderId="7"/>
    <xf numFmtId="0" fontId="20" fillId="0" borderId="8"/>
    <xf numFmtId="0" fontId="20" fillId="0" borderId="0"/>
    <xf numFmtId="0" fontId="21" fillId="13" borderId="0"/>
    <xf numFmtId="0" fontId="22" fillId="14" borderId="0"/>
    <xf numFmtId="0" fontId="23" fillId="15" borderId="0"/>
    <xf numFmtId="0" fontId="24" fillId="16" borderId="9"/>
    <xf numFmtId="0" fontId="25" fillId="17" borderId="10"/>
    <xf numFmtId="0" fontId="26" fillId="17" borderId="9"/>
    <xf numFmtId="0" fontId="27" fillId="0" borderId="11"/>
    <xf numFmtId="0" fontId="8" fillId="18" borderId="12"/>
    <xf numFmtId="0" fontId="5" fillId="0" borderId="0"/>
    <xf numFmtId="0" fontId="28" fillId="0" borderId="0"/>
    <xf numFmtId="0" fontId="3" fillId="0" borderId="13"/>
    <xf numFmtId="0" fontId="29" fillId="19" borderId="0"/>
    <xf numFmtId="0" fontId="2" fillId="20" borderId="0"/>
    <xf numFmtId="0" fontId="2" fillId="21" borderId="0"/>
    <xf numFmtId="0" fontId="29" fillId="22" borderId="0"/>
    <xf numFmtId="0" fontId="29" fillId="23" borderId="0"/>
    <xf numFmtId="0" fontId="2" fillId="24" borderId="0"/>
    <xf numFmtId="0" fontId="2" fillId="25" borderId="0"/>
    <xf numFmtId="0" fontId="29" fillId="26" borderId="0"/>
    <xf numFmtId="0" fontId="29" fillId="27" borderId="0"/>
    <xf numFmtId="0" fontId="2" fillId="28" borderId="0"/>
    <xf numFmtId="0" fontId="2" fillId="29" borderId="0"/>
    <xf numFmtId="0" fontId="29" fillId="30" borderId="0"/>
    <xf numFmtId="0" fontId="29" fillId="31" borderId="0"/>
    <xf numFmtId="0" fontId="2" fillId="32" borderId="0"/>
    <xf numFmtId="0" fontId="2" fillId="33" borderId="0"/>
    <xf numFmtId="0" fontId="29" fillId="34" borderId="0"/>
    <xf numFmtId="0" fontId="29" fillId="35" borderId="0"/>
    <xf numFmtId="0" fontId="2" fillId="36" borderId="0"/>
    <xf numFmtId="0" fontId="2" fillId="37" borderId="0"/>
    <xf numFmtId="0" fontId="29" fillId="38" borderId="0"/>
    <xf numFmtId="0" fontId="29" fillId="39" borderId="0"/>
    <xf numFmtId="0" fontId="2" fillId="40" borderId="0"/>
    <xf numFmtId="0" fontId="2" fillId="41" borderId="0"/>
    <xf numFmtId="0" fontId="29" fillId="42" borderId="0"/>
    <xf numFmtId="177" fontId="4" fillId="0" borderId="0"/>
    <xf numFmtId="0" fontId="4" fillId="0" borderId="0"/>
    <xf numFmtId="175" fontId="43" fillId="0" borderId="0"/>
    <xf numFmtId="0" fontId="31" fillId="0" borderId="0"/>
    <xf numFmtId="0" fontId="83" fillId="0" borderId="0"/>
    <xf numFmtId="0" fontId="50" fillId="0" borderId="0"/>
    <xf numFmtId="175" fontId="83" fillId="0" borderId="0"/>
    <xf numFmtId="178" fontId="50" fillId="0" borderId="0"/>
    <xf numFmtId="9" fontId="83" fillId="0" borderId="0"/>
    <xf numFmtId="0" fontId="11" fillId="0" borderId="0"/>
    <xf numFmtId="43" fontId="11" fillId="0" borderId="0"/>
    <xf numFmtId="0" fontId="83" fillId="0" borderId="0"/>
    <xf numFmtId="0" fontId="83" fillId="0" borderId="0"/>
  </cellStyleXfs>
  <cellXfs count="1229">
    <xf numFmtId="0" fontId="0" fillId="0" borderId="0" pivotButton="0" quotePrefix="0" xfId="0"/>
    <xf numFmtId="0" fontId="3" fillId="0" borderId="0" pivotButton="0" quotePrefix="0" xfId="0"/>
    <xf numFmtId="164" fontId="0" fillId="0" borderId="0" pivotButton="0" quotePrefix="0" xfId="6"/>
    <xf numFmtId="164" fontId="3" fillId="4" borderId="0" pivotButton="0" quotePrefix="0" xfId="6"/>
    <xf numFmtId="164" fontId="9" fillId="0" borderId="0" pivotButton="0" quotePrefix="0" xfId="6"/>
    <xf numFmtId="0" fontId="5" fillId="0" borderId="0" pivotButton="0" quotePrefix="0" xfId="0"/>
    <xf numFmtId="0" fontId="3" fillId="5" borderId="0" pivotButton="0" quotePrefix="0" xfId="0"/>
    <xf numFmtId="165" fontId="3" fillId="5" borderId="0" pivotButton="0" quotePrefix="0" xfId="0"/>
    <xf numFmtId="164" fontId="3" fillId="5" borderId="0" pivotButton="0" quotePrefix="0" xfId="6"/>
    <xf numFmtId="164" fontId="2" fillId="0" borderId="0" pivotButton="0" quotePrefix="0" xfId="6"/>
    <xf numFmtId="164" fontId="3" fillId="0" borderId="0" pivotButton="0" quotePrefix="0" xfId="6"/>
    <xf numFmtId="0" fontId="8" fillId="3" borderId="0" applyAlignment="1" pivotButton="0" quotePrefix="0" xfId="0">
      <alignment horizontal="center" vertical="top"/>
    </xf>
    <xf numFmtId="17" fontId="8" fillId="3" borderId="0" applyAlignment="1" pivotButton="0" quotePrefix="0" xfId="0">
      <alignment horizontal="center" vertical="top"/>
    </xf>
    <xf numFmtId="17" fontId="8" fillId="3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vertical="top"/>
    </xf>
    <xf numFmtId="164" fontId="0" fillId="0" borderId="0" pivotButton="0" quotePrefix="0" xfId="0"/>
    <xf numFmtId="165" fontId="0" fillId="5" borderId="0" applyAlignment="1" pivotButton="0" quotePrefix="0" xfId="0">
      <alignment horizontal="center"/>
    </xf>
    <xf numFmtId="164" fontId="4" fillId="0" borderId="0" pivotButton="0" quotePrefix="0" xfId="6"/>
    <xf numFmtId="0" fontId="0" fillId="5" borderId="0" pivotButton="0" quotePrefix="0" xfId="0"/>
    <xf numFmtId="165" fontId="0" fillId="5" borderId="0" pivotButton="0" quotePrefix="0" xfId="0"/>
    <xf numFmtId="0" fontId="8" fillId="3" borderId="0" applyAlignment="1" pivotButton="0" quotePrefix="0" xfId="0">
      <alignment horizontal="left" vertical="top"/>
    </xf>
    <xf numFmtId="165" fontId="0" fillId="0" borderId="0" pivotButton="0" quotePrefix="0" xfId="0"/>
    <xf numFmtId="165" fontId="0" fillId="0" borderId="0" applyAlignment="1" pivotButton="0" quotePrefix="0" xfId="0">
      <alignment horizontal="center"/>
    </xf>
    <xf numFmtId="166" fontId="0" fillId="0" borderId="0" applyAlignment="1" pivotButton="0" quotePrefix="0" xfId="5">
      <alignment horizontal="center"/>
    </xf>
    <xf numFmtId="9" fontId="0" fillId="0" borderId="0" applyAlignment="1" pivotButton="0" quotePrefix="0" xfId="7">
      <alignment horizontal="center"/>
    </xf>
    <xf numFmtId="9" fontId="2" fillId="0" borderId="0" applyAlignment="1" pivotButton="0" quotePrefix="0" xfId="7">
      <alignment horizontal="center"/>
    </xf>
    <xf numFmtId="0" fontId="4" fillId="0" borderId="0" pivotButton="0" quotePrefix="0" xfId="0"/>
    <xf numFmtId="165" fontId="4" fillId="0" borderId="0" applyAlignment="1" pivotButton="0" quotePrefix="0" xfId="0">
      <alignment horizontal="center"/>
    </xf>
    <xf numFmtId="166" fontId="4" fillId="0" borderId="0" applyAlignment="1" pivotButton="0" quotePrefix="0" xfId="5">
      <alignment horizontal="center"/>
    </xf>
    <xf numFmtId="9" fontId="4" fillId="0" borderId="0" applyAlignment="1" pivotButton="0" quotePrefix="0" xfId="7">
      <alignment horizontal="center"/>
    </xf>
    <xf numFmtId="0" fontId="0" fillId="0" borderId="0" applyAlignment="1" pivotButton="0" quotePrefix="0" xfId="0">
      <alignment horizontal="center"/>
    </xf>
    <xf numFmtId="165" fontId="3" fillId="5" borderId="0" applyAlignment="1" pivotButton="0" quotePrefix="0" xfId="0">
      <alignment horizontal="center"/>
    </xf>
    <xf numFmtId="164" fontId="6" fillId="0" borderId="0" pivotButton="0" quotePrefix="0" xfId="6"/>
    <xf numFmtId="0" fontId="0" fillId="0" borderId="0" applyAlignment="1" pivotButton="0" quotePrefix="0" xfId="0">
      <alignment horizontal="left" indent="1"/>
    </xf>
    <xf numFmtId="0" fontId="4" fillId="0" borderId="0" applyAlignment="1" pivotButton="0" quotePrefix="0" xfId="0">
      <alignment horizontal="left" indent="1"/>
    </xf>
    <xf numFmtId="0" fontId="3" fillId="5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64" fontId="5" fillId="0" borderId="0" pivotButton="0" quotePrefix="0" xfId="6"/>
    <xf numFmtId="0" fontId="0" fillId="0" borderId="2" pivotButton="0" quotePrefix="0" xfId="0"/>
    <xf numFmtId="165" fontId="5" fillId="0" borderId="0" applyAlignment="1" pivotButton="0" quotePrefix="0" xfId="0">
      <alignment horizontal="center"/>
    </xf>
    <xf numFmtId="166" fontId="5" fillId="0" borderId="0" applyAlignment="1" pivotButton="0" quotePrefix="0" xfId="5">
      <alignment horizontal="center"/>
    </xf>
    <xf numFmtId="9" fontId="5" fillId="0" borderId="0" applyAlignment="1" pivotButton="0" quotePrefix="0" xfId="7">
      <alignment horizontal="center"/>
    </xf>
    <xf numFmtId="165" fontId="5" fillId="0" borderId="0" pivotButton="0" quotePrefix="0" xfId="0"/>
    <xf numFmtId="17" fontId="6" fillId="4" borderId="0" applyAlignment="1" pivotButton="0" quotePrefix="0" xfId="0">
      <alignment horizontal="center" vertical="top" wrapText="1"/>
    </xf>
    <xf numFmtId="164" fontId="3" fillId="6" borderId="0" pivotButton="0" quotePrefix="0" xfId="6"/>
    <xf numFmtId="0" fontId="0" fillId="5" borderId="0" applyAlignment="1" pivotButton="0" quotePrefix="0" xfId="0">
      <alignment horizontal="left" indent="1"/>
    </xf>
    <xf numFmtId="0" fontId="0" fillId="7" borderId="0" applyAlignment="1" pivotButton="0" quotePrefix="0" xfId="0">
      <alignment horizontal="left" indent="1"/>
    </xf>
    <xf numFmtId="0" fontId="3" fillId="7" borderId="0" pivotButton="0" quotePrefix="0" xfId="0"/>
    <xf numFmtId="0" fontId="3" fillId="7" borderId="0" applyAlignment="1" pivotButton="0" quotePrefix="0" xfId="0">
      <alignment horizontal="center"/>
    </xf>
    <xf numFmtId="165" fontId="3" fillId="7" borderId="0" applyAlignment="1" pivotButton="0" quotePrefix="0" xfId="0">
      <alignment horizontal="center"/>
    </xf>
    <xf numFmtId="165" fontId="3" fillId="7" borderId="0" pivotButton="0" quotePrefix="0" xfId="0"/>
    <xf numFmtId="164" fontId="3" fillId="7" borderId="0" pivotButton="0" quotePrefix="0" xfId="6"/>
    <xf numFmtId="0" fontId="4" fillId="0" borderId="0" applyAlignment="1" pivotButton="0" quotePrefix="0" xfId="0">
      <alignment horizontal="center"/>
    </xf>
    <xf numFmtId="165" fontId="4" fillId="0" borderId="0" pivotButton="0" quotePrefix="0" xfId="0"/>
    <xf numFmtId="164" fontId="6" fillId="6" borderId="0" pivotButton="0" quotePrefix="0" xfId="6"/>
    <xf numFmtId="0" fontId="0" fillId="0" borderId="0" applyAlignment="1" pivotButton="0" quotePrefix="0" xfId="0">
      <alignment horizontal="left" indent="2"/>
    </xf>
    <xf numFmtId="0" fontId="4" fillId="0" borderId="0" applyAlignment="1" pivotButton="0" quotePrefix="0" xfId="0">
      <alignment horizontal="left" indent="2"/>
    </xf>
    <xf numFmtId="0" fontId="8" fillId="3" borderId="0" applyAlignment="1" pivotButton="0" quotePrefix="0" xfId="0">
      <alignment horizontal="center" vertical="top" wrapText="1"/>
    </xf>
    <xf numFmtId="164" fontId="3" fillId="0" borderId="0" pivotButton="0" quotePrefix="0" xfId="6"/>
    <xf numFmtId="164" fontId="0" fillId="0" borderId="0" pivotButton="0" quotePrefix="0" xfId="6"/>
    <xf numFmtId="164" fontId="3" fillId="5" borderId="0" pivotButton="0" quotePrefix="0" xfId="6"/>
    <xf numFmtId="164" fontId="6" fillId="5" borderId="0" pivotButton="0" quotePrefix="0" xfId="6"/>
    <xf numFmtId="164" fontId="6" fillId="5" borderId="0" pivotButton="0" quotePrefix="0" xfId="6"/>
    <xf numFmtId="164" fontId="4" fillId="0" borderId="0" pivotButton="0" quotePrefix="0" xfId="6"/>
    <xf numFmtId="0" fontId="3" fillId="12" borderId="0" pivotButton="0" quotePrefix="0" xfId="0"/>
    <xf numFmtId="0" fontId="3" fillId="12" borderId="0" applyAlignment="1" pivotButton="0" quotePrefix="0" xfId="0">
      <alignment horizontal="center"/>
    </xf>
    <xf numFmtId="164" fontId="3" fillId="12" borderId="0" pivotButton="0" quotePrefix="0" xfId="6"/>
    <xf numFmtId="164" fontId="6" fillId="4" borderId="0" pivotButton="0" quotePrefix="0" xfId="6"/>
    <xf numFmtId="164" fontId="6" fillId="12" borderId="0" pivotButton="0" quotePrefix="0" xfId="6"/>
    <xf numFmtId="164" fontId="3" fillId="4" borderId="0" pivotButton="0" quotePrefix="0" xfId="6"/>
    <xf numFmtId="17" fontId="8" fillId="3" borderId="0" applyAlignment="1" pivotButton="0" quotePrefix="0" xfId="0">
      <alignment horizontal="left" vertical="top" wrapText="1"/>
    </xf>
    <xf numFmtId="0" fontId="0" fillId="0" borderId="0" pivotButton="0" quotePrefix="1" xfId="0"/>
    <xf numFmtId="0" fontId="16" fillId="0" borderId="0" pivotButton="0" quotePrefix="0" xfId="0"/>
    <xf numFmtId="4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 indent="1"/>
    </xf>
    <xf numFmtId="164" fontId="12" fillId="0" borderId="0" pivotButton="0" quotePrefix="0" xfId="6"/>
    <xf numFmtId="164" fontId="4" fillId="43" borderId="0" pivotButton="0" quotePrefix="0" xfId="6"/>
    <xf numFmtId="17" fontId="3" fillId="4" borderId="0" applyAlignment="1" pivotButton="0" quotePrefix="0" xfId="0">
      <alignment horizontal="center" vertical="top" wrapText="1"/>
    </xf>
    <xf numFmtId="0" fontId="30" fillId="0" borderId="0" applyAlignment="1" pivotButton="0" quotePrefix="0" xfId="0">
      <alignment horizontal="left" indent="2"/>
    </xf>
    <xf numFmtId="164" fontId="30" fillId="0" borderId="0" pivotButton="0" quotePrefix="0" xfId="6"/>
    <xf numFmtId="0" fontId="31" fillId="0" borderId="16" applyAlignment="1" pivotButton="0" quotePrefix="0" xfId="0">
      <alignment horizontal="center" vertical="center"/>
    </xf>
    <xf numFmtId="0" fontId="31" fillId="0" borderId="18" applyAlignment="1" pivotButton="0" quotePrefix="0" xfId="0">
      <alignment horizontal="center" vertical="center"/>
    </xf>
    <xf numFmtId="0" fontId="32" fillId="0" borderId="18" applyAlignment="1" pivotButton="0" quotePrefix="0" xfId="0">
      <alignment vertical="center"/>
    </xf>
    <xf numFmtId="0" fontId="31" fillId="0" borderId="15" applyAlignment="1" pivotButton="0" quotePrefix="0" xfId="0">
      <alignment horizontal="center" vertical="center"/>
    </xf>
    <xf numFmtId="0" fontId="33" fillId="10" borderId="18" applyAlignment="1" pivotButton="0" quotePrefix="0" xfId="0">
      <alignment horizontal="center" vertical="center"/>
    </xf>
    <xf numFmtId="9" fontId="4" fillId="43" borderId="0" applyAlignment="1" pivotButton="0" quotePrefix="0" xfId="7">
      <alignment horizontal="center"/>
    </xf>
    <xf numFmtId="0" fontId="5" fillId="0" borderId="0" applyAlignment="1" pivotButton="0" quotePrefix="0" xfId="0">
      <alignment horizontal="left" indent="2"/>
    </xf>
    <xf numFmtId="164" fontId="34" fillId="0" borderId="0" pivotButton="0" quotePrefix="0" xfId="6"/>
    <xf numFmtId="164" fontId="35" fillId="0" borderId="0" pivotButton="0" quotePrefix="0" xfId="6"/>
    <xf numFmtId="0" fontId="13" fillId="0" borderId="0" pivotButton="0" quotePrefix="0" xfId="0"/>
    <xf numFmtId="0" fontId="35" fillId="0" borderId="0" applyAlignment="1" pivotButton="0" quotePrefix="0" xfId="0">
      <alignment horizontal="left" indent="1"/>
    </xf>
    <xf numFmtId="164" fontId="12" fillId="0" borderId="0" pivotButton="0" quotePrefix="0" xfId="6"/>
    <xf numFmtId="164" fontId="6" fillId="4" borderId="0" pivotButton="0" quotePrefix="0" xfId="6"/>
    <xf numFmtId="0" fontId="3" fillId="9" borderId="0" pivotButton="0" quotePrefix="0" xfId="0"/>
    <xf numFmtId="0" fontId="3" fillId="9" borderId="0" applyAlignment="1" pivotButton="0" quotePrefix="0" xfId="0">
      <alignment horizontal="center"/>
    </xf>
    <xf numFmtId="165" fontId="3" fillId="9" borderId="0" applyAlignment="1" pivotButton="0" quotePrefix="0" xfId="0">
      <alignment horizontal="center"/>
    </xf>
    <xf numFmtId="165" fontId="3" fillId="9" borderId="0" pivotButton="0" quotePrefix="0" xfId="0"/>
    <xf numFmtId="164" fontId="6" fillId="9" borderId="0" pivotButton="0" quotePrefix="0" xfId="6"/>
    <xf numFmtId="164" fontId="3" fillId="9" borderId="0" pivotButton="0" quotePrefix="0" xfId="6"/>
    <xf numFmtId="164" fontId="3" fillId="6" borderId="0" pivotButton="0" quotePrefix="0" xfId="6"/>
    <xf numFmtId="0" fontId="3" fillId="0" borderId="0" applyAlignment="1" pivotButton="0" quotePrefix="0" xfId="0">
      <alignment horizontal="left" indent="1"/>
    </xf>
    <xf numFmtId="10" fontId="3" fillId="12" borderId="0" pivotButton="0" quotePrefix="0" xfId="7"/>
    <xf numFmtId="10" fontId="3" fillId="6" borderId="0" pivotButton="0" quotePrefix="0" xfId="7"/>
    <xf numFmtId="10" fontId="0" fillId="5" borderId="0" pivotButton="0" quotePrefix="0" xfId="7"/>
    <xf numFmtId="10" fontId="0" fillId="4" borderId="0" pivotButton="0" quotePrefix="0" xfId="7"/>
    <xf numFmtId="0" fontId="3" fillId="43" borderId="0" pivotButton="0" quotePrefix="0" xfId="0"/>
    <xf numFmtId="0" fontId="0" fillId="43" borderId="0" applyAlignment="1" pivotButton="0" quotePrefix="0" xfId="0">
      <alignment horizontal="left" indent="1"/>
    </xf>
    <xf numFmtId="164" fontId="34" fillId="0" borderId="0" pivotButton="0" quotePrefix="0" xfId="6"/>
    <xf numFmtId="167" fontId="0" fillId="0" borderId="0" pivotButton="0" quotePrefix="1" xfId="0"/>
    <xf numFmtId="164" fontId="39" fillId="5" borderId="0" pivotButton="0" quotePrefix="0" xfId="6"/>
    <xf numFmtId="164" fontId="40" fillId="4" borderId="0" pivotButton="0" quotePrefix="0" xfId="6"/>
    <xf numFmtId="164" fontId="39" fillId="4" borderId="0" pivotButton="0" quotePrefix="0" xfId="6"/>
    <xf numFmtId="10" fontId="39" fillId="4" borderId="0" pivotButton="0" quotePrefix="0" xfId="7"/>
    <xf numFmtId="164" fontId="39" fillId="9" borderId="0" pivotButton="0" quotePrefix="0" xfId="6"/>
    <xf numFmtId="164" fontId="40" fillId="9" borderId="0" pivotButton="0" quotePrefix="0" xfId="6"/>
    <xf numFmtId="10" fontId="39" fillId="9" borderId="0" pivotButton="0" quotePrefix="0" xfId="7"/>
    <xf numFmtId="164" fontId="39" fillId="5" borderId="0" pivotButton="0" quotePrefix="0" xfId="6"/>
    <xf numFmtId="164" fontId="40" fillId="4" borderId="0" pivotButton="0" quotePrefix="0" xfId="6"/>
    <xf numFmtId="164" fontId="39" fillId="4" borderId="0" pivotButton="0" quotePrefix="0" xfId="6"/>
    <xf numFmtId="168" fontId="0" fillId="0" borderId="0" pivotButton="0" quotePrefix="0" xfId="0"/>
    <xf numFmtId="0" fontId="39" fillId="0" borderId="0" pivotButton="0" quotePrefix="0" xfId="0"/>
    <xf numFmtId="164" fontId="39" fillId="0" borderId="0" pivotButton="0" quotePrefix="0" xfId="0"/>
    <xf numFmtId="10" fontId="39" fillId="0" borderId="0" pivotButton="0" quotePrefix="0" xfId="0"/>
    <xf numFmtId="10" fontId="3" fillId="9" borderId="0" pivotButton="0" quotePrefix="0" xfId="7"/>
    <xf numFmtId="10" fontId="3" fillId="4" borderId="0" pivotButton="0" quotePrefix="0" xfId="7"/>
    <xf numFmtId="0" fontId="0" fillId="0" borderId="2" applyAlignment="1" pivotButton="0" quotePrefix="0" xfId="0">
      <alignment horizontal="left" indent="1"/>
    </xf>
    <xf numFmtId="0" fontId="0" fillId="10" borderId="0" applyAlignment="1" pivotButton="0" quotePrefix="0" xfId="0">
      <alignment horizontal="left" indent="1"/>
    </xf>
    <xf numFmtId="0" fontId="0" fillId="0" borderId="2" applyAlignment="1" pivotButton="0" quotePrefix="0" xfId="0">
      <alignment horizontal="center"/>
    </xf>
    <xf numFmtId="164" fontId="12" fillId="6" borderId="0" pivotButton="0" quotePrefix="0" xfId="6"/>
    <xf numFmtId="10" fontId="12" fillId="6" borderId="0" pivotButton="0" quotePrefix="0" xfId="7"/>
    <xf numFmtId="164" fontId="41" fillId="5" borderId="0" pivotButton="0" quotePrefix="0" xfId="6"/>
    <xf numFmtId="0" fontId="5" fillId="0" borderId="0" pivotButton="0" quotePrefix="1" xfId="0"/>
    <xf numFmtId="0" fontId="4" fillId="0" borderId="0" applyAlignment="1" pivotButton="0" quotePrefix="0" xfId="0">
      <alignment horizontal="left" indent="3"/>
    </xf>
    <xf numFmtId="0" fontId="0" fillId="0" borderId="0" applyAlignment="1" pivotButton="0" quotePrefix="0" xfId="0">
      <alignment horizontal="left" indent="3"/>
    </xf>
    <xf numFmtId="164" fontId="35" fillId="0" borderId="0" pivotButton="0" quotePrefix="0" xfId="6"/>
    <xf numFmtId="10" fontId="3" fillId="6" borderId="0" pivotButton="0" quotePrefix="0" xfId="7"/>
    <xf numFmtId="164" fontId="41" fillId="0" borderId="0" pivotButton="0" quotePrefix="0" xfId="6"/>
    <xf numFmtId="164" fontId="6" fillId="43" borderId="0" pivotButton="0" quotePrefix="0" xfId="6"/>
    <xf numFmtId="0" fontId="31" fillId="0" borderId="25" applyAlignment="1" pivotButton="0" quotePrefix="0" xfId="0">
      <alignment horizontal="center" vertical="center"/>
    </xf>
    <xf numFmtId="0" fontId="0" fillId="0" borderId="26" pivotButton="0" quotePrefix="0" xfId="0"/>
    <xf numFmtId="0" fontId="32" fillId="0" borderId="27" applyAlignment="1" pivotButton="0" quotePrefix="0" xfId="0">
      <alignment vertical="center"/>
    </xf>
    <xf numFmtId="0" fontId="0" fillId="0" borderId="28" pivotButton="0" quotePrefix="0" xfId="0"/>
    <xf numFmtId="0" fontId="31" fillId="0" borderId="27" applyAlignment="1" pivotButton="0" quotePrefix="0" xfId="0">
      <alignment horizontal="center" vertical="center"/>
    </xf>
    <xf numFmtId="0" fontId="33" fillId="0" borderId="18" applyAlignment="1" pivotButton="0" quotePrefix="0" xfId="0">
      <alignment horizontal="center" vertical="center"/>
    </xf>
    <xf numFmtId="3" fontId="0" fillId="0" borderId="28" pivotButton="0" quotePrefix="0" xfId="0"/>
    <xf numFmtId="0" fontId="31" fillId="0" borderId="26" applyAlignment="1" pivotButton="0" quotePrefix="0" xfId="0">
      <alignment horizontal="center" vertical="center"/>
    </xf>
    <xf numFmtId="0" fontId="0" fillId="0" borderId="29" pivotButton="0" quotePrefix="0" xfId="0"/>
    <xf numFmtId="0" fontId="31" fillId="0" borderId="30" applyAlignment="1" pivotButton="0" quotePrefix="0" xfId="0">
      <alignment horizontal="center" vertical="center"/>
    </xf>
    <xf numFmtId="0" fontId="0" fillId="4" borderId="0" pivotButton="0" quotePrefix="0" xfId="0"/>
    <xf numFmtId="0" fontId="0" fillId="4" borderId="0" applyAlignment="1" pivotButton="0" quotePrefix="0" xfId="0">
      <alignment horizontal="center"/>
    </xf>
    <xf numFmtId="164" fontId="0" fillId="4" borderId="0" pivotButton="0" quotePrefix="0" xfId="6"/>
    <xf numFmtId="164" fontId="4" fillId="4" borderId="0" pivotButton="0" quotePrefix="0" xfId="6"/>
    <xf numFmtId="0" fontId="0" fillId="9" borderId="0" pivotButton="0" quotePrefix="0" xfId="0"/>
    <xf numFmtId="0" fontId="0" fillId="9" borderId="0" applyAlignment="1" pivotButton="0" quotePrefix="0" xfId="0">
      <alignment horizontal="center"/>
    </xf>
    <xf numFmtId="165" fontId="0" fillId="9" borderId="0" applyAlignment="1" pivotButton="0" quotePrefix="0" xfId="0">
      <alignment horizontal="center"/>
    </xf>
    <xf numFmtId="165" fontId="0" fillId="9" borderId="0" pivotButton="0" quotePrefix="0" xfId="0"/>
    <xf numFmtId="164" fontId="4" fillId="9" borderId="0" pivotButton="0" quotePrefix="0" xfId="6"/>
    <xf numFmtId="164" fontId="0" fillId="9" borderId="0" pivotButton="0" quotePrefix="0" xfId="6"/>
    <xf numFmtId="10" fontId="0" fillId="9" borderId="0" pivotButton="0" quotePrefix="0" xfId="7"/>
    <xf numFmtId="164" fontId="0" fillId="9" borderId="0" pivotButton="0" quotePrefix="0" xfId="6"/>
    <xf numFmtId="164" fontId="4" fillId="9" borderId="0" pivotButton="0" quotePrefix="0" xfId="6"/>
    <xf numFmtId="17" fontId="0" fillId="0" borderId="0" pivotButton="0" quotePrefix="0" xfId="0"/>
    <xf numFmtId="0" fontId="30" fillId="0" borderId="0" applyAlignment="1" pivotButton="0" quotePrefix="0" xfId="0">
      <alignment horizontal="center"/>
    </xf>
    <xf numFmtId="0" fontId="30" fillId="0" borderId="0" pivotButton="0" quotePrefix="0" xfId="0"/>
    <xf numFmtId="165" fontId="30" fillId="0" borderId="0" applyAlignment="1" pivotButton="0" quotePrefix="0" xfId="0">
      <alignment horizontal="center"/>
    </xf>
    <xf numFmtId="165" fontId="30" fillId="0" borderId="0" pivotButton="0" quotePrefix="0" xfId="0"/>
    <xf numFmtId="164" fontId="2" fillId="0" borderId="0" pivotButton="0" quotePrefix="0" xfId="6"/>
    <xf numFmtId="3" fontId="0" fillId="0" borderId="0" pivotButton="0" quotePrefix="0" xfId="0"/>
    <xf numFmtId="169" fontId="0" fillId="0" borderId="28" pivotButton="0" quotePrefix="0" xfId="0"/>
    <xf numFmtId="0" fontId="0" fillId="0" borderId="0" applyAlignment="1" pivotButton="0" quotePrefix="0" xfId="0">
      <alignment horizontal="center" vertical="center"/>
    </xf>
    <xf numFmtId="0" fontId="42" fillId="0" borderId="23" applyAlignment="1" pivotButton="0" quotePrefix="0" xfId="0">
      <alignment horizontal="center" vertical="center"/>
    </xf>
    <xf numFmtId="0" fontId="42" fillId="0" borderId="23" applyAlignment="1" pivotButton="0" quotePrefix="0" xfId="0">
      <alignment horizontal="center" vertical="center" wrapText="1"/>
    </xf>
    <xf numFmtId="4" fontId="42" fillId="0" borderId="23" applyAlignment="1" pivotButton="0" quotePrefix="0" xfId="0">
      <alignment horizontal="center" vertical="center" wrapText="1"/>
    </xf>
    <xf numFmtId="10" fontId="42" fillId="0" borderId="23" applyAlignment="1" pivotButton="0" quotePrefix="0" xfId="0">
      <alignment horizontal="center" vertical="center"/>
    </xf>
    <xf numFmtId="4" fontId="42" fillId="0" borderId="23" applyAlignment="1" pivotButton="0" quotePrefix="0" xfId="0">
      <alignment horizontal="center" wrapText="1"/>
    </xf>
    <xf numFmtId="4" fontId="42" fillId="11" borderId="23" applyAlignment="1" pivotButton="0" quotePrefix="0" xfId="0">
      <alignment horizontal="center" vertical="center" wrapText="1"/>
    </xf>
    <xf numFmtId="4" fontId="0" fillId="0" borderId="23" applyAlignment="1" pivotButton="0" quotePrefix="0" xfId="0">
      <alignment horizontal="center" vertical="center"/>
    </xf>
    <xf numFmtId="10" fontId="0" fillId="0" borderId="23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4" fontId="0" fillId="0" borderId="5" applyAlignment="1" pivotButton="0" quotePrefix="0" xfId="0">
      <alignment horizontal="center" vertical="center"/>
    </xf>
    <xf numFmtId="10" fontId="0" fillId="0" borderId="3" applyAlignment="1" pivotButton="0" quotePrefix="0" xfId="0">
      <alignment horizontal="center" vertical="center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31" fillId="10" borderId="18" applyAlignment="1" pivotButton="0" quotePrefix="0" xfId="0">
      <alignment horizontal="center" vertical="center"/>
    </xf>
    <xf numFmtId="0" fontId="33" fillId="43" borderId="18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164" fontId="0" fillId="0" borderId="0" pivotButton="0" quotePrefix="0" xfId="6"/>
    <xf numFmtId="0" fontId="3" fillId="0" borderId="0" applyAlignment="1" pivotButton="0" quotePrefix="0" xfId="0">
      <alignment horizontal="center"/>
    </xf>
    <xf numFmtId="0" fontId="0" fillId="44" borderId="0" applyAlignment="1" pivotButton="0" quotePrefix="0" xfId="0">
      <alignment vertical="top"/>
    </xf>
    <xf numFmtId="0" fontId="29" fillId="44" borderId="0" applyAlignment="1" pivotButton="0" quotePrefix="0" xfId="0">
      <alignment vertical="top"/>
    </xf>
    <xf numFmtId="0" fontId="8" fillId="44" borderId="0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164" fontId="0" fillId="0" borderId="0" applyAlignment="1" pivotButton="0" quotePrefix="0" xfId="6">
      <alignment vertical="top"/>
    </xf>
    <xf numFmtId="0" fontId="3" fillId="0" borderId="0" applyAlignment="1" pivotButton="0" quotePrefix="0" xfId="0">
      <alignment horizontal="center" vertical="top"/>
    </xf>
    <xf numFmtId="0" fontId="0" fillId="4" borderId="0" applyAlignment="1" pivotButton="0" quotePrefix="0" xfId="0">
      <alignment vertical="top"/>
    </xf>
    <xf numFmtId="0" fontId="0" fillId="5" borderId="0" applyAlignment="1" pivotButton="0" quotePrefix="0" xfId="0">
      <alignment horizontal="center"/>
    </xf>
    <xf numFmtId="0" fontId="13" fillId="0" borderId="0" applyAlignment="1" pivotButton="0" quotePrefix="0" xfId="0">
      <alignment wrapText="1"/>
    </xf>
    <xf numFmtId="0" fontId="43" fillId="0" borderId="0" applyAlignment="1" pivotButton="0" quotePrefix="0" xfId="0">
      <alignment wrapText="1"/>
    </xf>
    <xf numFmtId="0" fontId="13" fillId="44" borderId="0" pivotButton="0" quotePrefix="0" xfId="0"/>
    <xf numFmtId="0" fontId="46" fillId="44" borderId="0" applyAlignment="1" pivotButton="0" quotePrefix="0" xfId="0">
      <alignment vertical="center"/>
    </xf>
    <xf numFmtId="0" fontId="13" fillId="44" borderId="0" applyAlignment="1" pivotButton="0" quotePrefix="0" xfId="0">
      <alignment horizontal="center"/>
    </xf>
    <xf numFmtId="0" fontId="13" fillId="44" borderId="0" applyAlignment="1" pivotButton="0" quotePrefix="0" xfId="0">
      <alignment vertical="top"/>
    </xf>
    <xf numFmtId="0" fontId="44" fillId="12" borderId="0" applyAlignment="1" pivotButton="0" quotePrefix="0" xfId="0">
      <alignment vertical="top"/>
    </xf>
    <xf numFmtId="0" fontId="44" fillId="12" borderId="0" applyAlignment="1" pivotButton="0" quotePrefix="0" xfId="0">
      <alignment horizontal="center" vertical="top"/>
    </xf>
    <xf numFmtId="0" fontId="44" fillId="12" borderId="0" applyAlignment="1" pivotButton="0" quotePrefix="0" xfId="0">
      <alignment horizontal="center" vertical="top" wrapText="1"/>
    </xf>
    <xf numFmtId="0" fontId="13" fillId="0" borderId="0" applyAlignment="1" pivotButton="0" quotePrefix="0" xfId="0">
      <alignment vertical="top"/>
    </xf>
    <xf numFmtId="0" fontId="13" fillId="0" borderId="0" applyAlignment="1" pivotButton="0" quotePrefix="0" xfId="0">
      <alignment horizontal="center"/>
    </xf>
    <xf numFmtId="0" fontId="44" fillId="0" borderId="0" pivotButton="0" quotePrefix="0" xfId="0"/>
    <xf numFmtId="0" fontId="34" fillId="0" borderId="0" applyAlignment="1" pivotButton="0" quotePrefix="0" xfId="0">
      <alignment horizontal="left" indent="1"/>
    </xf>
    <xf numFmtId="0" fontId="0" fillId="0" borderId="4" applyAlignment="1" pivotButton="0" quotePrefix="0" xfId="0">
      <alignment vertical="top"/>
    </xf>
    <xf numFmtId="0" fontId="0" fillId="0" borderId="23" applyAlignment="1" pivotButton="0" quotePrefix="0" xfId="0">
      <alignment horizontal="center" vertical="center" wrapText="1"/>
    </xf>
    <xf numFmtId="4" fontId="0" fillId="0" borderId="23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top"/>
    </xf>
    <xf numFmtId="164" fontId="0" fillId="0" borderId="4" applyAlignment="1" pivotButton="0" quotePrefix="0" xfId="6">
      <alignment vertical="top"/>
    </xf>
    <xf numFmtId="0" fontId="3" fillId="4" borderId="4" applyAlignment="1" pivotButton="0" quotePrefix="0" xfId="0">
      <alignment horizontal="center" vertical="top"/>
    </xf>
    <xf numFmtId="164" fontId="4" fillId="0" borderId="2" pivotButton="0" quotePrefix="0" xfId="6"/>
    <xf numFmtId="0" fontId="3" fillId="45" borderId="0" applyAlignment="1" pivotButton="0" quotePrefix="0" xfId="0">
      <alignment vertical="top"/>
    </xf>
    <xf numFmtId="0" fontId="0" fillId="45" borderId="0" applyAlignment="1" pivotButton="0" quotePrefix="0" xfId="0">
      <alignment vertical="top"/>
    </xf>
    <xf numFmtId="164" fontId="0" fillId="45" borderId="0" applyAlignment="1" pivotButton="0" quotePrefix="0" xfId="6">
      <alignment vertical="top"/>
    </xf>
    <xf numFmtId="0" fontId="43" fillId="0" borderId="0" applyAlignment="1" pivotButton="0" quotePrefix="0" xfId="0">
      <alignment horizontal="left"/>
    </xf>
    <xf numFmtId="0" fontId="43" fillId="0" borderId="0" applyAlignment="1" pivotButton="0" quotePrefix="0" xfId="0">
      <alignment horizontal="left" vertical="top"/>
    </xf>
    <xf numFmtId="0" fontId="51" fillId="0" borderId="0" applyAlignment="1" pivotButton="0" quotePrefix="0" xfId="0">
      <alignment vertical="center"/>
    </xf>
    <xf numFmtId="0" fontId="43" fillId="0" borderId="0" pivotButton="0" quotePrefix="0" xfId="0"/>
    <xf numFmtId="0" fontId="4" fillId="0" borderId="0" applyAlignment="1" pivotButton="0" quotePrefix="0" xfId="70">
      <alignment vertical="center"/>
    </xf>
    <xf numFmtId="0" fontId="4" fillId="0" borderId="0" applyAlignment="1" pivotButton="0" quotePrefix="0" xfId="70">
      <alignment horizontal="right" vertical="center"/>
    </xf>
    <xf numFmtId="0" fontId="52" fillId="47" borderId="37" applyAlignment="1" pivotButton="0" quotePrefix="0" xfId="70">
      <alignment horizontal="left" vertical="center" wrapText="1"/>
    </xf>
    <xf numFmtId="0" fontId="52" fillId="47" borderId="2" applyAlignment="1" pivotButton="0" quotePrefix="0" xfId="70">
      <alignment horizontal="left" vertical="center" wrapText="1"/>
    </xf>
    <xf numFmtId="9" fontId="0" fillId="0" borderId="0" pivotButton="0" quotePrefix="0" xfId="0"/>
    <xf numFmtId="0" fontId="44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 wrapText="1"/>
    </xf>
    <xf numFmtId="170" fontId="0" fillId="0" borderId="0" pivotButton="0" quotePrefix="0" xfId="0"/>
    <xf numFmtId="3" fontId="0" fillId="0" borderId="29" pivotButton="0" quotePrefix="0" xfId="0"/>
    <xf numFmtId="3" fontId="0" fillId="0" borderId="26" pivotButton="0" quotePrefix="0" xfId="0"/>
    <xf numFmtId="0" fontId="0" fillId="5" borderId="0" pivotButton="0" quotePrefix="1" xfId="0"/>
    <xf numFmtId="164" fontId="0" fillId="5" borderId="0" pivotButton="0" quotePrefix="0" xfId="0"/>
    <xf numFmtId="0" fontId="0" fillId="0" borderId="0" applyAlignment="1" pivotButton="0" quotePrefix="0" xfId="0">
      <alignment horizontal="left" vertical="top" indent="1"/>
    </xf>
    <xf numFmtId="0" fontId="3" fillId="48" borderId="0" applyAlignment="1" pivotButton="0" quotePrefix="0" xfId="0">
      <alignment horizontal="center"/>
    </xf>
    <xf numFmtId="0" fontId="3" fillId="48" borderId="0" pivotButton="0" quotePrefix="0" xfId="0"/>
    <xf numFmtId="164" fontId="6" fillId="48" borderId="0" pivotButton="0" quotePrefix="0" xfId="6"/>
    <xf numFmtId="0" fontId="0" fillId="48" borderId="0" pivotButton="0" quotePrefix="0" xfId="0"/>
    <xf numFmtId="0" fontId="0" fillId="45" borderId="0" applyAlignment="1" pivotButton="0" quotePrefix="1" xfId="0">
      <alignment vertical="top"/>
    </xf>
    <xf numFmtId="164" fontId="0" fillId="0" borderId="4" applyAlignment="1" pivotButton="0" quotePrefix="0" xfId="6">
      <alignment vertical="top"/>
    </xf>
    <xf numFmtId="164" fontId="0" fillId="0" borderId="0" applyAlignment="1" pivotButton="0" quotePrefix="0" xfId="6">
      <alignment vertical="top"/>
    </xf>
    <xf numFmtId="0" fontId="0" fillId="43" borderId="0" pivotButton="0" quotePrefix="0" xfId="0"/>
    <xf numFmtId="0" fontId="3" fillId="0" borderId="0" applyAlignment="1" pivotButton="0" quotePrefix="0" xfId="0">
      <alignment vertical="top" wrapText="1"/>
    </xf>
    <xf numFmtId="164" fontId="4" fillId="0" borderId="4" applyAlignment="1" pivotButton="0" quotePrefix="0" xfId="6">
      <alignment vertical="top"/>
    </xf>
    <xf numFmtId="0" fontId="0" fillId="0" borderId="0" applyAlignment="1" pivotButton="0" quotePrefix="0" xfId="0">
      <alignment horizontal="left" vertical="center" wrapText="1"/>
    </xf>
    <xf numFmtId="171" fontId="0" fillId="0" borderId="0" applyAlignment="1" pivotButton="0" quotePrefix="0" xfId="6">
      <alignment vertical="top"/>
    </xf>
    <xf numFmtId="165" fontId="39" fillId="0" borderId="0" applyAlignment="1" pivotButton="0" quotePrefix="0" xfId="0">
      <alignment vertical="top"/>
    </xf>
    <xf numFmtId="165" fontId="39" fillId="5" borderId="0" applyAlignment="1" pivotButton="0" quotePrefix="0" xfId="0">
      <alignment vertical="top"/>
    </xf>
    <xf numFmtId="165" fontId="0" fillId="0" borderId="0" applyAlignment="1" pivotButton="0" quotePrefix="0" xfId="0">
      <alignment vertical="top"/>
    </xf>
    <xf numFmtId="165" fontId="0" fillId="5" borderId="0" applyAlignment="1" pivotButton="0" quotePrefix="0" xfId="0">
      <alignment vertical="top"/>
    </xf>
    <xf numFmtId="164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left" vertical="top" indent="2"/>
    </xf>
    <xf numFmtId="172" fontId="0" fillId="0" borderId="0" applyAlignment="1" pivotButton="0" quotePrefix="0" xfId="0">
      <alignment horizontal="left"/>
    </xf>
    <xf numFmtId="14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vertical="top" wrapText="1" readingOrder="1"/>
    </xf>
    <xf numFmtId="0" fontId="6" fillId="5" borderId="0" applyAlignment="1" pivotButton="0" quotePrefix="0" xfId="0">
      <alignment vertical="top" wrapText="1" readingOrder="1"/>
    </xf>
    <xf numFmtId="0" fontId="3" fillId="5" borderId="0" applyAlignment="1" pivotButton="0" quotePrefix="0" xfId="0">
      <alignment vertical="top"/>
    </xf>
    <xf numFmtId="0" fontId="4" fillId="0" borderId="0" applyAlignment="1" pivotButton="0" quotePrefix="0" xfId="0">
      <alignment vertical="top" wrapText="1" readingOrder="1"/>
    </xf>
    <xf numFmtId="9" fontId="4" fillId="0" borderId="0" applyAlignment="1" pivotButton="0" quotePrefix="0" xfId="0">
      <alignment vertical="top" wrapText="1" readingOrder="1"/>
    </xf>
    <xf numFmtId="3" fontId="4" fillId="0" borderId="0" applyAlignment="1" pivotButton="0" quotePrefix="0" xfId="0">
      <alignment vertical="top" wrapText="1" readingOrder="1"/>
    </xf>
    <xf numFmtId="165" fontId="4" fillId="0" borderId="0" applyAlignment="1" pivotButton="0" quotePrefix="0" xfId="0">
      <alignment vertical="top" wrapText="1" readingOrder="1"/>
    </xf>
    <xf numFmtId="165" fontId="4" fillId="5" borderId="0" applyAlignment="1" pivotButton="0" quotePrefix="0" xfId="0">
      <alignment vertical="top" wrapText="1" readingOrder="1"/>
    </xf>
    <xf numFmtId="0" fontId="40" fillId="0" borderId="0" applyAlignment="1" pivotButton="0" quotePrefix="0" xfId="0">
      <alignment vertical="top" wrapText="1" readingOrder="1"/>
    </xf>
    <xf numFmtId="9" fontId="40" fillId="0" borderId="0" applyAlignment="1" pivotButton="0" quotePrefix="0" xfId="0">
      <alignment vertical="top" wrapText="1" readingOrder="1"/>
    </xf>
    <xf numFmtId="3" fontId="40" fillId="0" borderId="0" applyAlignment="1" pivotButton="0" quotePrefix="0" xfId="0">
      <alignment vertical="top" wrapText="1" readingOrder="1"/>
    </xf>
    <xf numFmtId="165" fontId="40" fillId="0" borderId="0" applyAlignment="1" pivotButton="0" quotePrefix="0" xfId="0">
      <alignment vertical="top" wrapText="1" readingOrder="1"/>
    </xf>
    <xf numFmtId="165" fontId="40" fillId="5" borderId="0" applyAlignment="1" pivotButton="0" quotePrefix="0" xfId="0">
      <alignment vertical="top" wrapText="1" readingOrder="1"/>
    </xf>
    <xf numFmtId="165" fontId="3" fillId="5" borderId="0" applyAlignment="1" pivotButton="0" quotePrefix="0" xfId="0">
      <alignment vertical="top"/>
    </xf>
    <xf numFmtId="165" fontId="3" fillId="0" borderId="0" applyAlignment="1" pivotButton="0" quotePrefix="0" xfId="0">
      <alignment vertical="top"/>
    </xf>
    <xf numFmtId="164" fontId="3" fillId="0" borderId="0" pivotButton="0" quotePrefix="0" xfId="6"/>
    <xf numFmtId="9" fontId="0" fillId="0" borderId="0" applyAlignment="1" pivotButton="0" quotePrefix="0" xfId="0">
      <alignment vertical="top"/>
    </xf>
    <xf numFmtId="164" fontId="3" fillId="0" borderId="0" applyAlignment="1" pivotButton="0" quotePrefix="0" xfId="0">
      <alignment vertical="top"/>
    </xf>
    <xf numFmtId="164" fontId="3" fillId="0" borderId="0" pivotButton="0" quotePrefix="0" xfId="0"/>
    <xf numFmtId="164" fontId="54" fillId="5" borderId="0" pivotButton="0" quotePrefix="0" xfId="6"/>
    <xf numFmtId="0" fontId="0" fillId="50" borderId="23" applyAlignment="1" pivotButton="0" quotePrefix="0" xfId="0">
      <alignment horizontal="center" vertical="center" wrapText="1"/>
    </xf>
    <xf numFmtId="4" fontId="0" fillId="8" borderId="23" applyAlignment="1" pivotButton="0" quotePrefix="0" xfId="0">
      <alignment horizontal="center" vertical="center" wrapText="1"/>
    </xf>
    <xf numFmtId="3" fontId="4" fillId="0" borderId="0" applyAlignment="1" pivotButton="0" quotePrefix="0" xfId="70">
      <alignment horizontal="right" vertical="center"/>
    </xf>
    <xf numFmtId="10" fontId="52" fillId="46" borderId="26" applyAlignment="1" pivotButton="0" quotePrefix="0" xfId="70">
      <alignment horizontal="center" vertical="center"/>
    </xf>
    <xf numFmtId="3" fontId="52" fillId="47" borderId="37" applyAlignment="1" pivotButton="0" quotePrefix="0" xfId="70">
      <alignment horizontal="left" vertical="center" wrapText="1"/>
    </xf>
    <xf numFmtId="0" fontId="4" fillId="51" borderId="0" applyAlignment="1" pivotButton="0" quotePrefix="0" xfId="70">
      <alignment vertical="center"/>
    </xf>
    <xf numFmtId="170" fontId="2" fillId="48" borderId="0" applyAlignment="1" pivotButton="0" quotePrefix="0" xfId="71">
      <alignment vertical="center"/>
    </xf>
    <xf numFmtId="170" fontId="53" fillId="51" borderId="0" applyAlignment="1" pivotButton="0" quotePrefix="0" xfId="71">
      <alignment vertical="center"/>
    </xf>
    <xf numFmtId="0" fontId="4" fillId="52" borderId="0" applyAlignment="1" pivotButton="0" quotePrefix="0" xfId="70">
      <alignment vertical="center"/>
    </xf>
    <xf numFmtId="170" fontId="2" fillId="52" borderId="0" applyAlignment="1" pivotButton="0" quotePrefix="0" xfId="71">
      <alignment vertical="center"/>
    </xf>
    <xf numFmtId="170" fontId="53" fillId="52" borderId="0" applyAlignment="1" pivotButton="0" quotePrefix="0" xfId="71">
      <alignment vertical="center"/>
    </xf>
    <xf numFmtId="0" fontId="52" fillId="47" borderId="0" applyAlignment="1" pivotButton="0" quotePrefix="0" xfId="70">
      <alignment horizontal="left" vertical="center" wrapText="1"/>
    </xf>
    <xf numFmtId="4" fontId="0" fillId="0" borderId="0" pivotButton="0" quotePrefix="0" xfId="0"/>
    <xf numFmtId="164" fontId="3" fillId="53" borderId="0" pivotButton="0" quotePrefix="0" xfId="6"/>
    <xf numFmtId="164" fontId="6" fillId="53" borderId="0" pivotButton="0" quotePrefix="0" xfId="6"/>
    <xf numFmtId="0" fontId="55" fillId="3" borderId="0" applyAlignment="1" pivotButton="0" quotePrefix="0" xfId="0">
      <alignment horizontal="left" vertical="top"/>
    </xf>
    <xf numFmtId="0" fontId="56" fillId="0" borderId="0" applyAlignment="1" pivotButton="0" quotePrefix="0" xfId="0">
      <alignment horizontal="center"/>
    </xf>
    <xf numFmtId="0" fontId="56" fillId="0" borderId="0" applyAlignment="1" pivotButton="0" quotePrefix="0" xfId="0">
      <alignment horizontal="left" indent="1"/>
    </xf>
    <xf numFmtId="164" fontId="58" fillId="0" borderId="0" pivotButton="0" quotePrefix="0" xfId="6"/>
    <xf numFmtId="164" fontId="58" fillId="0" borderId="0" pivotButton="0" quotePrefix="0" xfId="6"/>
    <xf numFmtId="164" fontId="59" fillId="0" borderId="0" pivotButton="0" quotePrefix="0" xfId="6"/>
    <xf numFmtId="164" fontId="56" fillId="0" borderId="0" pivotButton="0" quotePrefix="0" xfId="6"/>
    <xf numFmtId="0" fontId="56" fillId="0" borderId="0" pivotButton="0" quotePrefix="0" xfId="0"/>
    <xf numFmtId="0" fontId="59" fillId="0" borderId="0" applyAlignment="1" pivotButton="0" quotePrefix="0" xfId="0">
      <alignment horizontal="center"/>
    </xf>
    <xf numFmtId="0" fontId="60" fillId="0" borderId="0" pivotButton="0" quotePrefix="0" xfId="0"/>
    <xf numFmtId="0" fontId="61" fillId="5" borderId="0" applyAlignment="1" pivotButton="0" quotePrefix="0" xfId="0">
      <alignment horizontal="center"/>
    </xf>
    <xf numFmtId="0" fontId="61" fillId="5" borderId="0" pivotButton="0" quotePrefix="0" xfId="0"/>
    <xf numFmtId="164" fontId="62" fillId="5" borderId="0" pivotButton="0" quotePrefix="0" xfId="6"/>
    <xf numFmtId="164" fontId="57" fillId="5" borderId="0" pivotButton="0" quotePrefix="0" xfId="6"/>
    <xf numFmtId="164" fontId="61" fillId="5" borderId="0" pivotButton="0" quotePrefix="0" xfId="6"/>
    <xf numFmtId="164" fontId="56" fillId="5" borderId="0" pivotButton="0" quotePrefix="0" xfId="6"/>
    <xf numFmtId="0" fontId="60" fillId="5" borderId="0" pivotButton="0" quotePrefix="0" xfId="0"/>
    <xf numFmtId="164" fontId="56" fillId="0" borderId="0" pivotButton="0" quotePrefix="0" xfId="0"/>
    <xf numFmtId="0" fontId="56" fillId="0" borderId="2" applyAlignment="1" pivotButton="0" quotePrefix="0" xfId="0">
      <alignment horizontal="center"/>
    </xf>
    <xf numFmtId="0" fontId="56" fillId="0" borderId="2" applyAlignment="1" pivotButton="0" quotePrefix="0" xfId="0">
      <alignment horizontal="left" indent="1"/>
    </xf>
    <xf numFmtId="164" fontId="58" fillId="0" borderId="2" pivotButton="0" quotePrefix="0" xfId="6"/>
    <xf numFmtId="164" fontId="56" fillId="0" borderId="2" pivotButton="0" quotePrefix="0" xfId="6"/>
    <xf numFmtId="164" fontId="63" fillId="0" borderId="0" pivotButton="0" quotePrefix="0" xfId="6"/>
    <xf numFmtId="3" fontId="56" fillId="0" borderId="0" pivotButton="0" quotePrefix="0" xfId="0"/>
    <xf numFmtId="164" fontId="64" fillId="5" borderId="0" pivotButton="0" quotePrefix="0" xfId="6"/>
    <xf numFmtId="0" fontId="61" fillId="0" borderId="0" pivotButton="0" quotePrefix="0" xfId="0"/>
    <xf numFmtId="0" fontId="56" fillId="5" borderId="0" pivotButton="0" quotePrefix="0" xfId="0"/>
    <xf numFmtId="0" fontId="56" fillId="4" borderId="0" pivotButton="0" quotePrefix="0" xfId="0"/>
    <xf numFmtId="0" fontId="61" fillId="4" borderId="0" pivotButton="0" quotePrefix="0" xfId="0"/>
    <xf numFmtId="164" fontId="64" fillId="4" borderId="0" pivotButton="0" quotePrefix="0" xfId="6"/>
    <xf numFmtId="164" fontId="61" fillId="4" borderId="0" pivotButton="0" quotePrefix="0" xfId="6"/>
    <xf numFmtId="164" fontId="57" fillId="4" borderId="0" pivotButton="0" quotePrefix="0" xfId="6"/>
    <xf numFmtId="10" fontId="61" fillId="0" borderId="0" pivotButton="0" quotePrefix="0" xfId="7"/>
    <xf numFmtId="3" fontId="56" fillId="5" borderId="0" pivotButton="0" quotePrefix="0" xfId="0"/>
    <xf numFmtId="164" fontId="61" fillId="0" borderId="0" pivotButton="0" quotePrefix="0" xfId="6"/>
    <xf numFmtId="0" fontId="57" fillId="0" borderId="0" pivotButton="0" quotePrefix="0" xfId="0"/>
    <xf numFmtId="0" fontId="63" fillId="0" borderId="0" applyAlignment="1" pivotButton="0" quotePrefix="0" xfId="0">
      <alignment horizontal="left" indent="2"/>
    </xf>
    <xf numFmtId="0" fontId="59" fillId="0" borderId="0" applyAlignment="1" pivotButton="0" quotePrefix="0" xfId="0">
      <alignment horizontal="left" indent="2"/>
    </xf>
    <xf numFmtId="164" fontId="64" fillId="5" borderId="0" pivotButton="0" quotePrefix="0" xfId="6"/>
    <xf numFmtId="164" fontId="61" fillId="5" borderId="0" pivotButton="0" quotePrefix="0" xfId="6"/>
    <xf numFmtId="164" fontId="57" fillId="5" borderId="0" pivotButton="0" quotePrefix="0" xfId="6"/>
    <xf numFmtId="164" fontId="62" fillId="5" borderId="0" pivotButton="0" quotePrefix="0" xfId="6"/>
    <xf numFmtId="164" fontId="57" fillId="4" borderId="0" pivotButton="0" quotePrefix="0" xfId="6"/>
    <xf numFmtId="173" fontId="56" fillId="0" borderId="0" pivotButton="0" quotePrefix="0" xfId="0"/>
    <xf numFmtId="0" fontId="66" fillId="55" borderId="0" applyAlignment="1" pivotButton="0" quotePrefix="0" xfId="0">
      <alignment horizontal="center" vertical="top" wrapText="1"/>
    </xf>
    <xf numFmtId="0" fontId="66" fillId="55" borderId="0" applyAlignment="1" pivotButton="0" quotePrefix="0" xfId="0">
      <alignment horizontal="left" vertical="top"/>
    </xf>
    <xf numFmtId="17" fontId="66" fillId="55" borderId="0" applyAlignment="1" pivotButton="0" quotePrefix="0" xfId="0">
      <alignment horizontal="center" vertical="top"/>
    </xf>
    <xf numFmtId="17" fontId="66" fillId="55" borderId="0" applyAlignment="1" pivotButton="0" quotePrefix="0" xfId="0">
      <alignment horizontal="center" vertical="top" wrapText="1"/>
    </xf>
    <xf numFmtId="0" fontId="67" fillId="0" borderId="0" applyAlignment="1" pivotButton="0" quotePrefix="0" xfId="0">
      <alignment vertical="top"/>
    </xf>
    <xf numFmtId="0" fontId="55" fillId="54" borderId="0" applyAlignment="1" pivotButton="0" quotePrefix="0" xfId="0">
      <alignment horizontal="center" vertical="top" wrapText="1"/>
    </xf>
    <xf numFmtId="0" fontId="55" fillId="54" borderId="0" applyAlignment="1" pivotButton="0" quotePrefix="0" xfId="0">
      <alignment horizontal="left" vertical="top"/>
    </xf>
    <xf numFmtId="164" fontId="55" fillId="54" borderId="0" applyAlignment="1" pivotButton="0" quotePrefix="0" xfId="6">
      <alignment horizontal="left" vertical="top"/>
    </xf>
    <xf numFmtId="17" fontId="55" fillId="54" borderId="0" applyAlignment="1" pivotButton="0" quotePrefix="0" xfId="0">
      <alignment horizontal="center" vertical="top" wrapText="1"/>
    </xf>
    <xf numFmtId="0" fontId="61" fillId="8" borderId="24" applyAlignment="1" pivotButton="0" quotePrefix="0" xfId="0">
      <alignment horizontal="right"/>
    </xf>
    <xf numFmtId="164" fontId="61" fillId="8" borderId="38" pivotButton="0" quotePrefix="0" xfId="6"/>
    <xf numFmtId="0" fontId="61" fillId="8" borderId="39" applyAlignment="1" pivotButton="0" quotePrefix="0" xfId="0">
      <alignment horizontal="right"/>
    </xf>
    <xf numFmtId="10" fontId="61" fillId="8" borderId="40" pivotButton="0" quotePrefix="0" xfId="7"/>
    <xf numFmtId="0" fontId="56" fillId="54" borderId="0" applyAlignment="1" pivotButton="0" quotePrefix="0" xfId="0">
      <alignment horizontal="center"/>
    </xf>
    <xf numFmtId="0" fontId="56" fillId="54" borderId="0" pivotButton="0" quotePrefix="0" xfId="0"/>
    <xf numFmtId="0" fontId="56" fillId="0" borderId="2" pivotButton="0" quotePrefix="0" xfId="0"/>
    <xf numFmtId="164" fontId="68" fillId="0" borderId="0" pivotButton="0" quotePrefix="0" xfId="0"/>
    <xf numFmtId="164" fontId="69" fillId="0" borderId="0" applyAlignment="1" pivotButton="0" quotePrefix="0" xfId="6">
      <alignment vertical="top"/>
    </xf>
    <xf numFmtId="0" fontId="69" fillId="0" borderId="0" applyAlignment="1" pivotButton="0" quotePrefix="0" xfId="0">
      <alignment vertical="top"/>
    </xf>
    <xf numFmtId="164" fontId="56" fillId="0" borderId="0" applyAlignment="1" pivotButton="0" quotePrefix="0" xfId="0">
      <alignment horizontal="center"/>
    </xf>
    <xf numFmtId="164" fontId="56" fillId="0" borderId="30" pivotButton="0" quotePrefix="0" xfId="6"/>
    <xf numFmtId="164" fontId="59" fillId="0" borderId="42" pivotButton="0" quotePrefix="0" xfId="6"/>
    <xf numFmtId="164" fontId="56" fillId="0" borderId="42" pivotButton="0" quotePrefix="0" xfId="6"/>
    <xf numFmtId="164" fontId="61" fillId="5" borderId="42" pivotButton="0" quotePrefix="0" xfId="6"/>
    <xf numFmtId="164" fontId="56" fillId="0" borderId="43" pivotButton="0" quotePrefix="0" xfId="6"/>
    <xf numFmtId="164" fontId="57" fillId="5" borderId="42" pivotButton="0" quotePrefix="0" xfId="6"/>
    <xf numFmtId="164" fontId="61" fillId="4" borderId="42" pivotButton="0" quotePrefix="0" xfId="6"/>
    <xf numFmtId="164" fontId="57" fillId="4" borderId="41" pivotButton="0" quotePrefix="0" xfId="6"/>
    <xf numFmtId="164" fontId="57" fillId="4" borderId="42" pivotButton="0" quotePrefix="0" xfId="6"/>
    <xf numFmtId="164" fontId="4" fillId="43" borderId="0" pivotButton="0" quotePrefix="0" xfId="6"/>
    <xf numFmtId="0" fontId="0" fillId="12" borderId="0" pivotButton="0" quotePrefix="0" xfId="0"/>
    <xf numFmtId="164" fontId="0" fillId="12" borderId="0" pivotButton="0" quotePrefix="0" xfId="0"/>
    <xf numFmtId="0" fontId="65" fillId="0" borderId="0" applyAlignment="1" pivotButton="0" quotePrefix="0" xfId="0">
      <alignment horizontal="left" indent="2"/>
    </xf>
    <xf numFmtId="164" fontId="2" fillId="43" borderId="0" pivotButton="0" quotePrefix="0" xfId="6"/>
    <xf numFmtId="164" fontId="34" fillId="0" borderId="0" pivotButton="0" quotePrefix="0" xfId="6"/>
    <xf numFmtId="164" fontId="5" fillId="0" borderId="0" pivotButton="0" quotePrefix="0" xfId="6"/>
    <xf numFmtId="164" fontId="72" fillId="0" borderId="0" pivotButton="0" quotePrefix="0" xfId="6"/>
    <xf numFmtId="164" fontId="54" fillId="5" borderId="0" pivotButton="0" quotePrefix="0" xfId="6"/>
    <xf numFmtId="165" fontId="56" fillId="0" borderId="0" applyAlignment="1" pivotButton="0" quotePrefix="1" xfId="0">
      <alignment horizontal="center"/>
    </xf>
    <xf numFmtId="164" fontId="68" fillId="0" borderId="0" pivotButton="0" quotePrefix="0" xfId="6"/>
    <xf numFmtId="164" fontId="35" fillId="0" borderId="0" pivotButton="0" quotePrefix="0" xfId="6"/>
    <xf numFmtId="164" fontId="41" fillId="5" borderId="0" pivotButton="0" quotePrefix="0" xfId="6"/>
    <xf numFmtId="164" fontId="3" fillId="12" borderId="0" pivotButton="0" quotePrefix="0" xfId="6"/>
    <xf numFmtId="0" fontId="3" fillId="56" borderId="0" pivotButton="0" quotePrefix="0" xfId="0"/>
    <xf numFmtId="164" fontId="6" fillId="12" borderId="0" pivotButton="0" quotePrefix="0" xfId="6"/>
    <xf numFmtId="164" fontId="3" fillId="12" borderId="0" pivotButton="0" quotePrefix="0" xfId="0"/>
    <xf numFmtId="0" fontId="0" fillId="44" borderId="0" applyAlignment="1" pivotButton="0" quotePrefix="0" xfId="0">
      <alignment horizontal="center" vertical="top"/>
    </xf>
    <xf numFmtId="10" fontId="0" fillId="0" borderId="4" applyAlignment="1" pivotButton="0" quotePrefix="0" xfId="7">
      <alignment horizontal="center" vertical="top"/>
    </xf>
    <xf numFmtId="0" fontId="0" fillId="45" borderId="0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top"/>
    </xf>
    <xf numFmtId="164" fontId="56" fillId="0" borderId="44" pivotButton="0" quotePrefix="0" xfId="6"/>
    <xf numFmtId="164" fontId="62" fillId="4" borderId="0" pivotButton="0" quotePrefix="0" xfId="6"/>
    <xf numFmtId="164" fontId="62" fillId="4" borderId="0" pivotButton="0" quotePrefix="0" xfId="6"/>
    <xf numFmtId="3" fontId="61" fillId="0" borderId="0" pivotButton="0" quotePrefix="1" xfId="0"/>
    <xf numFmtId="0" fontId="73" fillId="3" borderId="0" applyAlignment="1" pivotButton="0" quotePrefix="0" xfId="0">
      <alignment horizontal="center" vertical="top" wrapText="1"/>
    </xf>
    <xf numFmtId="17" fontId="73" fillId="3" borderId="0" applyAlignment="1" pivotButton="0" quotePrefix="0" xfId="0">
      <alignment horizontal="center" vertical="top" wrapText="1"/>
    </xf>
    <xf numFmtId="0" fontId="73" fillId="3" borderId="0" applyAlignment="1" pivotButton="0" quotePrefix="0" xfId="0">
      <alignment horizontal="left" vertical="top" wrapText="1"/>
    </xf>
    <xf numFmtId="17" fontId="73" fillId="3" borderId="0" applyAlignment="1" pivotButton="0" quotePrefix="0" xfId="0">
      <alignment horizontal="center" vertical="top"/>
    </xf>
    <xf numFmtId="174" fontId="61" fillId="5" borderId="0" pivotButton="0" quotePrefix="0" xfId="0"/>
    <xf numFmtId="0" fontId="61" fillId="5" borderId="2" pivotButton="0" quotePrefix="0" xfId="0"/>
    <xf numFmtId="174" fontId="61" fillId="5" borderId="2" pivotButton="0" quotePrefix="0" xfId="0"/>
    <xf numFmtId="0" fontId="13" fillId="0" borderId="0" applyAlignment="1" pivotButton="0" quotePrefix="0" xfId="0">
      <alignment horizontal="left"/>
    </xf>
    <xf numFmtId="164" fontId="13" fillId="0" borderId="0" pivotButton="0" quotePrefix="0" xfId="6"/>
    <xf numFmtId="164" fontId="44" fillId="0" borderId="0" pivotButton="0" quotePrefix="0" xfId="6"/>
    <xf numFmtId="164" fontId="55" fillId="54" borderId="0" applyAlignment="1" pivotButton="0" quotePrefix="0" xfId="6">
      <alignment horizontal="left" vertical="top"/>
    </xf>
    <xf numFmtId="164" fontId="55" fillId="54" borderId="41" applyAlignment="1" pivotButton="0" quotePrefix="0" xfId="6">
      <alignment horizontal="left" vertical="top"/>
    </xf>
    <xf numFmtId="0" fontId="57" fillId="4" borderId="0" pivotButton="0" quotePrefix="0" xfId="0"/>
    <xf numFmtId="164" fontId="55" fillId="54" borderId="30" applyAlignment="1" pivotButton="0" quotePrefix="0" xfId="6">
      <alignment horizontal="right" vertical="top"/>
    </xf>
    <xf numFmtId="164" fontId="56" fillId="0" borderId="0" pivotButton="0" quotePrefix="1" xfId="6"/>
    <xf numFmtId="164" fontId="56" fillId="0" borderId="45" pivotButton="0" quotePrefix="0" xfId="6"/>
    <xf numFmtId="164" fontId="57" fillId="0" borderId="42" pivotButton="0" quotePrefix="0" xfId="6"/>
    <xf numFmtId="174" fontId="56" fillId="5" borderId="0" pivotButton="0" quotePrefix="0" xfId="0"/>
    <xf numFmtId="17" fontId="6" fillId="55" borderId="0" applyAlignment="1" pivotButton="0" quotePrefix="0" xfId="0">
      <alignment horizontal="center" vertical="top"/>
    </xf>
    <xf numFmtId="0" fontId="70" fillId="0" borderId="0" pivotButton="0" quotePrefix="0" xfId="0"/>
    <xf numFmtId="0" fontId="74" fillId="0" borderId="0" pivotButton="0" quotePrefix="0" xfId="0"/>
    <xf numFmtId="0" fontId="70" fillId="0" borderId="2" pivotButton="0" quotePrefix="0" xfId="0"/>
    <xf numFmtId="164" fontId="75" fillId="0" borderId="0" pivotButton="0" quotePrefix="0" xfId="6"/>
    <xf numFmtId="0" fontId="13" fillId="44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9" fontId="13" fillId="0" borderId="0" applyAlignment="1" pivotButton="0" quotePrefix="0" xfId="7">
      <alignment horizontal="center" vertical="center"/>
    </xf>
    <xf numFmtId="166" fontId="13" fillId="0" borderId="0" applyAlignment="1" pivotButton="0" quotePrefix="0" xfId="5">
      <alignment horizontal="center" vertical="center"/>
    </xf>
    <xf numFmtId="164" fontId="13" fillId="0" borderId="0" applyAlignment="1" pivotButton="0" quotePrefix="0" xfId="6">
      <alignment horizontal="center" vertical="center"/>
    </xf>
    <xf numFmtId="0" fontId="13" fillId="0" borderId="0" applyAlignment="1" pivotButton="0" quotePrefix="0" xfId="0">
      <alignment vertical="center" wrapText="1"/>
    </xf>
    <xf numFmtId="0" fontId="43" fillId="0" borderId="0" applyAlignment="1" pivotButton="0" quotePrefix="0" xfId="0">
      <alignment horizontal="left" vertical="center"/>
    </xf>
    <xf numFmtId="9" fontId="13" fillId="0" borderId="0" applyAlignment="1" pivotButton="0" quotePrefix="0" xfId="7">
      <alignment horizontal="center" vertical="center"/>
    </xf>
    <xf numFmtId="0" fontId="44" fillId="0" borderId="0" applyAlignment="1" pivotButton="0" quotePrefix="0" xfId="0">
      <alignment vertical="center"/>
    </xf>
    <xf numFmtId="166" fontId="43" fillId="0" borderId="0" applyAlignment="1" pivotButton="0" quotePrefix="0" xfId="5">
      <alignment horizontal="center" vertical="center"/>
    </xf>
    <xf numFmtId="166" fontId="13" fillId="0" borderId="0" applyAlignment="1" pivotButton="0" quotePrefix="0" xfId="5">
      <alignment horizontal="center" vertical="center"/>
    </xf>
    <xf numFmtId="0" fontId="43" fillId="0" borderId="0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center" vertical="center"/>
    </xf>
    <xf numFmtId="9" fontId="13" fillId="0" borderId="2" applyAlignment="1" pivotButton="0" quotePrefix="0" xfId="7">
      <alignment horizontal="center" vertical="center"/>
    </xf>
    <xf numFmtId="166" fontId="13" fillId="0" borderId="2" applyAlignment="1" pivotButton="0" quotePrefix="0" xfId="5">
      <alignment horizontal="center" vertical="center"/>
    </xf>
    <xf numFmtId="164" fontId="13" fillId="0" borderId="2" applyAlignment="1" pivotButton="0" quotePrefix="0" xfId="6">
      <alignment horizontal="center" vertical="center"/>
    </xf>
    <xf numFmtId="0" fontId="13" fillId="0" borderId="2" applyAlignment="1" pivotButton="0" quotePrefix="0" xfId="0">
      <alignment vertical="center" wrapText="1"/>
    </xf>
    <xf numFmtId="164" fontId="43" fillId="0" borderId="0" applyAlignment="1" pivotButton="0" quotePrefix="0" xfId="6">
      <alignment horizontal="left" vertical="center"/>
    </xf>
    <xf numFmtId="0" fontId="47" fillId="0" borderId="0" applyAlignment="1" pivotButton="0" quotePrefix="0" xfId="0">
      <alignment horizontal="right" vertical="center"/>
    </xf>
    <xf numFmtId="0" fontId="47" fillId="0" borderId="0" applyAlignment="1" pivotButton="0" quotePrefix="0" xfId="0">
      <alignment horizontal="left" vertical="center"/>
    </xf>
    <xf numFmtId="166" fontId="43" fillId="0" borderId="0" applyAlignment="1" pivotButton="0" quotePrefix="0" xfId="5">
      <alignment horizontal="center" vertical="center"/>
    </xf>
    <xf numFmtId="0" fontId="43" fillId="0" borderId="0" applyAlignment="1" pivotButton="0" quotePrefix="0" xfId="0">
      <alignment vertical="center" wrapText="1"/>
    </xf>
    <xf numFmtId="0" fontId="43" fillId="44" borderId="0" applyAlignment="1" pivotButton="0" quotePrefix="0" xfId="0">
      <alignment vertical="center"/>
    </xf>
    <xf numFmtId="0" fontId="45" fillId="0" borderId="0" applyAlignment="1" pivotButton="0" quotePrefix="0" xfId="0">
      <alignment horizontal="right" vertical="center"/>
    </xf>
    <xf numFmtId="164" fontId="43" fillId="0" borderId="0" applyAlignment="1" pivotButton="0" quotePrefix="0" xfId="0">
      <alignment horizontal="left" vertical="center"/>
    </xf>
    <xf numFmtId="0" fontId="51" fillId="0" borderId="0" applyAlignment="1" pivotButton="0" quotePrefix="0" xfId="0">
      <alignment horizontal="left" vertical="center"/>
    </xf>
    <xf numFmtId="0" fontId="43" fillId="0" borderId="2" applyAlignment="1" pivotButton="0" quotePrefix="0" xfId="0">
      <alignment vertical="center"/>
    </xf>
    <xf numFmtId="166" fontId="43" fillId="0" borderId="2" applyAlignment="1" pivotButton="0" quotePrefix="0" xfId="5">
      <alignment horizontal="center" vertical="center"/>
    </xf>
    <xf numFmtId="0" fontId="43" fillId="0" borderId="2" applyAlignment="1" pivotButton="0" quotePrefix="0" xfId="0">
      <alignment vertical="center" wrapText="1"/>
    </xf>
    <xf numFmtId="0" fontId="47" fillId="0" borderId="0" applyAlignment="1" pivotButton="0" quotePrefix="0" xfId="0">
      <alignment vertical="center"/>
    </xf>
    <xf numFmtId="0" fontId="48" fillId="0" borderId="2" applyAlignment="1" pivotButton="0" quotePrefix="0" xfId="0">
      <alignment vertical="center"/>
    </xf>
    <xf numFmtId="0" fontId="43" fillId="0" borderId="0" applyAlignment="1" pivotButton="0" quotePrefix="0" xfId="0">
      <alignment horizontal="right" vertical="center"/>
    </xf>
    <xf numFmtId="9" fontId="13" fillId="0" borderId="0" applyAlignment="1" pivotButton="0" quotePrefix="0" xfId="0">
      <alignment vertical="center"/>
    </xf>
    <xf numFmtId="0" fontId="13" fillId="0" borderId="2" applyAlignment="1" pivotButton="0" quotePrefix="0" xfId="0">
      <alignment horizontal="left" vertical="center"/>
    </xf>
    <xf numFmtId="0" fontId="48" fillId="0" borderId="0" applyAlignment="1" pivotButton="0" quotePrefix="0" xfId="0">
      <alignment vertical="center"/>
    </xf>
    <xf numFmtId="171" fontId="13" fillId="0" borderId="0" applyAlignment="1" pivotButton="0" quotePrefix="0" xfId="6">
      <alignment horizontal="center" vertical="center"/>
    </xf>
    <xf numFmtId="171" fontId="13" fillId="0" borderId="2" applyAlignment="1" pivotButton="0" quotePrefix="0" xfId="6">
      <alignment horizontal="center" vertical="center"/>
    </xf>
    <xf numFmtId="171" fontId="13" fillId="0" borderId="0" applyAlignment="1" pivotButton="0" quotePrefix="0" xfId="6">
      <alignment horizontal="center" vertical="center"/>
    </xf>
    <xf numFmtId="171" fontId="13" fillId="0" borderId="0" applyAlignment="1" pivotButton="0" quotePrefix="0" xfId="6">
      <alignment horizontal="right" vertical="center"/>
    </xf>
    <xf numFmtId="171" fontId="13" fillId="0" borderId="2" applyAlignment="1" pivotButton="0" quotePrefix="0" xfId="6">
      <alignment horizontal="right" vertical="center"/>
    </xf>
    <xf numFmtId="17" fontId="55" fillId="3" borderId="0" applyAlignment="1" pivotButton="0" quotePrefix="0" xfId="0">
      <alignment horizontal="center" vertical="top"/>
    </xf>
    <xf numFmtId="17" fontId="55" fillId="3" borderId="0" applyAlignment="1" pivotButton="0" quotePrefix="0" xfId="0">
      <alignment horizontal="center" vertical="top" wrapText="1"/>
    </xf>
    <xf numFmtId="171" fontId="34" fillId="0" borderId="0" pivotButton="0" quotePrefix="0" xfId="6"/>
    <xf numFmtId="164" fontId="35" fillId="0" borderId="2" pivotButton="0" quotePrefix="0" xfId="6"/>
    <xf numFmtId="164" fontId="2" fillId="0" borderId="2" pivotButton="0" quotePrefix="0" xfId="6"/>
    <xf numFmtId="164" fontId="34" fillId="0" borderId="2" pivotButton="0" quotePrefix="0" xfId="6"/>
    <xf numFmtId="164" fontId="76" fillId="12" borderId="0" pivotButton="0" quotePrefix="0" xfId="6"/>
    <xf numFmtId="164" fontId="2" fillId="0" borderId="30" pivotButton="0" quotePrefix="0" xfId="6"/>
    <xf numFmtId="164" fontId="2" fillId="0" borderId="42" pivotButton="0" quotePrefix="0" xfId="6"/>
    <xf numFmtId="164" fontId="3" fillId="5" borderId="42" pivotButton="0" quotePrefix="0" xfId="6"/>
    <xf numFmtId="164" fontId="3" fillId="48" borderId="42" pivotButton="0" quotePrefix="0" xfId="6"/>
    <xf numFmtId="164" fontId="2" fillId="0" borderId="42" pivotButton="0" quotePrefix="0" xfId="6"/>
    <xf numFmtId="164" fontId="4" fillId="0" borderId="42" pivotButton="0" quotePrefix="0" xfId="6"/>
    <xf numFmtId="164" fontId="6" fillId="5" borderId="42" pivotButton="0" quotePrefix="0" xfId="6"/>
    <xf numFmtId="164" fontId="0" fillId="0" borderId="42" pivotButton="0" quotePrefix="0" xfId="6"/>
    <xf numFmtId="164" fontId="2" fillId="0" borderId="43" pivotButton="0" quotePrefix="0" xfId="6"/>
    <xf numFmtId="164" fontId="4" fillId="49" borderId="42" pivotButton="0" quotePrefix="0" xfId="6"/>
    <xf numFmtId="164" fontId="3" fillId="0" borderId="42" pivotButton="0" quotePrefix="0" xfId="6"/>
    <xf numFmtId="164" fontId="6" fillId="0" borderId="42" pivotButton="0" quotePrefix="0" xfId="6"/>
    <xf numFmtId="0" fontId="13" fillId="0" borderId="0" applyAlignment="1" pivotButton="0" quotePrefix="0" xfId="0">
      <alignment horizontal="left" vertical="center"/>
    </xf>
    <xf numFmtId="164" fontId="61" fillId="4" borderId="0" pivotButton="0" quotePrefix="0" xfId="6"/>
    <xf numFmtId="3" fontId="60" fillId="0" borderId="0" pivotButton="0" quotePrefix="0" xfId="0"/>
    <xf numFmtId="164" fontId="61" fillId="0" borderId="0" pivotButton="0" quotePrefix="0" xfId="0"/>
    <xf numFmtId="0" fontId="77" fillId="0" borderId="0" pivotButton="0" quotePrefix="0" xfId="0"/>
    <xf numFmtId="0" fontId="3" fillId="2" borderId="46" applyAlignment="1" pivotButton="0" quotePrefix="0" xfId="3">
      <alignment horizontal="center" vertical="center"/>
    </xf>
    <xf numFmtId="0" fontId="3" fillId="57" borderId="47" applyAlignment="1" pivotButton="0" quotePrefix="0" xfId="3">
      <alignment horizontal="center" vertical="center" wrapText="1"/>
    </xf>
    <xf numFmtId="0" fontId="3" fillId="57" borderId="23" applyAlignment="1" pivotButton="0" quotePrefix="0" xfId="3">
      <alignment vertical="center" wrapText="1"/>
    </xf>
    <xf numFmtId="0" fontId="3" fillId="2" borderId="46" applyAlignment="1" pivotButton="0" quotePrefix="0" xfId="3">
      <alignment vertical="center" wrapText="1"/>
    </xf>
    <xf numFmtId="9" fontId="3" fillId="57" borderId="47" applyAlignment="1" pivotButton="0" quotePrefix="0" xfId="3">
      <alignment vertical="center" wrapText="1"/>
    </xf>
    <xf numFmtId="0" fontId="3" fillId="57" borderId="47" applyAlignment="1" pivotButton="0" quotePrefix="0" xfId="3">
      <alignment vertical="center" wrapText="1"/>
    </xf>
    <xf numFmtId="0" fontId="2" fillId="0" borderId="33" applyAlignment="1" pivotButton="0" quotePrefix="0" xfId="2">
      <alignment horizontal="left" vertical="center" indent="1"/>
    </xf>
    <xf numFmtId="174" fontId="4" fillId="0" borderId="48" applyAlignment="1" pivotButton="0" quotePrefix="0" xfId="2">
      <alignment vertical="center" wrapText="1"/>
    </xf>
    <xf numFmtId="9" fontId="4" fillId="0" borderId="33" applyAlignment="1" pivotButton="0" quotePrefix="0" xfId="2">
      <alignment vertical="center" wrapText="1"/>
    </xf>
    <xf numFmtId="174" fontId="4" fillId="0" borderId="33" applyAlignment="1" pivotButton="0" quotePrefix="0" xfId="2">
      <alignment vertical="center" wrapText="1"/>
    </xf>
    <xf numFmtId="174" fontId="4" fillId="0" borderId="47" applyAlignment="1" pivotButton="0" quotePrefix="0" xfId="2">
      <alignment vertical="center" wrapText="1"/>
    </xf>
    <xf numFmtId="0" fontId="2" fillId="0" borderId="23" applyAlignment="1" pivotButton="0" quotePrefix="0" xfId="2">
      <alignment horizontal="left" vertical="center" indent="1"/>
    </xf>
    <xf numFmtId="174" fontId="4" fillId="45" borderId="47" applyAlignment="1" pivotButton="0" quotePrefix="0" xfId="2">
      <alignment vertical="center" wrapText="1"/>
    </xf>
    <xf numFmtId="0" fontId="2" fillId="0" borderId="0" pivotButton="0" quotePrefix="0" xfId="0"/>
    <xf numFmtId="0" fontId="3" fillId="59" borderId="23" applyAlignment="1" pivotButton="0" quotePrefix="0" xfId="2">
      <alignment horizontal="left" vertical="center"/>
    </xf>
    <xf numFmtId="174" fontId="2" fillId="59" borderId="47" applyAlignment="1" pivotButton="0" quotePrefix="0" xfId="2">
      <alignment vertical="center" wrapText="1"/>
    </xf>
    <xf numFmtId="174" fontId="2" fillId="59" borderId="23" applyAlignment="1" pivotButton="0" quotePrefix="0" xfId="2">
      <alignment vertical="center" wrapText="1"/>
    </xf>
    <xf numFmtId="174" fontId="3" fillId="59" borderId="23" applyAlignment="1" pivotButton="0" quotePrefix="0" xfId="2">
      <alignment vertical="center" wrapText="1"/>
    </xf>
    <xf numFmtId="0" fontId="3" fillId="2" borderId="46" applyAlignment="1" pivotButton="0" quotePrefix="0" xfId="3">
      <alignment vertical="center"/>
    </xf>
    <xf numFmtId="0" fontId="3" fillId="2" borderId="37" applyAlignment="1" pivotButton="0" quotePrefix="0" xfId="3">
      <alignment horizontal="center" vertical="center" wrapText="1"/>
    </xf>
    <xf numFmtId="0" fontId="3" fillId="2" borderId="47" applyAlignment="1" pivotButton="0" quotePrefix="0" xfId="3">
      <alignment vertical="center" wrapText="1"/>
    </xf>
    <xf numFmtId="174" fontId="4" fillId="0" borderId="23" applyAlignment="1" pivotButton="0" quotePrefix="0" xfId="2">
      <alignment vertical="center" wrapText="1"/>
    </xf>
    <xf numFmtId="174" fontId="2" fillId="0" borderId="47" applyAlignment="1" pivotButton="0" quotePrefix="0" xfId="2">
      <alignment vertical="center" wrapText="1"/>
    </xf>
    <xf numFmtId="0" fontId="8" fillId="60" borderId="23" applyAlignment="1" pivotButton="0" quotePrefix="0" xfId="2">
      <alignment vertical="center"/>
    </xf>
    <xf numFmtId="174" fontId="8" fillId="60" borderId="23" pivotButton="0" quotePrefix="0" xfId="0"/>
    <xf numFmtId="174" fontId="29" fillId="60" borderId="23" pivotButton="0" quotePrefix="0" xfId="0"/>
    <xf numFmtId="0" fontId="43" fillId="0" borderId="0" applyAlignment="1" pivotButton="0" quotePrefix="0" xfId="0">
      <alignment horizontal="center"/>
    </xf>
    <xf numFmtId="0" fontId="8" fillId="44" borderId="49" applyAlignment="1" pivotButton="0" quotePrefix="0" xfId="3">
      <alignment horizontal="center" vertical="center"/>
    </xf>
    <xf numFmtId="0" fontId="8" fillId="44" borderId="50" applyAlignment="1" pivotButton="0" quotePrefix="0" xfId="3">
      <alignment horizontal="center" vertical="center"/>
    </xf>
    <xf numFmtId="0" fontId="8" fillId="44" borderId="51" applyAlignment="1" pivotButton="0" quotePrefix="0" xfId="3">
      <alignment horizontal="center" vertical="center"/>
    </xf>
    <xf numFmtId="0" fontId="8" fillId="0" borderId="52" applyAlignment="1" pivotButton="0" quotePrefix="0" xfId="3">
      <alignment horizontal="center" vertical="center"/>
    </xf>
    <xf numFmtId="0" fontId="8" fillId="0" borderId="2" applyAlignment="1" pivotButton="0" quotePrefix="0" xfId="3">
      <alignment horizontal="center" vertical="center"/>
    </xf>
    <xf numFmtId="0" fontId="2" fillId="2" borderId="23" applyAlignment="1" pivotButton="0" quotePrefix="0" xfId="3">
      <alignment horizontal="center" vertical="center" wrapText="1"/>
    </xf>
    <xf numFmtId="0" fontId="3" fillId="2" borderId="23" applyAlignment="1" pivotButton="0" quotePrefix="0" xfId="3">
      <alignment vertical="center" wrapText="1"/>
    </xf>
    <xf numFmtId="0" fontId="3" fillId="2" borderId="23" applyAlignment="1" pivotButton="0" quotePrefix="0" xfId="3">
      <alignment horizontal="center" vertical="top" wrapText="1"/>
    </xf>
    <xf numFmtId="0" fontId="3" fillId="2" borderId="47" applyAlignment="1" pivotButton="0" quotePrefix="0" xfId="3">
      <alignment horizontal="center" vertical="center" wrapText="1"/>
    </xf>
    <xf numFmtId="0" fontId="3" fillId="61" borderId="47" applyAlignment="1" pivotButton="0" quotePrefix="0" xfId="3">
      <alignment vertical="center" wrapText="1"/>
    </xf>
    <xf numFmtId="0" fontId="3" fillId="61" borderId="46" applyAlignment="1" pivotButton="0" quotePrefix="0" xfId="3">
      <alignment vertical="center" wrapText="1"/>
    </xf>
    <xf numFmtId="0" fontId="2" fillId="2" borderId="47" applyAlignment="1" pivotButton="0" quotePrefix="0" xfId="3">
      <alignment horizontal="center" vertical="center" wrapText="1"/>
    </xf>
    <xf numFmtId="9" fontId="3" fillId="2" borderId="47" applyAlignment="1" pivotButton="0" quotePrefix="0" xfId="3">
      <alignment vertical="center" wrapText="1"/>
    </xf>
    <xf numFmtId="0" fontId="3" fillId="2" borderId="37" applyAlignment="1" pivotButton="0" quotePrefix="0" xfId="3">
      <alignment vertical="center" wrapText="1"/>
    </xf>
    <xf numFmtId="0" fontId="3" fillId="61" borderId="47" applyAlignment="1" pivotButton="0" quotePrefix="0" xfId="3">
      <alignment horizontal="center" vertical="center" wrapText="1"/>
    </xf>
    <xf numFmtId="9" fontId="3" fillId="61" borderId="47" applyAlignment="1" pivotButton="0" quotePrefix="0" xfId="3">
      <alignment vertical="center" wrapText="1"/>
    </xf>
    <xf numFmtId="0" fontId="3" fillId="61" borderId="37" applyAlignment="1" pivotButton="0" quotePrefix="0" xfId="3">
      <alignment vertical="center" wrapText="1"/>
    </xf>
    <xf numFmtId="174" fontId="4" fillId="0" borderId="54" applyAlignment="1" pivotButton="0" quotePrefix="0" xfId="2">
      <alignment vertical="center" wrapText="1"/>
    </xf>
    <xf numFmtId="174" fontId="4" fillId="0" borderId="46" applyAlignment="1" pivotButton="0" quotePrefix="0" xfId="2">
      <alignment vertical="center" wrapText="1"/>
    </xf>
    <xf numFmtId="174" fontId="4" fillId="0" borderId="55" applyAlignment="1" pivotButton="0" quotePrefix="0" xfId="2">
      <alignment vertical="center" wrapText="1"/>
    </xf>
    <xf numFmtId="174" fontId="4" fillId="43" borderId="53" applyAlignment="1" pivotButton="0" quotePrefix="0" xfId="2">
      <alignment vertical="center" wrapText="1"/>
    </xf>
    <xf numFmtId="174" fontId="4" fillId="45" borderId="23" applyAlignment="1" pivotButton="0" quotePrefix="0" xfId="2">
      <alignment vertical="center" wrapText="1"/>
    </xf>
    <xf numFmtId="174" fontId="4" fillId="45" borderId="53" applyAlignment="1" pivotButton="0" quotePrefix="0" xfId="2">
      <alignment vertical="center" wrapText="1"/>
    </xf>
    <xf numFmtId="174" fontId="4" fillId="45" borderId="33" applyAlignment="1" pivotButton="0" quotePrefix="0" xfId="2">
      <alignment vertical="center" wrapText="1"/>
    </xf>
    <xf numFmtId="174" fontId="3" fillId="59" borderId="46" applyAlignment="1" pivotButton="0" quotePrefix="0" xfId="2">
      <alignment vertical="center" wrapText="1"/>
    </xf>
    <xf numFmtId="174" fontId="2" fillId="59" borderId="53" applyAlignment="1" pivotButton="0" quotePrefix="0" xfId="2">
      <alignment vertical="center" wrapText="1"/>
    </xf>
    <xf numFmtId="0" fontId="3" fillId="2" borderId="56" applyAlignment="1" pivotButton="0" quotePrefix="0" xfId="3">
      <alignment horizontal="center" vertical="center" wrapText="1"/>
    </xf>
    <xf numFmtId="174" fontId="4" fillId="0" borderId="53" applyAlignment="1" pivotButton="0" quotePrefix="0" xfId="2">
      <alignment vertical="center" wrapText="1"/>
    </xf>
    <xf numFmtId="174" fontId="2" fillId="0" borderId="23" applyAlignment="1" pivotButton="0" quotePrefix="0" xfId="2">
      <alignment vertical="center" wrapText="1"/>
    </xf>
    <xf numFmtId="174" fontId="2" fillId="0" borderId="33" applyAlignment="1" pivotButton="0" quotePrefix="0" xfId="2">
      <alignment vertical="center" wrapText="1"/>
    </xf>
    <xf numFmtId="174" fontId="2" fillId="0" borderId="53" applyAlignment="1" pivotButton="0" quotePrefix="0" xfId="2">
      <alignment vertical="center" wrapText="1"/>
    </xf>
    <xf numFmtId="174" fontId="8" fillId="60" borderId="46" pivotButton="0" quotePrefix="0" xfId="0"/>
    <xf numFmtId="174" fontId="29" fillId="60" borderId="53" pivotButton="0" quotePrefix="0" xfId="0"/>
    <xf numFmtId="0" fontId="8" fillId="0" borderId="0" applyAlignment="1" pivotButton="0" quotePrefix="0" xfId="2">
      <alignment vertical="center"/>
    </xf>
    <xf numFmtId="174" fontId="29" fillId="0" borderId="0" pivotButton="0" quotePrefix="0" xfId="0"/>
    <xf numFmtId="174" fontId="8" fillId="0" borderId="0" pivotButton="0" quotePrefix="0" xfId="0"/>
    <xf numFmtId="0" fontId="3" fillId="2" borderId="23" applyAlignment="1" pivotButton="0" quotePrefix="0" xfId="3">
      <alignment vertical="center"/>
    </xf>
    <xf numFmtId="0" fontId="3" fillId="2" borderId="57" applyAlignment="1" pivotButton="0" quotePrefix="0" xfId="3">
      <alignment vertical="center" wrapText="1"/>
    </xf>
    <xf numFmtId="174" fontId="4" fillId="0" borderId="23" applyAlignment="1" pivotButton="0" quotePrefix="0" xfId="0">
      <alignment wrapText="1"/>
    </xf>
    <xf numFmtId="9" fontId="5" fillId="0" borderId="33" applyAlignment="1" pivotButton="0" quotePrefix="0" xfId="2">
      <alignment vertical="center" wrapText="1"/>
    </xf>
    <xf numFmtId="174" fontId="4" fillId="0" borderId="33" applyAlignment="1" pivotButton="0" quotePrefix="0" xfId="0">
      <alignment wrapText="1"/>
    </xf>
    <xf numFmtId="174" fontId="4" fillId="0" borderId="54" applyAlignment="1" pivotButton="0" quotePrefix="0" xfId="0">
      <alignment wrapText="1"/>
    </xf>
    <xf numFmtId="174" fontId="4" fillId="0" borderId="48" applyAlignment="1" pivotButton="0" quotePrefix="0" xfId="0">
      <alignment wrapText="1"/>
    </xf>
    <xf numFmtId="174" fontId="4" fillId="0" borderId="58" applyAlignment="1" pivotButton="0" quotePrefix="0" xfId="0">
      <alignment wrapText="1"/>
    </xf>
    <xf numFmtId="174" fontId="2" fillId="0" borderId="48" applyAlignment="1" pivotButton="0" quotePrefix="0" xfId="2">
      <alignment vertical="center" wrapText="1"/>
    </xf>
    <xf numFmtId="174" fontId="4" fillId="0" borderId="47" applyAlignment="1" pivotButton="0" quotePrefix="0" xfId="0">
      <alignment wrapText="1"/>
    </xf>
    <xf numFmtId="174" fontId="4" fillId="0" borderId="59" applyAlignment="1" pivotButton="0" quotePrefix="0" xfId="0">
      <alignment wrapText="1"/>
    </xf>
    <xf numFmtId="174" fontId="4" fillId="45" borderId="23" applyAlignment="1" pivotButton="0" quotePrefix="0" xfId="2">
      <alignment horizontal="right" vertical="center" wrapText="1"/>
    </xf>
    <xf numFmtId="0" fontId="2" fillId="0" borderId="23" applyAlignment="1" pivotButton="0" quotePrefix="0" xfId="2">
      <alignment vertical="center" wrapText="1"/>
    </xf>
    <xf numFmtId="0" fontId="2" fillId="0" borderId="46" applyAlignment="1" pivotButton="0" quotePrefix="0" xfId="2">
      <alignment vertical="center" wrapText="1"/>
    </xf>
    <xf numFmtId="0" fontId="2" fillId="0" borderId="47" applyAlignment="1" pivotButton="0" quotePrefix="0" xfId="2">
      <alignment vertical="center" wrapText="1"/>
    </xf>
    <xf numFmtId="0" fontId="2" fillId="0" borderId="57" applyAlignment="1" pivotButton="0" quotePrefix="0" xfId="2">
      <alignment vertical="center" wrapText="1"/>
    </xf>
    <xf numFmtId="174" fontId="4" fillId="45" borderId="47" applyAlignment="1" pivotButton="0" quotePrefix="0" xfId="2">
      <alignment horizontal="right" vertical="center" wrapText="1"/>
    </xf>
    <xf numFmtId="0" fontId="2" fillId="0" borderId="23" pivotButton="0" quotePrefix="0" xfId="0"/>
    <xf numFmtId="174" fontId="3" fillId="59" borderId="58" applyAlignment="1" pivotButton="0" quotePrefix="0" xfId="2">
      <alignment vertical="center" wrapText="1"/>
    </xf>
    <xf numFmtId="174" fontId="3" fillId="59" borderId="47" applyAlignment="1" pivotButton="0" quotePrefix="0" xfId="2">
      <alignment vertical="center" wrapText="1"/>
    </xf>
    <xf numFmtId="0" fontId="45" fillId="2" borderId="23" applyAlignment="1" pivotButton="0" quotePrefix="0" xfId="3">
      <alignment horizontal="center" vertical="center" wrapText="1"/>
    </xf>
    <xf numFmtId="174" fontId="3" fillId="2" borderId="23" applyAlignment="1" pivotButton="0" quotePrefix="0" xfId="3">
      <alignment horizontal="center" vertical="center" wrapText="1"/>
    </xf>
    <xf numFmtId="0" fontId="3" fillId="2" borderId="58" applyAlignment="1" pivotButton="0" quotePrefix="0" xfId="3">
      <alignment vertical="center" wrapText="1"/>
    </xf>
    <xf numFmtId="174" fontId="3" fillId="2" borderId="47" applyAlignment="1" pivotButton="0" quotePrefix="0" xfId="3">
      <alignment horizontal="center" vertical="center" wrapText="1"/>
    </xf>
    <xf numFmtId="169" fontId="4" fillId="0" borderId="23" applyAlignment="1" pivotButton="0" quotePrefix="1" xfId="3">
      <alignment vertical="center" wrapText="1"/>
    </xf>
    <xf numFmtId="174" fontId="4" fillId="0" borderId="23" applyAlignment="1" pivotButton="0" quotePrefix="1" xfId="3">
      <alignment vertical="center" wrapText="1"/>
    </xf>
    <xf numFmtId="169" fontId="4" fillId="0" borderId="46" applyAlignment="1" pivotButton="0" quotePrefix="1" xfId="3">
      <alignment vertical="center" wrapText="1"/>
    </xf>
    <xf numFmtId="169" fontId="4" fillId="0" borderId="58" applyAlignment="1" pivotButton="0" quotePrefix="1" xfId="3">
      <alignment vertical="center" wrapText="1"/>
    </xf>
    <xf numFmtId="174" fontId="8" fillId="60" borderId="58" pivotButton="0" quotePrefix="0" xfId="0"/>
    <xf numFmtId="174" fontId="8" fillId="60" borderId="47" pivotButton="0" quotePrefix="0" xfId="0"/>
    <xf numFmtId="0" fontId="8" fillId="62" borderId="23" applyAlignment="1" pivotButton="0" quotePrefix="0" xfId="2">
      <alignment vertical="center"/>
    </xf>
    <xf numFmtId="174" fontId="8" fillId="62" borderId="23" pivotButton="0" quotePrefix="0" xfId="0"/>
    <xf numFmtId="174" fontId="8" fillId="62" borderId="58" pivotButton="0" quotePrefix="0" xfId="0"/>
    <xf numFmtId="174" fontId="8" fillId="62" borderId="47" pivotButton="0" quotePrefix="0" xfId="0"/>
    <xf numFmtId="174" fontId="2" fillId="0" borderId="0" pivotButton="0" quotePrefix="0" xfId="0"/>
    <xf numFmtId="9" fontId="2" fillId="0" borderId="0" pivotButton="0" quotePrefix="0" xfId="7"/>
    <xf numFmtId="0" fontId="3" fillId="57" borderId="23" applyAlignment="1" pivotButton="0" quotePrefix="0" xfId="3">
      <alignment horizontal="center" vertical="center" wrapText="1"/>
    </xf>
    <xf numFmtId="0" fontId="3" fillId="63" borderId="47" applyAlignment="1" pivotButton="0" quotePrefix="0" xfId="3">
      <alignment horizontal="center" vertical="center" wrapText="1"/>
    </xf>
    <xf numFmtId="9" fontId="3" fillId="63" borderId="47" applyAlignment="1" pivotButton="0" quotePrefix="0" xfId="3">
      <alignment vertical="center" wrapText="1"/>
    </xf>
    <xf numFmtId="0" fontId="3" fillId="63" borderId="47" applyAlignment="1" pivotButton="0" quotePrefix="0" xfId="3">
      <alignment vertical="center" wrapText="1"/>
    </xf>
    <xf numFmtId="0" fontId="2" fillId="0" borderId="60" pivotButton="0" quotePrefix="0" xfId="0"/>
    <xf numFmtId="174" fontId="3" fillId="59" borderId="61" applyAlignment="1" pivotButton="0" quotePrefix="0" xfId="2">
      <alignment vertical="center" wrapText="1"/>
    </xf>
    <xf numFmtId="0" fontId="3" fillId="2" borderId="62" applyAlignment="1" pivotButton="0" quotePrefix="0" xfId="3">
      <alignment vertical="center" wrapText="1"/>
    </xf>
    <xf numFmtId="174" fontId="4" fillId="0" borderId="61" applyAlignment="1" pivotButton="0" quotePrefix="0" xfId="2">
      <alignment vertical="center" wrapText="1"/>
    </xf>
    <xf numFmtId="174" fontId="8" fillId="60" borderId="61" pivotButton="0" quotePrefix="0" xfId="0"/>
    <xf numFmtId="0" fontId="3" fillId="2" borderId="61" applyAlignment="1" pivotButton="0" quotePrefix="0" xfId="3">
      <alignment vertical="center" wrapText="1"/>
    </xf>
    <xf numFmtId="9" fontId="4" fillId="0" borderId="23" applyAlignment="1" pivotButton="0" quotePrefix="0" xfId="2">
      <alignment vertical="center" wrapText="1"/>
    </xf>
    <xf numFmtId="0" fontId="3" fillId="2" borderId="23" applyAlignment="1" pivotButton="0" quotePrefix="0" xfId="3">
      <alignment horizontal="center" vertical="center" wrapText="1"/>
    </xf>
    <xf numFmtId="0" fontId="3" fillId="2" borderId="46" applyAlignment="1" pivotButton="0" quotePrefix="0" xfId="3">
      <alignment horizontal="left" vertical="center"/>
    </xf>
    <xf numFmtId="0" fontId="3" fillId="2" borderId="37" applyAlignment="1" pivotButton="0" quotePrefix="0" xfId="3">
      <alignment horizontal="center" vertical="center"/>
    </xf>
    <xf numFmtId="0" fontId="3" fillId="2" borderId="23" applyAlignment="1" pivotButton="0" quotePrefix="0" xfId="3">
      <alignment horizontal="left" vertical="center" wrapText="1"/>
    </xf>
    <xf numFmtId="0" fontId="3" fillId="2" borderId="47" applyAlignment="1" pivotButton="0" quotePrefix="0" xfId="3">
      <alignment horizontal="left" vertical="center" wrapText="1"/>
    </xf>
    <xf numFmtId="0" fontId="4" fillId="0" borderId="23" applyAlignment="1" pivotButton="0" quotePrefix="1" xfId="0">
      <alignment horizontal="center"/>
    </xf>
    <xf numFmtId="164" fontId="2" fillId="0" borderId="23" applyAlignment="1" pivotButton="0" quotePrefix="0" xfId="6">
      <alignment vertical="center" wrapText="1"/>
    </xf>
    <xf numFmtId="164" fontId="4" fillId="0" borderId="23" applyAlignment="1" pivotButton="0" quotePrefix="0" xfId="6">
      <alignment vertical="center" wrapText="1"/>
    </xf>
    <xf numFmtId="164" fontId="2" fillId="0" borderId="23" pivotButton="0" quotePrefix="0" xfId="6"/>
    <xf numFmtId="164" fontId="2" fillId="0" borderId="23" applyAlignment="1" pivotButton="0" quotePrefix="0" xfId="6">
      <alignment horizontal="left" vertical="center" wrapText="1"/>
    </xf>
    <xf numFmtId="0" fontId="2" fillId="0" borderId="23" applyAlignment="1" pivotButton="0" quotePrefix="0" xfId="2">
      <alignment horizontal="left" vertical="center" wrapText="1" indent="1"/>
    </xf>
    <xf numFmtId="169" fontId="4" fillId="0" borderId="23" applyAlignment="1" pivotButton="0" quotePrefix="1" xfId="2">
      <alignment horizontal="center" vertical="center" wrapText="1"/>
    </xf>
    <xf numFmtId="0" fontId="2" fillId="0" borderId="23" applyAlignment="1" pivotButton="0" quotePrefix="0" xfId="0">
      <alignment horizontal="left"/>
    </xf>
    <xf numFmtId="169" fontId="4" fillId="0" borderId="23" applyAlignment="1" pivotButton="0" quotePrefix="0" xfId="2">
      <alignment horizontal="center" vertical="center" wrapText="1"/>
    </xf>
    <xf numFmtId="164" fontId="4" fillId="0" borderId="23" applyAlignment="1" pivotButton="0" quotePrefix="0" xfId="6">
      <alignment vertical="center" wrapText="1"/>
    </xf>
    <xf numFmtId="164" fontId="4" fillId="0" borderId="23" applyAlignment="1" pivotButton="0" quotePrefix="0" xfId="6">
      <alignment horizontal="left" vertical="center" wrapText="1"/>
    </xf>
    <xf numFmtId="169" fontId="6" fillId="59" borderId="23" applyAlignment="1" pivotButton="0" quotePrefix="0" xfId="2">
      <alignment horizontal="center" vertical="center" wrapText="1"/>
    </xf>
    <xf numFmtId="164" fontId="3" fillId="59" borderId="23" applyAlignment="1" pivotButton="0" quotePrefix="0" xfId="6">
      <alignment vertical="center" wrapText="1"/>
    </xf>
    <xf numFmtId="164" fontId="3" fillId="59" borderId="23" applyAlignment="1" pivotButton="0" quotePrefix="0" xfId="6">
      <alignment horizontal="left" vertical="center" wrapText="1"/>
    </xf>
    <xf numFmtId="164" fontId="3" fillId="2" borderId="23" applyAlignment="1" pivotButton="0" quotePrefix="0" xfId="6">
      <alignment horizontal="center" vertical="center" wrapText="1"/>
    </xf>
    <xf numFmtId="164" fontId="3" fillId="2" borderId="23" applyAlignment="1" pivotButton="0" quotePrefix="0" xfId="6">
      <alignment horizontal="left" vertical="center" wrapText="1"/>
    </xf>
    <xf numFmtId="164" fontId="2" fillId="0" borderId="23" applyAlignment="1" pivotButton="0" quotePrefix="0" xfId="6">
      <alignment vertical="center" wrapText="1"/>
    </xf>
    <xf numFmtId="0" fontId="2" fillId="0" borderId="0" applyAlignment="1" pivotButton="0" quotePrefix="0" xfId="0">
      <alignment horizontal="left"/>
    </xf>
    <xf numFmtId="164" fontId="4" fillId="45" borderId="23" applyAlignment="1" pivotButton="0" quotePrefix="0" xfId="6">
      <alignment vertical="center" wrapText="1"/>
    </xf>
    <xf numFmtId="164" fontId="4" fillId="45" borderId="23" applyAlignment="1" pivotButton="0" quotePrefix="0" xfId="6">
      <alignment horizontal="left" vertical="center" wrapText="1"/>
    </xf>
    <xf numFmtId="164" fontId="2" fillId="45" borderId="23" applyAlignment="1" pivotButton="0" quotePrefix="0" xfId="6">
      <alignment vertical="center" wrapText="1"/>
    </xf>
    <xf numFmtId="164" fontId="2" fillId="45" borderId="23" applyAlignment="1" pivotButton="0" quotePrefix="0" xfId="6">
      <alignment horizontal="left" vertical="center" wrapText="1"/>
    </xf>
    <xf numFmtId="0" fontId="29" fillId="0" borderId="0" applyAlignment="1" pivotButton="0" quotePrefix="0" xfId="0">
      <alignment horizontal="center"/>
    </xf>
    <xf numFmtId="164" fontId="8" fillId="0" borderId="0" pivotButton="0" quotePrefix="0" xfId="6"/>
    <xf numFmtId="164" fontId="8" fillId="0" borderId="0" applyAlignment="1" pivotButton="0" quotePrefix="0" xfId="6">
      <alignment horizontal="left"/>
    </xf>
    <xf numFmtId="164" fontId="8" fillId="0" borderId="23" pivotButton="0" quotePrefix="0" xfId="6"/>
    <xf numFmtId="164" fontId="2" fillId="0" borderId="0" applyAlignment="1" pivotButton="0" quotePrefix="0" xfId="6">
      <alignment horizontal="left"/>
    </xf>
    <xf numFmtId="164" fontId="3" fillId="2" borderId="47" applyAlignment="1" pivotButton="0" quotePrefix="0" xfId="6">
      <alignment horizontal="center" vertical="center" wrapText="1"/>
    </xf>
    <xf numFmtId="169" fontId="4" fillId="0" borderId="0" applyAlignment="1" pivotButton="0" quotePrefix="0" xfId="0">
      <alignment horizontal="center"/>
    </xf>
    <xf numFmtId="164" fontId="2" fillId="0" borderId="33" applyAlignment="1" pivotButton="0" quotePrefix="0" xfId="6">
      <alignment vertical="center" wrapText="1"/>
    </xf>
    <xf numFmtId="169" fontId="4" fillId="0" borderId="47" applyAlignment="1" pivotButton="0" quotePrefix="0" xfId="2">
      <alignment horizontal="center" vertical="center" wrapText="1"/>
    </xf>
    <xf numFmtId="164" fontId="4" fillId="0" borderId="31" applyAlignment="1" pivotButton="0" quotePrefix="0" xfId="6">
      <alignment vertical="center" wrapText="1"/>
    </xf>
    <xf numFmtId="0" fontId="6" fillId="2" borderId="23" applyAlignment="1" pivotButton="0" quotePrefix="0" xfId="3">
      <alignment horizontal="center" vertical="center" wrapText="1"/>
    </xf>
    <xf numFmtId="0" fontId="8" fillId="60" borderId="33" applyAlignment="1" pivotButton="0" quotePrefix="0" xfId="2">
      <alignment vertical="center"/>
    </xf>
    <xf numFmtId="0" fontId="29" fillId="60" borderId="33" applyAlignment="1" pivotButton="0" quotePrefix="0" xfId="0">
      <alignment horizontal="center"/>
    </xf>
    <xf numFmtId="164" fontId="8" fillId="60" borderId="33" pivotButton="0" quotePrefix="0" xfId="6"/>
    <xf numFmtId="164" fontId="8" fillId="60" borderId="33" applyAlignment="1" pivotButton="0" quotePrefix="0" xfId="6">
      <alignment horizontal="left"/>
    </xf>
    <xf numFmtId="0" fontId="6" fillId="0" borderId="0" applyAlignment="1" pivotButton="0" quotePrefix="0" xfId="0">
      <alignment horizontal="center"/>
    </xf>
    <xf numFmtId="0" fontId="3" fillId="58" borderId="31" applyAlignment="1" pivotButton="0" quotePrefix="0" xfId="3">
      <alignment horizontal="center" vertical="center" wrapText="1"/>
    </xf>
    <xf numFmtId="9" fontId="3" fillId="58" borderId="31" applyAlignment="1" pivotButton="0" quotePrefix="0" xfId="3">
      <alignment vertical="center" wrapText="1"/>
    </xf>
    <xf numFmtId="0" fontId="3" fillId="58" borderId="31" applyAlignment="1" pivotButton="0" quotePrefix="0" xfId="3">
      <alignment vertical="center" wrapText="1"/>
    </xf>
    <xf numFmtId="0" fontId="56" fillId="5" borderId="0" applyAlignment="1" pivotButton="0" quotePrefix="0" xfId="0">
      <alignment horizontal="center"/>
    </xf>
    <xf numFmtId="9" fontId="4" fillId="0" borderId="47" applyAlignment="1" pivotButton="0" quotePrefix="0" xfId="2">
      <alignment vertical="center" wrapText="1"/>
    </xf>
    <xf numFmtId="9" fontId="4" fillId="0" borderId="70" applyAlignment="1" pivotButton="0" quotePrefix="0" xfId="2">
      <alignment vertical="center" wrapText="1"/>
    </xf>
    <xf numFmtId="174" fontId="4" fillId="0" borderId="71" applyAlignment="1" pivotButton="0" quotePrefix="0" xfId="2">
      <alignment vertical="center" wrapText="1"/>
    </xf>
    <xf numFmtId="0" fontId="2" fillId="0" borderId="61" pivotButton="0" quotePrefix="0" xfId="0"/>
    <xf numFmtId="174" fontId="8" fillId="62" borderId="61" pivotButton="0" quotePrefix="0" xfId="0"/>
    <xf numFmtId="174" fontId="3" fillId="59" borderId="64" applyAlignment="1" pivotButton="0" quotePrefix="0" xfId="2">
      <alignment vertical="center" wrapText="1"/>
    </xf>
    <xf numFmtId="174" fontId="3" fillId="59" borderId="67" applyAlignment="1" pivotButton="0" quotePrefix="0" xfId="2">
      <alignment vertical="center" wrapText="1"/>
    </xf>
    <xf numFmtId="174" fontId="3" fillId="59" borderId="68" applyAlignment="1" pivotButton="0" quotePrefix="0" xfId="2">
      <alignment vertical="center" wrapText="1"/>
    </xf>
    <xf numFmtId="0" fontId="2" fillId="0" borderId="0" applyAlignment="1" pivotButton="0" quotePrefix="0" xfId="2">
      <alignment horizontal="left" vertical="center" indent="1"/>
    </xf>
    <xf numFmtId="0" fontId="0" fillId="0" borderId="0" applyAlignment="1" pivotButton="0" quotePrefix="1" xfId="0">
      <alignment horizontal="center"/>
    </xf>
    <xf numFmtId="0" fontId="0" fillId="0" borderId="23" pivotButton="0" quotePrefix="0" xfId="0"/>
    <xf numFmtId="0" fontId="56" fillId="4" borderId="0" applyAlignment="1" pivotButton="0" quotePrefix="0" xfId="0">
      <alignment horizontal="center"/>
    </xf>
    <xf numFmtId="0" fontId="8" fillId="64" borderId="0" pivotButton="0" quotePrefix="0" xfId="0"/>
    <xf numFmtId="0" fontId="3" fillId="4" borderId="0" pivotButton="0" quotePrefix="0" xfId="0"/>
    <xf numFmtId="164" fontId="3" fillId="4" borderId="0" pivotButton="0" quotePrefix="0" xfId="0"/>
    <xf numFmtId="164" fontId="0" fillId="0" borderId="36" applyAlignment="1" pivotButton="0" quotePrefix="0" xfId="6">
      <alignment vertical="top"/>
    </xf>
    <xf numFmtId="0" fontId="79" fillId="0" borderId="0" pivotButton="0" quotePrefix="0" xfId="0"/>
    <xf numFmtId="0" fontId="80" fillId="65" borderId="0" pivotButton="0" quotePrefix="0" xfId="0"/>
    <xf numFmtId="4" fontId="79" fillId="0" borderId="0" pivotButton="0" quotePrefix="0" xfId="0"/>
    <xf numFmtId="0" fontId="80" fillId="66" borderId="0" pivotButton="0" quotePrefix="0" xfId="0"/>
    <xf numFmtId="4" fontId="80" fillId="66" borderId="0" pivotButton="0" quotePrefix="0" xfId="0"/>
    <xf numFmtId="0" fontId="80" fillId="67" borderId="0" pivotButton="0" quotePrefix="0" xfId="0"/>
    <xf numFmtId="4" fontId="80" fillId="67" borderId="0" pivotButton="0" quotePrefix="0" xfId="0"/>
    <xf numFmtId="0" fontId="79" fillId="68" borderId="0" pivotButton="0" quotePrefix="0" xfId="0"/>
    <xf numFmtId="0" fontId="0" fillId="68" borderId="0" pivotButton="0" quotePrefix="0" xfId="0"/>
    <xf numFmtId="4" fontId="79" fillId="53" borderId="0" pivotButton="0" quotePrefix="0" xfId="0"/>
    <xf numFmtId="0" fontId="0" fillId="53" borderId="0" pivotButton="0" quotePrefix="0" xfId="0"/>
    <xf numFmtId="0" fontId="79" fillId="53" borderId="0" pivotButton="0" quotePrefix="0" xfId="0"/>
    <xf numFmtId="0" fontId="3" fillId="43" borderId="33" applyAlignment="1" pivotButton="0" quotePrefix="0" xfId="3">
      <alignment vertical="center" wrapText="1"/>
    </xf>
    <xf numFmtId="0" fontId="2" fillId="0" borderId="73" pivotButton="0" quotePrefix="0" xfId="0"/>
    <xf numFmtId="0" fontId="3" fillId="43" borderId="48" applyAlignment="1" pivotButton="0" quotePrefix="0" xfId="3">
      <alignment horizontal="center" vertical="center" wrapText="1"/>
    </xf>
    <xf numFmtId="0" fontId="3" fillId="58" borderId="3" applyAlignment="1" pivotButton="0" quotePrefix="0" xfId="3">
      <alignment horizontal="center" vertical="center" wrapText="1"/>
    </xf>
    <xf numFmtId="174" fontId="4" fillId="0" borderId="70" applyAlignment="1" pivotButton="0" quotePrefix="0" xfId="2">
      <alignment vertical="center" wrapText="1"/>
    </xf>
    <xf numFmtId="0" fontId="3" fillId="57" borderId="74" applyAlignment="1" pivotButton="0" quotePrefix="0" xfId="3">
      <alignment vertical="center" wrapText="1"/>
    </xf>
    <xf numFmtId="174" fontId="4" fillId="0" borderId="75" applyAlignment="1" pivotButton="0" quotePrefix="0" xfId="2">
      <alignment vertical="center" wrapText="1"/>
    </xf>
    <xf numFmtId="174" fontId="2" fillId="0" borderId="47" pivotButton="0" quotePrefix="0" xfId="0"/>
    <xf numFmtId="174" fontId="4" fillId="0" borderId="37" applyAlignment="1" pivotButton="0" quotePrefix="0" xfId="2">
      <alignment vertical="center" wrapText="1"/>
    </xf>
    <xf numFmtId="174" fontId="3" fillId="59" borderId="74" applyAlignment="1" pivotButton="0" quotePrefix="0" xfId="2">
      <alignment vertical="center" wrapText="1"/>
    </xf>
    <xf numFmtId="174" fontId="8" fillId="60" borderId="74" pivotButton="0" quotePrefix="0" xfId="0"/>
    <xf numFmtId="174" fontId="8" fillId="62" borderId="74" pivotButton="0" quotePrefix="0" xfId="0"/>
    <xf numFmtId="0" fontId="2" fillId="0" borderId="74" pivotButton="0" quotePrefix="0" xfId="0"/>
    <xf numFmtId="0" fontId="3" fillId="2" borderId="74" applyAlignment="1" pivotButton="0" quotePrefix="0" xfId="3">
      <alignment vertical="center" wrapText="1"/>
    </xf>
    <xf numFmtId="174" fontId="4" fillId="0" borderId="74" applyAlignment="1" pivotButton="0" quotePrefix="0" xfId="2">
      <alignment vertical="center" wrapText="1"/>
    </xf>
    <xf numFmtId="0" fontId="3" fillId="2" borderId="76" applyAlignment="1" pivotButton="0" quotePrefix="0" xfId="3">
      <alignment vertical="center" wrapText="1"/>
    </xf>
    <xf numFmtId="0" fontId="2" fillId="0" borderId="79" pivotButton="0" quotePrefix="0" xfId="0"/>
    <xf numFmtId="174" fontId="3" fillId="59" borderId="80" applyAlignment="1" pivotButton="0" quotePrefix="0" xfId="2">
      <alignment vertical="center" wrapText="1"/>
    </xf>
    <xf numFmtId="174" fontId="3" fillId="59" borderId="81" applyAlignment="1" pivotButton="0" quotePrefix="0" xfId="2">
      <alignment vertical="center" wrapText="1"/>
    </xf>
    <xf numFmtId="174" fontId="3" fillId="59" borderId="82" applyAlignment="1" pivotButton="0" quotePrefix="0" xfId="2">
      <alignment vertical="center" wrapText="1"/>
    </xf>
    <xf numFmtId="0" fontId="3" fillId="58" borderId="77" applyAlignment="1" pivotButton="0" quotePrefix="0" xfId="3">
      <alignment vertical="center" wrapText="1"/>
    </xf>
    <xf numFmtId="174" fontId="4" fillId="0" borderId="83" applyAlignment="1" pivotButton="0" quotePrefix="0" xfId="2">
      <alignment vertical="center" wrapText="1"/>
    </xf>
    <xf numFmtId="0" fontId="3" fillId="43" borderId="84" applyAlignment="1" pivotButton="0" quotePrefix="0" xfId="3">
      <alignment vertical="center" wrapText="1"/>
    </xf>
    <xf numFmtId="0" fontId="2" fillId="0" borderId="85" pivotButton="0" quotePrefix="0" xfId="0"/>
    <xf numFmtId="0" fontId="3" fillId="0" borderId="86" applyAlignment="1" pivotButton="0" quotePrefix="0" xfId="3">
      <alignment vertical="center" wrapText="1"/>
    </xf>
    <xf numFmtId="174" fontId="4" fillId="0" borderId="86" applyAlignment="1" pivotButton="0" quotePrefix="0" xfId="2">
      <alignment vertical="center" wrapText="1"/>
    </xf>
    <xf numFmtId="174" fontId="3" fillId="0" borderId="86" applyAlignment="1" pivotButton="0" quotePrefix="0" xfId="2">
      <alignment vertical="center" wrapText="1"/>
    </xf>
    <xf numFmtId="174" fontId="8" fillId="0" borderId="86" pivotButton="0" quotePrefix="0" xfId="0"/>
    <xf numFmtId="0" fontId="2" fillId="0" borderId="86" pivotButton="0" quotePrefix="0" xfId="0"/>
    <xf numFmtId="174" fontId="4" fillId="0" borderId="86" applyAlignment="1" pivotButton="0" quotePrefix="1" xfId="3">
      <alignment horizontal="center" vertical="center" wrapText="1"/>
    </xf>
    <xf numFmtId="0" fontId="3" fillId="63" borderId="48" applyAlignment="1" pivotButton="0" quotePrefix="0" xfId="3">
      <alignment horizontal="center" vertical="center" wrapText="1"/>
    </xf>
    <xf numFmtId="0" fontId="3" fillId="63" borderId="33" applyAlignment="1" pivotButton="0" quotePrefix="0" xfId="3">
      <alignment vertical="center" wrapText="1"/>
    </xf>
    <xf numFmtId="0" fontId="2" fillId="0" borderId="87" pivotButton="0" quotePrefix="0" xfId="0"/>
    <xf numFmtId="0" fontId="3" fillId="63" borderId="66" applyAlignment="1" pivotButton="0" quotePrefix="0" xfId="3">
      <alignment vertical="center" wrapText="1"/>
    </xf>
    <xf numFmtId="0" fontId="3" fillId="63" borderId="61" applyAlignment="1" pivotButton="0" quotePrefix="0" xfId="3">
      <alignment vertical="center" wrapText="1"/>
    </xf>
    <xf numFmtId="174" fontId="4" fillId="0" borderId="63" applyAlignment="1" pivotButton="0" quotePrefix="0" xfId="2">
      <alignment vertical="center" wrapText="1"/>
    </xf>
    <xf numFmtId="0" fontId="8" fillId="3" borderId="0" applyAlignment="1" pivotButton="0" quotePrefix="0" xfId="0">
      <alignment horizontal="left" vertical="top" wrapText="1"/>
    </xf>
    <xf numFmtId="0" fontId="81" fillId="65" borderId="0" pivotButton="0" quotePrefix="0" xfId="0"/>
    <xf numFmtId="164" fontId="2" fillId="0" borderId="23" pivotButton="0" quotePrefix="0" xfId="6"/>
    <xf numFmtId="0" fontId="0" fillId="0" borderId="23" applyAlignment="1" pivotButton="0" quotePrefix="0" xfId="0">
      <alignment wrapText="1"/>
    </xf>
    <xf numFmtId="0" fontId="2" fillId="0" borderId="23" applyAlignment="1" pivotButton="0" quotePrefix="0" xfId="0">
      <alignment horizontal="left" wrapText="1"/>
    </xf>
    <xf numFmtId="0" fontId="8" fillId="60" borderId="23" applyAlignment="1" pivotButton="0" quotePrefix="0" xfId="2">
      <alignment vertical="top"/>
    </xf>
    <xf numFmtId="0" fontId="29" fillId="60" borderId="23" applyAlignment="1" pivotButton="0" quotePrefix="0" xfId="0">
      <alignment horizontal="center" vertical="top"/>
    </xf>
    <xf numFmtId="164" fontId="8" fillId="60" borderId="23" applyAlignment="1" pivotButton="0" quotePrefix="0" xfId="6">
      <alignment vertical="top"/>
    </xf>
    <xf numFmtId="164" fontId="8" fillId="60" borderId="23" applyAlignment="1" pivotButton="0" quotePrefix="0" xfId="6">
      <alignment horizontal="left" vertical="top" wrapText="1"/>
    </xf>
    <xf numFmtId="0" fontId="2" fillId="0" borderId="0" applyAlignment="1" pivotButton="0" quotePrefix="0" xfId="0">
      <alignment vertical="top"/>
    </xf>
    <xf numFmtId="0" fontId="8" fillId="60" borderId="31" applyAlignment="1" pivotButton="0" quotePrefix="0" xfId="2">
      <alignment vertical="top"/>
    </xf>
    <xf numFmtId="0" fontId="29" fillId="60" borderId="31" applyAlignment="1" pivotButton="0" quotePrefix="0" xfId="0">
      <alignment horizontal="center" vertical="top"/>
    </xf>
    <xf numFmtId="164" fontId="8" fillId="60" borderId="31" applyAlignment="1" pivotButton="0" quotePrefix="0" xfId="6">
      <alignment vertical="top"/>
    </xf>
    <xf numFmtId="164" fontId="8" fillId="60" borderId="31" applyAlignment="1" pivotButton="0" quotePrefix="0" xfId="6">
      <alignment horizontal="left" vertical="top" wrapText="1"/>
    </xf>
    <xf numFmtId="164" fontId="58" fillId="0" borderId="0" pivotButton="0" quotePrefix="0" xfId="6"/>
    <xf numFmtId="169" fontId="0" fillId="0" borderId="0" pivotButton="0" quotePrefix="0" xfId="0"/>
    <xf numFmtId="169" fontId="56" fillId="0" borderId="0" applyAlignment="1" pivotButton="0" quotePrefix="0" xfId="0">
      <alignment horizontal="center"/>
    </xf>
    <xf numFmtId="169" fontId="5" fillId="0" borderId="0" pivotButton="0" quotePrefix="0" xfId="0"/>
    <xf numFmtId="174" fontId="61" fillId="53" borderId="0" pivotButton="0" quotePrefix="0" xfId="0"/>
    <xf numFmtId="0" fontId="0" fillId="53" borderId="2" pivotButton="0" quotePrefix="0" xfId="0"/>
    <xf numFmtId="164" fontId="2" fillId="43" borderId="0" pivotButton="0" quotePrefix="0" xfId="6"/>
    <xf numFmtId="4" fontId="0" fillId="43" borderId="0" pivotButton="0" quotePrefix="0" xfId="0"/>
    <xf numFmtId="164" fontId="3" fillId="43" borderId="0" pivotButton="0" quotePrefix="0" xfId="6"/>
    <xf numFmtId="169" fontId="34" fillId="0" borderId="0" pivotButton="0" quotePrefix="0" xfId="0"/>
    <xf numFmtId="164" fontId="82" fillId="0" borderId="0" pivotButton="0" quotePrefix="1" xfId="6"/>
    <xf numFmtId="171" fontId="56" fillId="0" borderId="0" applyAlignment="1" pivotButton="0" quotePrefix="0" xfId="0">
      <alignment horizontal="center"/>
    </xf>
    <xf numFmtId="0" fontId="3" fillId="49" borderId="0" applyAlignment="1" pivotButton="0" quotePrefix="0" xfId="0">
      <alignment horizontal="center"/>
    </xf>
    <xf numFmtId="0" fontId="3" fillId="49" borderId="0" pivotButton="0" quotePrefix="0" xfId="0"/>
    <xf numFmtId="164" fontId="3" fillId="49" borderId="0" pivotButton="0" quotePrefix="0" xfId="6"/>
    <xf numFmtId="0" fontId="0" fillId="49" borderId="0" pivotButton="0" quotePrefix="0" xfId="0"/>
    <xf numFmtId="164" fontId="0" fillId="49" borderId="0" pivotButton="0" quotePrefix="0" xfId="0"/>
    <xf numFmtId="0" fontId="61" fillId="0" borderId="0" applyAlignment="1" pivotButton="0" quotePrefix="0" xfId="0">
      <alignment horizontal="right"/>
    </xf>
    <xf numFmtId="10" fontId="61" fillId="0" borderId="0" pivotButton="0" quotePrefix="0" xfId="7"/>
    <xf numFmtId="0" fontId="3" fillId="55" borderId="0" applyAlignment="1" pivotButton="0" quotePrefix="0" xfId="0">
      <alignment horizontal="center"/>
    </xf>
    <xf numFmtId="0" fontId="3" fillId="55" borderId="0" pivotButton="0" quotePrefix="0" xfId="0"/>
    <xf numFmtId="164" fontId="3" fillId="55" borderId="0" pivotButton="0" quotePrefix="0" xfId="6"/>
    <xf numFmtId="0" fontId="3" fillId="55" borderId="88" applyAlignment="1" pivotButton="0" quotePrefix="0" xfId="0">
      <alignment horizontal="center"/>
    </xf>
    <xf numFmtId="0" fontId="0" fillId="55" borderId="88" pivotButton="0" quotePrefix="0" xfId="0"/>
    <xf numFmtId="164" fontId="0" fillId="55" borderId="88" pivotButton="0" quotePrefix="0" xfId="0"/>
    <xf numFmtId="164" fontId="0" fillId="55" borderId="40" pivotButton="0" quotePrefix="0" xfId="0"/>
    <xf numFmtId="0" fontId="0" fillId="55" borderId="41" pivotButton="0" quotePrefix="0" xfId="0"/>
    <xf numFmtId="0" fontId="0" fillId="55" borderId="0" pivotButton="0" quotePrefix="0" xfId="0"/>
    <xf numFmtId="0" fontId="61" fillId="49" borderId="24" applyAlignment="1" pivotButton="0" quotePrefix="0" xfId="0">
      <alignment horizontal="right"/>
    </xf>
    <xf numFmtId="0" fontId="61" fillId="49" borderId="39" applyAlignment="1" pivotButton="0" quotePrefix="0" xfId="0">
      <alignment horizontal="right"/>
    </xf>
    <xf numFmtId="10" fontId="61" fillId="49" borderId="40" pivotButton="0" quotePrefix="0" xfId="7"/>
    <xf numFmtId="164" fontId="82" fillId="0" borderId="0" pivotButton="0" quotePrefix="0" xfId="6"/>
    <xf numFmtId="0" fontId="0" fillId="53" borderId="23" pivotButton="0" quotePrefix="0" xfId="0"/>
    <xf numFmtId="0" fontId="3" fillId="53" borderId="0" pivotButton="0" quotePrefix="0" xfId="0"/>
    <xf numFmtId="0" fontId="3" fillId="0" borderId="23" pivotButton="0" quotePrefix="0" xfId="0"/>
    <xf numFmtId="9" fontId="3" fillId="0" borderId="23" pivotButton="0" quotePrefix="0" xfId="0"/>
    <xf numFmtId="0" fontId="3" fillId="53" borderId="23" pivotButton="0" quotePrefix="0" xfId="0"/>
    <xf numFmtId="0" fontId="0" fillId="10" borderId="0" pivotButton="0" quotePrefix="0" xfId="0"/>
    <xf numFmtId="0" fontId="34" fillId="0" borderId="0" pivotButton="0" quotePrefix="0" xfId="0"/>
    <xf numFmtId="0" fontId="84" fillId="0" borderId="0" pivotButton="0" quotePrefix="0" xfId="0"/>
    <xf numFmtId="164" fontId="56" fillId="0" borderId="0" pivotButton="0" quotePrefix="0" xfId="6"/>
    <xf numFmtId="164" fontId="61" fillId="0" borderId="42" pivotButton="0" quotePrefix="0" xfId="6"/>
    <xf numFmtId="0" fontId="0" fillId="11" borderId="0" pivotButton="0" quotePrefix="0" xfId="0"/>
    <xf numFmtId="164" fontId="76" fillId="11" borderId="0" pivotButton="0" quotePrefix="0" xfId="6"/>
    <xf numFmtId="164" fontId="6" fillId="11" borderId="0" pivotButton="0" quotePrefix="0" xfId="6"/>
    <xf numFmtId="0" fontId="3" fillId="61" borderId="0" pivotButton="0" quotePrefix="0" xfId="0"/>
    <xf numFmtId="0" fontId="0" fillId="61" borderId="0" pivotButton="0" quotePrefix="0" xfId="0"/>
    <xf numFmtId="164" fontId="0" fillId="61" borderId="0" pivotButton="0" quotePrefix="0" xfId="0"/>
    <xf numFmtId="0" fontId="61" fillId="0" borderId="0" applyAlignment="1" pivotButton="0" quotePrefix="0" xfId="0">
      <alignment horizontal="center"/>
    </xf>
    <xf numFmtId="164" fontId="64" fillId="0" borderId="0" pivotButton="0" quotePrefix="0" xfId="6"/>
    <xf numFmtId="164" fontId="57" fillId="0" borderId="0" pivotButton="0" quotePrefix="0" xfId="6"/>
    <xf numFmtId="164" fontId="57" fillId="0" borderId="0" pivotButton="0" quotePrefix="0" xfId="6"/>
    <xf numFmtId="164" fontId="0" fillId="11" borderId="0" pivotButton="0" quotePrefix="0" xfId="0"/>
    <xf numFmtId="164" fontId="68" fillId="8" borderId="38" pivotButton="0" quotePrefix="0" xfId="6"/>
    <xf numFmtId="164" fontId="12" fillId="55" borderId="42" pivotButton="0" quotePrefix="0" xfId="6"/>
    <xf numFmtId="164" fontId="85" fillId="49" borderId="0" pivotButton="0" quotePrefix="0" xfId="0"/>
    <xf numFmtId="164" fontId="69" fillId="49" borderId="38" pivotButton="0" quotePrefix="0" xfId="6"/>
    <xf numFmtId="164" fontId="6" fillId="43" borderId="0" pivotButton="0" quotePrefix="0" xfId="6"/>
    <xf numFmtId="9" fontId="5" fillId="0" borderId="0" pivotButton="0" quotePrefix="0" xfId="0"/>
    <xf numFmtId="164" fontId="84" fillId="0" borderId="0" pivotButton="0" quotePrefix="0" xfId="6"/>
    <xf numFmtId="164" fontId="39" fillId="0" borderId="0" pivotButton="0" quotePrefix="0" xfId="6"/>
    <xf numFmtId="164" fontId="0" fillId="43" borderId="0" pivotButton="0" quotePrefix="0" xfId="6"/>
    <xf numFmtId="164" fontId="0" fillId="11" borderId="0" pivotButton="0" quotePrefix="0" xfId="6"/>
    <xf numFmtId="9" fontId="0" fillId="0" borderId="0" pivotButton="0" quotePrefix="0" xfId="7"/>
    <xf numFmtId="164" fontId="2" fillId="0" borderId="4" applyAlignment="1" pivotButton="0" quotePrefix="0" xfId="6">
      <alignment vertical="top"/>
    </xf>
    <xf numFmtId="164" fontId="2" fillId="0" borderId="0" applyAlignment="1" pivotButton="0" quotePrefix="0" xfId="6">
      <alignment vertical="top"/>
    </xf>
    <xf numFmtId="164" fontId="2" fillId="0" borderId="0" applyAlignment="1" pivotButton="0" quotePrefix="0" xfId="6">
      <alignment vertical="top"/>
    </xf>
    <xf numFmtId="0" fontId="41" fillId="0" borderId="4" applyAlignment="1" pivotButton="0" quotePrefix="0" xfId="0">
      <alignment horizontal="center" vertical="top"/>
    </xf>
    <xf numFmtId="0" fontId="41" fillId="0" borderId="0" applyAlignment="1" pivotButton="0" quotePrefix="0" xfId="0">
      <alignment horizontal="center" vertical="top"/>
    </xf>
    <xf numFmtId="164" fontId="41" fillId="0" borderId="4" applyAlignment="1" pivotButton="0" quotePrefix="0" xfId="6">
      <alignment vertical="top"/>
    </xf>
    <xf numFmtId="164" fontId="41" fillId="0" borderId="0" applyAlignment="1" pivotButton="0" quotePrefix="0" xfId="6">
      <alignment vertical="top"/>
    </xf>
    <xf numFmtId="164" fontId="41" fillId="0" borderId="0" applyAlignment="1" pivotButton="0" quotePrefix="0" xfId="6">
      <alignment vertical="top"/>
    </xf>
    <xf numFmtId="0" fontId="6" fillId="0" borderId="0" applyAlignment="1" pivotButton="0" quotePrefix="0" xfId="0">
      <alignment horizontal="left" indent="1"/>
    </xf>
    <xf numFmtId="164" fontId="59" fillId="43" borderId="42" pivotButton="0" quotePrefix="0" xfId="6"/>
    <xf numFmtId="164" fontId="60" fillId="0" borderId="0" pivotButton="0" quotePrefix="0" xfId="6"/>
    <xf numFmtId="164" fontId="61" fillId="5" borderId="89" pivotButton="0" quotePrefix="0" xfId="6"/>
    <xf numFmtId="164" fontId="2" fillId="0" borderId="0" pivotButton="0" quotePrefix="0" xfId="0"/>
    <xf numFmtId="0" fontId="0" fillId="0" borderId="87" pivotButton="0" quotePrefix="0" xfId="0"/>
    <xf numFmtId="174" fontId="0" fillId="59" borderId="47" applyAlignment="1" pivotButton="0" quotePrefix="0" xfId="2">
      <alignment vertical="center" wrapText="1"/>
    </xf>
    <xf numFmtId="174" fontId="0" fillId="59" borderId="23" applyAlignment="1" pivotButton="0" quotePrefix="0" xfId="2">
      <alignment vertical="center" wrapText="1"/>
    </xf>
    <xf numFmtId="174" fontId="0" fillId="0" borderId="47" applyAlignment="1" pivotButton="0" quotePrefix="0" xfId="2">
      <alignment vertical="center" wrapText="1"/>
    </xf>
    <xf numFmtId="0" fontId="0" fillId="0" borderId="60" pivotButton="0" quotePrefix="0" xfId="0"/>
    <xf numFmtId="174" fontId="0" fillId="0" borderId="48" applyAlignment="1" pivotButton="0" quotePrefix="0" xfId="2">
      <alignment vertical="center" wrapText="1"/>
    </xf>
    <xf numFmtId="0" fontId="0" fillId="0" borderId="23" applyAlignment="1" pivotButton="0" quotePrefix="0" xfId="2">
      <alignment vertical="center" wrapText="1"/>
    </xf>
    <xf numFmtId="0" fontId="0" fillId="0" borderId="61" pivotButton="0" quotePrefix="0" xfId="0"/>
    <xf numFmtId="174" fontId="4" fillId="0" borderId="23" applyAlignment="1" pivotButton="0" quotePrefix="0" xfId="3">
      <alignment vertical="center" wrapText="1"/>
    </xf>
    <xf numFmtId="164" fontId="56" fillId="43" borderId="0" pivotButton="0" quotePrefix="0" xfId="6"/>
    <xf numFmtId="0" fontId="3" fillId="4" borderId="4" applyAlignment="1" pivotButton="0" quotePrefix="0" xfId="0">
      <alignment horizontal="center" vertical="top" wrapText="1"/>
    </xf>
    <xf numFmtId="0" fontId="3" fillId="4" borderId="0" applyAlignment="1" pivotButton="0" quotePrefix="0" xfId="0">
      <alignment horizontal="center" vertical="top"/>
    </xf>
    <xf numFmtId="0" fontId="3" fillId="4" borderId="36" applyAlignment="1" pivotButton="0" quotePrefix="0" xfId="0">
      <alignment horizontal="center" vertical="top"/>
    </xf>
    <xf numFmtId="0" fontId="13" fillId="44" borderId="0" applyAlignment="1" pivotButton="0" quotePrefix="0" xfId="0">
      <alignment horizontal="center" vertical="center"/>
    </xf>
    <xf numFmtId="0" fontId="3" fillId="63" borderId="54" applyAlignment="1" pivotButton="0" quotePrefix="0" xfId="3">
      <alignment horizontal="center" vertical="center" wrapText="1"/>
    </xf>
    <xf numFmtId="0" fontId="3" fillId="63" borderId="48" applyAlignment="1" pivotButton="0" quotePrefix="0" xfId="3">
      <alignment horizontal="center" vertical="center" wrapText="1"/>
    </xf>
    <xf numFmtId="174" fontId="4" fillId="0" borderId="65" applyAlignment="1" pivotButton="0" quotePrefix="0" xfId="3">
      <alignment horizontal="center" vertical="center" wrapText="1"/>
    </xf>
    <xf numFmtId="174" fontId="4" fillId="0" borderId="72" applyAlignment="1" pivotButton="0" quotePrefix="0" xfId="3">
      <alignment horizontal="center" vertical="center" wrapText="1"/>
    </xf>
    <xf numFmtId="174" fontId="4" fillId="0" borderId="63" applyAlignment="1" pivotButton="0" quotePrefix="0" xfId="3">
      <alignment horizontal="center" vertical="center" wrapText="1"/>
    </xf>
    <xf numFmtId="174" fontId="4" fillId="0" borderId="65" applyAlignment="1" pivotButton="0" quotePrefix="1" xfId="3">
      <alignment horizontal="center" vertical="center" wrapText="1"/>
    </xf>
    <xf numFmtId="174" fontId="4" fillId="0" borderId="72" applyAlignment="1" pivotButton="0" quotePrefix="1" xfId="3">
      <alignment horizontal="center" vertical="center" wrapText="1"/>
    </xf>
    <xf numFmtId="174" fontId="4" fillId="0" borderId="63" applyAlignment="1" pivotButton="0" quotePrefix="1" xfId="3">
      <alignment horizontal="center" vertical="center" wrapText="1"/>
    </xf>
    <xf numFmtId="174" fontId="4" fillId="0" borderId="77" applyAlignment="1" pivotButton="0" quotePrefix="1" xfId="3">
      <alignment horizontal="center" vertical="center" wrapText="1"/>
    </xf>
    <xf numFmtId="174" fontId="4" fillId="0" borderId="78" applyAlignment="1" pivotButton="0" quotePrefix="1" xfId="3">
      <alignment horizontal="center" vertical="center" wrapText="1"/>
    </xf>
    <xf numFmtId="174" fontId="4" fillId="0" borderId="75" applyAlignment="1" pivotButton="0" quotePrefix="1" xfId="3">
      <alignment horizontal="center" vertical="center" wrapText="1"/>
    </xf>
    <xf numFmtId="174" fontId="4" fillId="0" borderId="31" applyAlignment="1" pivotButton="0" quotePrefix="0" xfId="2">
      <alignment horizontal="center" vertical="center" wrapText="1"/>
    </xf>
    <xf numFmtId="174" fontId="4" fillId="0" borderId="32" applyAlignment="1" pivotButton="0" quotePrefix="0" xfId="2">
      <alignment horizontal="center" vertical="center" wrapText="1"/>
    </xf>
    <xf numFmtId="174" fontId="4" fillId="0" borderId="33" applyAlignment="1" pivotButton="0" quotePrefix="0" xfId="2">
      <alignment horizontal="center" vertical="center" wrapText="1"/>
    </xf>
    <xf numFmtId="0" fontId="3" fillId="2" borderId="46" applyAlignment="1" pivotButton="0" quotePrefix="0" xfId="3">
      <alignment horizontal="center" vertical="center" wrapText="1"/>
    </xf>
    <xf numFmtId="0" fontId="3" fillId="2" borderId="47" applyAlignment="1" pivotButton="0" quotePrefix="0" xfId="3">
      <alignment horizontal="center" vertical="center" wrapText="1"/>
    </xf>
    <xf numFmtId="0" fontId="3" fillId="61" borderId="46" applyAlignment="1" pivotButton="0" quotePrefix="0" xfId="3">
      <alignment horizontal="center" vertical="center" wrapText="1"/>
    </xf>
    <xf numFmtId="0" fontId="3" fillId="61" borderId="48" applyAlignment="1" pivotButton="0" quotePrefix="0" xfId="3">
      <alignment horizontal="center" vertical="center" wrapText="1"/>
    </xf>
    <xf numFmtId="0" fontId="3" fillId="57" borderId="46" applyAlignment="1" pivotButton="0" quotePrefix="0" xfId="3">
      <alignment horizontal="center" vertical="center" wrapText="1"/>
    </xf>
    <xf numFmtId="0" fontId="3" fillId="57" borderId="47" applyAlignment="1" pivotButton="0" quotePrefix="0" xfId="3">
      <alignment horizontal="center" vertical="center" wrapText="1"/>
    </xf>
    <xf numFmtId="0" fontId="3" fillId="43" borderId="33" applyAlignment="1" pivotButton="0" quotePrefix="0" xfId="3">
      <alignment horizontal="center" vertical="center" wrapText="1"/>
    </xf>
    <xf numFmtId="0" fontId="8" fillId="44" borderId="49" applyAlignment="1" pivotButton="0" quotePrefix="0" xfId="3">
      <alignment horizontal="center" vertical="center"/>
    </xf>
    <xf numFmtId="0" fontId="8" fillId="44" borderId="37" applyAlignment="1" pivotButton="0" quotePrefix="0" xfId="3">
      <alignment horizontal="center" vertical="center"/>
    </xf>
    <xf numFmtId="0" fontId="8" fillId="44" borderId="50" applyAlignment="1" pivotButton="0" quotePrefix="0" xfId="3">
      <alignment horizontal="center" vertical="center"/>
    </xf>
    <xf numFmtId="0" fontId="8" fillId="44" borderId="51" applyAlignment="1" pivotButton="0" quotePrefix="0" xfId="3">
      <alignment horizontal="center" vertical="center"/>
    </xf>
    <xf numFmtId="0" fontId="2" fillId="0" borderId="31" applyAlignment="1" pivotButton="0" quotePrefix="0" xfId="2">
      <alignment horizontal="center" vertical="center" wrapText="1"/>
    </xf>
    <xf numFmtId="0" fontId="2" fillId="0" borderId="32" applyAlignment="1" pivotButton="0" quotePrefix="0" xfId="2">
      <alignment horizontal="center" vertical="center" wrapText="1"/>
    </xf>
    <xf numFmtId="0" fontId="2" fillId="0" borderId="33" applyAlignment="1" pivotButton="0" quotePrefix="0" xfId="2">
      <alignment horizontal="center" vertical="center" wrapText="1"/>
    </xf>
    <xf numFmtId="164" fontId="4" fillId="0" borderId="69" applyAlignment="1" pivotButton="0" quotePrefix="0" xfId="6">
      <alignment vertical="center" wrapText="1"/>
    </xf>
    <xf numFmtId="164" fontId="2" fillId="0" borderId="4" applyAlignment="1" pivotButton="0" quotePrefix="0" xfId="6">
      <alignment vertical="center" wrapText="1"/>
    </xf>
    <xf numFmtId="164" fontId="2" fillId="0" borderId="54" applyAlignment="1" pivotButton="0" quotePrefix="0" xfId="6">
      <alignment vertical="center" wrapText="1"/>
    </xf>
    <xf numFmtId="164" fontId="4" fillId="0" borderId="31" applyAlignment="1" pivotButton="0" quotePrefix="0" xfId="6">
      <alignment vertical="center" wrapText="1"/>
    </xf>
    <xf numFmtId="164" fontId="2" fillId="0" borderId="32" applyAlignment="1" pivotButton="0" quotePrefix="0" xfId="6">
      <alignment vertical="center" wrapText="1"/>
    </xf>
    <xf numFmtId="164" fontId="2" fillId="0" borderId="33" applyAlignment="1" pivotButton="0" quotePrefix="0" xfId="6">
      <alignment vertical="center" wrapText="1"/>
    </xf>
    <xf numFmtId="164" fontId="4" fillId="0" borderId="31" applyAlignment="1" pivotButton="0" quotePrefix="0" xfId="6">
      <alignment vertical="center" wrapText="1"/>
    </xf>
    <xf numFmtId="164" fontId="2" fillId="0" borderId="32" applyAlignment="1" pivotButton="0" quotePrefix="0" xfId="6">
      <alignment vertical="center" wrapText="1"/>
    </xf>
    <xf numFmtId="164" fontId="4" fillId="0" borderId="31" applyAlignment="1" pivotButton="0" quotePrefix="0" xfId="6">
      <alignment horizontal="left" vertical="center" wrapText="1"/>
    </xf>
    <xf numFmtId="164" fontId="2" fillId="0" borderId="32" applyAlignment="1" pivotButton="0" quotePrefix="0" xfId="6">
      <alignment horizontal="left" vertical="center" wrapText="1"/>
    </xf>
    <xf numFmtId="164" fontId="4" fillId="0" borderId="69" applyAlignment="1" pivotButton="0" quotePrefix="0" xfId="6">
      <alignment vertical="center" wrapText="1"/>
    </xf>
    <xf numFmtId="164" fontId="2" fillId="0" borderId="4" applyAlignment="1" pivotButton="0" quotePrefix="0" xfId="6">
      <alignment vertical="center" wrapText="1"/>
    </xf>
    <xf numFmtId="164" fontId="2" fillId="0" borderId="54" applyAlignment="1" pivotButton="0" quotePrefix="0" xfId="6">
      <alignment vertical="center" wrapText="1"/>
    </xf>
    <xf numFmtId="164" fontId="2" fillId="0" borderId="33" applyAlignment="1" pivotButton="0" quotePrefix="0" xfId="6">
      <alignment horizontal="left" vertical="center" wrapText="1"/>
    </xf>
    <xf numFmtId="0" fontId="66" fillId="55" borderId="0" applyAlignment="1" pivotButton="0" quotePrefix="0" xfId="0">
      <alignment horizontal="left" vertical="top"/>
    </xf>
    <xf numFmtId="0" fontId="0" fillId="0" borderId="23" applyAlignment="1" pivotButton="0" quotePrefix="0" xfId="0">
      <alignment horizontal="center" vertical="center" wrapText="1"/>
    </xf>
    <xf numFmtId="0" fontId="0" fillId="0" borderId="31" applyAlignment="1" pivotButton="0" quotePrefix="0" xfId="0">
      <alignment horizontal="center" vertical="center"/>
    </xf>
    <xf numFmtId="0" fontId="0" fillId="0" borderId="32" applyAlignment="1" pivotButton="0" quotePrefix="0" xfId="0">
      <alignment horizontal="center" vertical="center"/>
    </xf>
    <xf numFmtId="0" fontId="31" fillId="0" borderId="15" applyAlignment="1" pivotButton="0" quotePrefix="0" xfId="0">
      <alignment horizontal="center" vertical="center"/>
    </xf>
    <xf numFmtId="0" fontId="31" fillId="0" borderId="16" applyAlignment="1" pivotButton="0" quotePrefix="0" xfId="0">
      <alignment horizontal="center" vertical="center"/>
    </xf>
    <xf numFmtId="0" fontId="31" fillId="0" borderId="21" applyAlignment="1" pivotButton="0" quotePrefix="0" xfId="0">
      <alignment horizontal="center" vertical="center" wrapText="1"/>
    </xf>
    <xf numFmtId="0" fontId="31" fillId="0" borderId="19" applyAlignment="1" pivotButton="0" quotePrefix="0" xfId="0">
      <alignment horizontal="center" vertical="center" wrapText="1"/>
    </xf>
    <xf numFmtId="0" fontId="31" fillId="0" borderId="17" applyAlignment="1" pivotButton="0" quotePrefix="0" xfId="0">
      <alignment horizontal="center" vertical="center" wrapText="1"/>
    </xf>
    <xf numFmtId="14" fontId="31" fillId="0" borderId="22" applyAlignment="1" pivotButton="0" quotePrefix="0" xfId="0">
      <alignment horizontal="center" vertical="center" wrapText="1"/>
    </xf>
    <xf numFmtId="14" fontId="31" fillId="0" borderId="20" applyAlignment="1" pivotButton="0" quotePrefix="0" xfId="0">
      <alignment horizontal="center" vertical="center" wrapText="1"/>
    </xf>
    <xf numFmtId="14" fontId="31" fillId="0" borderId="18" applyAlignment="1" pivotButton="0" quotePrefix="0" xfId="0">
      <alignment horizontal="center" vertical="center" wrapText="1"/>
    </xf>
    <xf numFmtId="0" fontId="0" fillId="0" borderId="33" applyAlignment="1" pivotButton="0" quotePrefix="0" xfId="0">
      <alignment horizontal="center" vertical="center"/>
    </xf>
    <xf numFmtId="4" fontId="0" fillId="0" borderId="31" applyAlignment="1" pivotButton="0" quotePrefix="0" xfId="0">
      <alignment horizontal="center" vertical="center"/>
    </xf>
    <xf numFmtId="4" fontId="0" fillId="0" borderId="32" applyAlignment="1" pivotButton="0" quotePrefix="0" xfId="0">
      <alignment horizontal="center" vertical="center"/>
    </xf>
    <xf numFmtId="4" fontId="0" fillId="0" borderId="33" applyAlignment="1" pivotButton="0" quotePrefix="0" xfId="0">
      <alignment horizontal="center" vertical="center"/>
    </xf>
    <xf numFmtId="169" fontId="0" fillId="0" borderId="34" applyAlignment="1" pivotButton="0" quotePrefix="0" xfId="0">
      <alignment horizontal="center"/>
    </xf>
    <xf numFmtId="169" fontId="0" fillId="0" borderId="35" applyAlignment="1" pivotButton="0" quotePrefix="0" xfId="0">
      <alignment horizontal="center"/>
    </xf>
    <xf numFmtId="0" fontId="3" fillId="4" borderId="90" applyAlignment="1" pivotButton="0" quotePrefix="0" xfId="0">
      <alignment horizontal="center" vertical="top" wrapText="1"/>
    </xf>
    <xf numFmtId="0" fontId="0" fillId="0" borderId="36" pivotButton="0" quotePrefix="0" xfId="0"/>
    <xf numFmtId="164" fontId="0" fillId="0" borderId="4" applyAlignment="1" pivotButton="0" quotePrefix="0" xfId="6">
      <alignment vertical="top"/>
    </xf>
    <xf numFmtId="164" fontId="0" fillId="0" borderId="0" applyAlignment="1" pivotButton="0" quotePrefix="0" xfId="6">
      <alignment vertical="top"/>
    </xf>
    <xf numFmtId="164" fontId="4" fillId="0" borderId="4" applyAlignment="1" pivotButton="0" quotePrefix="0" xfId="6">
      <alignment vertical="top"/>
    </xf>
    <xf numFmtId="164" fontId="2" fillId="0" borderId="4" applyAlignment="1" pivotButton="0" quotePrefix="0" xfId="6">
      <alignment vertical="top"/>
    </xf>
    <xf numFmtId="164" fontId="2" fillId="0" borderId="0" applyAlignment="1" pivotButton="0" quotePrefix="0" xfId="6">
      <alignment vertical="top"/>
    </xf>
    <xf numFmtId="164" fontId="41" fillId="0" borderId="4" applyAlignment="1" pivotButton="0" quotePrefix="0" xfId="6">
      <alignment vertical="top"/>
    </xf>
    <xf numFmtId="164" fontId="41" fillId="0" borderId="0" applyAlignment="1" pivotButton="0" quotePrefix="0" xfId="6">
      <alignment vertical="top"/>
    </xf>
    <xf numFmtId="164" fontId="0" fillId="0" borderId="36" applyAlignment="1" pivotButton="0" quotePrefix="0" xfId="6">
      <alignment vertical="top"/>
    </xf>
    <xf numFmtId="164" fontId="0" fillId="45" borderId="0" applyAlignment="1" pivotButton="0" quotePrefix="0" xfId="6">
      <alignment vertical="top"/>
    </xf>
    <xf numFmtId="166" fontId="13" fillId="0" borderId="0" applyAlignment="1" pivotButton="0" quotePrefix="0" xfId="5">
      <alignment horizontal="center" vertical="center"/>
    </xf>
    <xf numFmtId="171" fontId="13" fillId="0" borderId="0" applyAlignment="1" pivotButton="0" quotePrefix="0" xfId="6">
      <alignment horizontal="center" vertical="center"/>
    </xf>
    <xf numFmtId="164" fontId="13" fillId="0" borderId="0" applyAlignment="1" pivotButton="0" quotePrefix="0" xfId="6">
      <alignment horizontal="center" vertical="center"/>
    </xf>
    <xf numFmtId="166" fontId="43" fillId="0" borderId="0" applyAlignment="1" pivotButton="0" quotePrefix="0" xfId="5">
      <alignment horizontal="center" vertical="center"/>
    </xf>
    <xf numFmtId="166" fontId="13" fillId="0" borderId="2" applyAlignment="1" pivotButton="0" quotePrefix="0" xfId="5">
      <alignment horizontal="center" vertical="center"/>
    </xf>
    <xf numFmtId="171" fontId="13" fillId="0" borderId="2" applyAlignment="1" pivotButton="0" quotePrefix="0" xfId="6">
      <alignment horizontal="center" vertical="center"/>
    </xf>
    <xf numFmtId="164" fontId="13" fillId="0" borderId="2" applyAlignment="1" pivotButton="0" quotePrefix="0" xfId="6">
      <alignment horizontal="center" vertical="center"/>
    </xf>
    <xf numFmtId="164" fontId="43" fillId="0" borderId="0" applyAlignment="1" pivotButton="0" quotePrefix="0" xfId="6">
      <alignment horizontal="left" vertical="center"/>
    </xf>
    <xf numFmtId="164" fontId="43" fillId="0" borderId="0" applyAlignment="1" pivotButton="0" quotePrefix="0" xfId="0">
      <alignment horizontal="left" vertical="center"/>
    </xf>
    <xf numFmtId="166" fontId="43" fillId="0" borderId="2" applyAlignment="1" pivotButton="0" quotePrefix="0" xfId="5">
      <alignment horizontal="center" vertical="center"/>
    </xf>
    <xf numFmtId="171" fontId="13" fillId="0" borderId="0" applyAlignment="1" pivotButton="0" quotePrefix="0" xfId="6">
      <alignment horizontal="right" vertical="center"/>
    </xf>
    <xf numFmtId="171" fontId="13" fillId="0" borderId="2" applyAlignment="1" pivotButton="0" quotePrefix="0" xfId="6">
      <alignment horizontal="right" vertical="center"/>
    </xf>
    <xf numFmtId="164" fontId="13" fillId="0" borderId="0" pivotButton="0" quotePrefix="0" xfId="6"/>
    <xf numFmtId="164" fontId="44" fillId="0" borderId="0" pivotButton="0" quotePrefix="0" xfId="6"/>
    <xf numFmtId="164" fontId="34" fillId="0" borderId="0" pivotButton="0" quotePrefix="0" xfId="6"/>
    <xf numFmtId="164" fontId="2" fillId="0" borderId="0" pivotButton="0" quotePrefix="0" xfId="6"/>
    <xf numFmtId="164" fontId="2" fillId="0" borderId="30" pivotButton="0" quotePrefix="0" xfId="6"/>
    <xf numFmtId="164" fontId="4" fillId="0" borderId="0" pivotButton="0" quotePrefix="0" xfId="6"/>
    <xf numFmtId="164" fontId="0" fillId="0" borderId="0" pivotButton="0" quotePrefix="0" xfId="6"/>
    <xf numFmtId="164" fontId="2" fillId="0" borderId="42" pivotButton="0" quotePrefix="0" xfId="6"/>
    <xf numFmtId="164" fontId="35" fillId="0" borderId="0" pivotButton="0" quotePrefix="0" xfId="6"/>
    <xf numFmtId="164" fontId="2" fillId="43" borderId="0" pivotButton="0" quotePrefix="0" xfId="6"/>
    <xf numFmtId="164" fontId="54" fillId="5" borderId="0" pivotButton="0" quotePrefix="0" xfId="6"/>
    <xf numFmtId="164" fontId="3" fillId="5" borderId="0" pivotButton="0" quotePrefix="0" xfId="6"/>
    <xf numFmtId="164" fontId="3" fillId="5" borderId="42" pivotButton="0" quotePrefix="0" xfId="6"/>
    <xf numFmtId="164" fontId="6" fillId="5" borderId="0" pivotButton="0" quotePrefix="0" xfId="6"/>
    <xf numFmtId="164" fontId="6" fillId="48" borderId="0" pivotButton="0" quotePrefix="0" xfId="6"/>
    <xf numFmtId="164" fontId="3" fillId="48" borderId="42" pivotButton="0" quotePrefix="0" xfId="6"/>
    <xf numFmtId="164" fontId="6" fillId="53" borderId="0" pivotButton="0" quotePrefix="0" xfId="6"/>
    <xf numFmtId="164" fontId="0" fillId="0" borderId="0" pivotButton="0" quotePrefix="0" xfId="0"/>
    <xf numFmtId="164" fontId="41" fillId="5" borderId="0" pivotButton="0" quotePrefix="0" xfId="6"/>
    <xf numFmtId="164" fontId="3" fillId="53" borderId="0" pivotButton="0" quotePrefix="0" xfId="6"/>
    <xf numFmtId="164" fontId="4" fillId="43" borderId="0" pivotButton="0" quotePrefix="0" xfId="6"/>
    <xf numFmtId="164" fontId="4" fillId="0" borderId="42" pivotButton="0" quotePrefix="0" xfId="6"/>
    <xf numFmtId="164" fontId="6" fillId="5" borderId="42" pivotButton="0" quotePrefix="0" xfId="6"/>
    <xf numFmtId="164" fontId="0" fillId="0" borderId="42" pivotButton="0" quotePrefix="0" xfId="6"/>
    <xf numFmtId="171" fontId="34" fillId="0" borderId="0" pivotButton="0" quotePrefix="0" xfId="6"/>
    <xf numFmtId="164" fontId="35" fillId="0" borderId="2" pivotButton="0" quotePrefix="0" xfId="6"/>
    <xf numFmtId="164" fontId="34" fillId="0" borderId="2" pivotButton="0" quotePrefix="0" xfId="6"/>
    <xf numFmtId="164" fontId="4" fillId="0" borderId="2" pivotButton="0" quotePrefix="0" xfId="6"/>
    <xf numFmtId="164" fontId="2" fillId="0" borderId="43" pivotButton="0" quotePrefix="0" xfId="6"/>
    <xf numFmtId="164" fontId="2" fillId="0" borderId="2" pivotButton="0" quotePrefix="0" xfId="6"/>
    <xf numFmtId="164" fontId="3" fillId="0" borderId="0" pivotButton="0" quotePrefix="0" xfId="6"/>
    <xf numFmtId="164" fontId="4" fillId="49" borderId="42" pivotButton="0" quotePrefix="0" xfId="6"/>
    <xf numFmtId="164" fontId="5" fillId="0" borderId="0" pivotButton="0" quotePrefix="0" xfId="6"/>
    <xf numFmtId="164" fontId="3" fillId="0" borderId="42" pivotButton="0" quotePrefix="0" xfId="6"/>
    <xf numFmtId="164" fontId="72" fillId="0" borderId="0" pivotButton="0" quotePrefix="0" xfId="6"/>
    <xf numFmtId="164" fontId="9" fillId="0" borderId="0" pivotButton="0" quotePrefix="0" xfId="6"/>
    <xf numFmtId="164" fontId="0" fillId="5" borderId="0" pivotButton="0" quotePrefix="0" xfId="0"/>
    <xf numFmtId="164" fontId="3" fillId="43" borderId="0" pivotButton="0" quotePrefix="0" xfId="6"/>
    <xf numFmtId="164" fontId="75" fillId="0" borderId="0" pivotButton="0" quotePrefix="0" xfId="6"/>
    <xf numFmtId="164" fontId="6" fillId="0" borderId="42" pivotButton="0" quotePrefix="0" xfId="6"/>
    <xf numFmtId="164" fontId="6" fillId="0" borderId="0" pivotButton="0" quotePrefix="0" xfId="6"/>
    <xf numFmtId="164" fontId="3" fillId="55" borderId="0" pivotButton="0" quotePrefix="0" xfId="6"/>
    <xf numFmtId="164" fontId="12" fillId="55" borderId="42" pivotButton="0" quotePrefix="0" xfId="6"/>
    <xf numFmtId="164" fontId="68" fillId="8" borderId="38" pivotButton="0" quotePrefix="0" xfId="6"/>
    <xf numFmtId="164" fontId="0" fillId="55" borderId="88" pivotButton="0" quotePrefix="0" xfId="0"/>
    <xf numFmtId="164" fontId="0" fillId="55" borderId="40" pivotButton="0" quotePrefix="0" xfId="0"/>
    <xf numFmtId="164" fontId="0" fillId="12" borderId="0" pivotButton="0" quotePrefix="0" xfId="0"/>
    <xf numFmtId="164" fontId="3" fillId="49" borderId="0" pivotButton="0" quotePrefix="0" xfId="6"/>
    <xf numFmtId="164" fontId="85" fillId="49" borderId="0" pivotButton="0" quotePrefix="0" xfId="0"/>
    <xf numFmtId="164" fontId="69" fillId="49" borderId="38" pivotButton="0" quotePrefix="0" xfId="6"/>
    <xf numFmtId="164" fontId="0" fillId="49" borderId="0" pivotButton="0" quotePrefix="0" xfId="0"/>
    <xf numFmtId="169" fontId="0" fillId="0" borderId="0" pivotButton="0" quotePrefix="0" xfId="0"/>
    <xf numFmtId="169" fontId="5" fillId="0" borderId="0" pivotButton="0" quotePrefix="0" xfId="0"/>
    <xf numFmtId="169" fontId="34" fillId="0" borderId="0" pivotButton="0" quotePrefix="0" xfId="0"/>
    <xf numFmtId="164" fontId="3" fillId="0" borderId="0" pivotButton="0" quotePrefix="0" xfId="0"/>
    <xf numFmtId="164" fontId="58" fillId="0" borderId="0" pivotButton="0" quotePrefix="0" xfId="6"/>
    <xf numFmtId="164" fontId="56" fillId="0" borderId="0" pivotButton="0" quotePrefix="0" xfId="6"/>
    <xf numFmtId="164" fontId="56" fillId="0" borderId="30" pivotButton="0" quotePrefix="0" xfId="6"/>
    <xf numFmtId="164" fontId="86" fillId="0" borderId="0" pivotButton="0" quotePrefix="0" xfId="6"/>
    <xf numFmtId="164" fontId="59" fillId="0" borderId="0" pivotButton="0" quotePrefix="0" xfId="6"/>
    <xf numFmtId="164" fontId="59" fillId="0" borderId="42" pivotButton="0" quotePrefix="0" xfId="6"/>
    <xf numFmtId="164" fontId="56" fillId="0" borderId="42" pivotButton="0" quotePrefix="0" xfId="6"/>
    <xf numFmtId="164" fontId="62" fillId="5" borderId="0" pivotButton="0" quotePrefix="0" xfId="6"/>
    <xf numFmtId="164" fontId="57" fillId="5" borderId="0" pivotButton="0" quotePrefix="0" xfId="6"/>
    <xf numFmtId="164" fontId="61" fillId="5" borderId="42" pivotButton="0" quotePrefix="0" xfId="6"/>
    <xf numFmtId="164" fontId="61" fillId="5" borderId="0" pivotButton="0" quotePrefix="0" xfId="6"/>
    <xf numFmtId="164" fontId="56" fillId="0" borderId="0" pivotButton="0" quotePrefix="0" xfId="0"/>
    <xf numFmtId="164" fontId="86" fillId="0" borderId="2" pivotButton="0" quotePrefix="0" xfId="6"/>
    <xf numFmtId="164" fontId="56" fillId="0" borderId="2" pivotButton="0" quotePrefix="0" xfId="6"/>
    <xf numFmtId="164" fontId="56" fillId="0" borderId="43" pivotButton="0" quotePrefix="0" xfId="6"/>
    <xf numFmtId="164" fontId="63" fillId="0" borderId="0" pivotButton="0" quotePrefix="0" xfId="6"/>
    <xf numFmtId="164" fontId="64" fillId="5" borderId="0" pivotButton="0" quotePrefix="0" xfId="6"/>
    <xf numFmtId="164" fontId="61" fillId="0" borderId="42" pivotButton="0" quotePrefix="0" xfId="6"/>
    <xf numFmtId="164" fontId="61" fillId="0" borderId="0" pivotButton="0" quotePrefix="0" xfId="6"/>
    <xf numFmtId="164" fontId="61" fillId="5" borderId="89" pivotButton="0" quotePrefix="0" xfId="6"/>
    <xf numFmtId="164" fontId="57" fillId="5" borderId="42" pivotButton="0" quotePrefix="0" xfId="6"/>
    <xf numFmtId="164" fontId="62" fillId="4" borderId="0" pivotButton="0" quotePrefix="0" xfId="6"/>
    <xf numFmtId="164" fontId="57" fillId="4" borderId="0" pivotButton="0" quotePrefix="0" xfId="6"/>
    <xf numFmtId="164" fontId="57" fillId="4" borderId="42" pivotButton="0" quotePrefix="0" xfId="6"/>
    <xf numFmtId="164" fontId="61" fillId="4" borderId="0" pivotButton="0" quotePrefix="0" xfId="6"/>
    <xf numFmtId="164" fontId="61" fillId="8" borderId="38" pivotButton="0" quotePrefix="0" xfId="6"/>
    <xf numFmtId="164" fontId="57" fillId="4" borderId="41" pivotButton="0" quotePrefix="0" xfId="6"/>
    <xf numFmtId="173" fontId="56" fillId="0" borderId="0" pivotButton="0" quotePrefix="0" xfId="0"/>
    <xf numFmtId="164" fontId="61" fillId="0" borderId="0" pivotButton="0" quotePrefix="0" xfId="0"/>
    <xf numFmtId="164" fontId="60" fillId="0" borderId="0" pivotButton="0" quotePrefix="0" xfId="6"/>
    <xf numFmtId="164" fontId="82" fillId="0" borderId="0" pivotButton="0" quotePrefix="0" xfId="6"/>
    <xf numFmtId="164" fontId="56" fillId="5" borderId="0" pivotButton="0" quotePrefix="0" xfId="6"/>
    <xf numFmtId="164" fontId="64" fillId="4" borderId="0" pivotButton="0" quotePrefix="0" xfId="6"/>
    <xf numFmtId="164" fontId="61" fillId="4" borderId="42" pivotButton="0" quotePrefix="0" xfId="6"/>
    <xf numFmtId="164" fontId="58" fillId="0" borderId="2" pivotButton="0" quotePrefix="0" xfId="6"/>
    <xf numFmtId="164" fontId="64" fillId="0" borderId="0" pivotButton="0" quotePrefix="0" xfId="6"/>
    <xf numFmtId="164" fontId="57" fillId="0" borderId="0" pivotButton="0" quotePrefix="0" xfId="6"/>
    <xf numFmtId="164" fontId="82" fillId="0" borderId="0" pivotButton="0" quotePrefix="1" xfId="6"/>
    <xf numFmtId="164" fontId="56" fillId="0" borderId="0" pivotButton="0" quotePrefix="1" xfId="6"/>
    <xf numFmtId="164" fontId="57" fillId="0" borderId="42" pivotButton="0" quotePrefix="0" xfId="6"/>
    <xf numFmtId="164" fontId="56" fillId="43" borderId="0" pivotButton="0" quotePrefix="0" xfId="6"/>
    <xf numFmtId="164" fontId="56" fillId="0" borderId="44" pivotButton="0" quotePrefix="0" xfId="6"/>
    <xf numFmtId="164" fontId="56" fillId="0" borderId="45" pivotButton="0" quotePrefix="0" xfId="6"/>
    <xf numFmtId="164" fontId="59" fillId="43" borderId="42" pivotButton="0" quotePrefix="0" xfId="6"/>
    <xf numFmtId="164" fontId="68" fillId="0" borderId="0" pivotButton="0" quotePrefix="0" xfId="6"/>
    <xf numFmtId="164" fontId="55" fillId="54" borderId="0" applyAlignment="1" pivotButton="0" quotePrefix="0" xfId="6">
      <alignment horizontal="left" vertical="top"/>
    </xf>
    <xf numFmtId="164" fontId="55" fillId="54" borderId="30" applyAlignment="1" pivotButton="0" quotePrefix="0" xfId="6">
      <alignment horizontal="right" vertical="top"/>
    </xf>
    <xf numFmtId="164" fontId="69" fillId="0" borderId="0" applyAlignment="1" pivotButton="0" quotePrefix="0" xfId="6">
      <alignment vertical="top"/>
    </xf>
    <xf numFmtId="164" fontId="55" fillId="54" borderId="41" applyAlignment="1" pivotButton="0" quotePrefix="0" xfId="6">
      <alignment horizontal="left" vertical="top"/>
    </xf>
    <xf numFmtId="164" fontId="68" fillId="0" borderId="0" pivotButton="0" quotePrefix="0" xfId="0"/>
    <xf numFmtId="164" fontId="56" fillId="0" borderId="0" applyAlignment="1" pivotButton="0" quotePrefix="0" xfId="0">
      <alignment horizontal="center"/>
    </xf>
    <xf numFmtId="165" fontId="56" fillId="0" borderId="0" applyAlignment="1" pivotButton="0" quotePrefix="1" xfId="0">
      <alignment horizontal="center"/>
    </xf>
    <xf numFmtId="169" fontId="56" fillId="0" borderId="0" applyAlignment="1" pivotButton="0" quotePrefix="0" xfId="0">
      <alignment horizontal="center"/>
    </xf>
    <xf numFmtId="171" fontId="56" fillId="0" borderId="0" applyAlignment="1" pivotButton="0" quotePrefix="0" xfId="0">
      <alignment horizontal="center"/>
    </xf>
    <xf numFmtId="164" fontId="3" fillId="4" borderId="0" pivotButton="0" quotePrefix="0" xfId="0"/>
    <xf numFmtId="0" fontId="3" fillId="2" borderId="93" applyAlignment="1" pivotButton="0" quotePrefix="0" xfId="3">
      <alignment horizontal="center" vertical="center" wrapText="1"/>
    </xf>
    <xf numFmtId="0" fontId="0" fillId="0" borderId="47" pivotButton="0" quotePrefix="0" xfId="0"/>
    <xf numFmtId="0" fontId="3" fillId="61" borderId="93" applyAlignment="1" pivotButton="0" quotePrefix="0" xfId="3">
      <alignment horizontal="center" vertical="center" wrapText="1"/>
    </xf>
    <xf numFmtId="0" fontId="3" fillId="57" borderId="93" applyAlignment="1" pivotButton="0" quotePrefix="0" xfId="3">
      <alignment horizontal="center" vertical="center" wrapText="1"/>
    </xf>
    <xf numFmtId="0" fontId="0" fillId="0" borderId="95" pivotButton="0" quotePrefix="0" xfId="0"/>
    <xf numFmtId="0" fontId="3" fillId="63" borderId="91" applyAlignment="1" pivotButton="0" quotePrefix="0" xfId="3">
      <alignment horizontal="center" vertical="center" wrapText="1"/>
    </xf>
    <xf numFmtId="0" fontId="0" fillId="0" borderId="48" pivotButton="0" quotePrefix="0" xfId="0"/>
    <xf numFmtId="174" fontId="4" fillId="0" borderId="33" applyAlignment="1" pivotButton="0" quotePrefix="0" xfId="2">
      <alignment vertical="center" wrapText="1"/>
    </xf>
    <xf numFmtId="174" fontId="4" fillId="0" borderId="23" applyAlignment="1" pivotButton="0" quotePrefix="0" xfId="2">
      <alignment vertical="center" wrapText="1"/>
    </xf>
    <xf numFmtId="174" fontId="4" fillId="0" borderId="54" applyAlignment="1" pivotButton="0" quotePrefix="0" xfId="2">
      <alignment vertical="center" wrapText="1"/>
    </xf>
    <xf numFmtId="174" fontId="4" fillId="0" borderId="48" applyAlignment="1" pivotButton="0" quotePrefix="0" xfId="2">
      <alignment vertical="center" wrapText="1"/>
    </xf>
    <xf numFmtId="174" fontId="4" fillId="0" borderId="46" applyAlignment="1" pivotButton="0" quotePrefix="0" xfId="2">
      <alignment vertical="center" wrapText="1"/>
    </xf>
    <xf numFmtId="174" fontId="4" fillId="0" borderId="55" applyAlignment="1" pivotButton="0" quotePrefix="0" xfId="2">
      <alignment vertical="center" wrapText="1"/>
    </xf>
    <xf numFmtId="174" fontId="4" fillId="0" borderId="75" applyAlignment="1" pivotButton="0" quotePrefix="0" xfId="2">
      <alignment vertical="center" wrapText="1"/>
    </xf>
    <xf numFmtId="174" fontId="4" fillId="0" borderId="70" applyAlignment="1" pivotButton="0" quotePrefix="0" xfId="2">
      <alignment vertical="center" wrapText="1"/>
    </xf>
    <xf numFmtId="174" fontId="4" fillId="0" borderId="71" applyAlignment="1" pivotButton="0" quotePrefix="0" xfId="2">
      <alignment vertical="center" wrapText="1"/>
    </xf>
    <xf numFmtId="174" fontId="4" fillId="0" borderId="83" applyAlignment="1" pivotButton="0" quotePrefix="0" xfId="2">
      <alignment vertical="center" wrapText="1"/>
    </xf>
    <xf numFmtId="174" fontId="4" fillId="0" borderId="86" applyAlignment="1" pivotButton="0" quotePrefix="0" xfId="2">
      <alignment vertical="center" wrapText="1"/>
    </xf>
    <xf numFmtId="174" fontId="4" fillId="0" borderId="63" applyAlignment="1" pivotButton="0" quotePrefix="0" xfId="2">
      <alignment vertical="center" wrapText="1"/>
    </xf>
    <xf numFmtId="174" fontId="4" fillId="0" borderId="47" applyAlignment="1" pivotButton="0" quotePrefix="0" xfId="2">
      <alignment vertical="center" wrapText="1"/>
    </xf>
    <xf numFmtId="174" fontId="4" fillId="43" borderId="53" applyAlignment="1" pivotButton="0" quotePrefix="0" xfId="2">
      <alignment vertical="center" wrapText="1"/>
    </xf>
    <xf numFmtId="174" fontId="4" fillId="0" borderId="74" applyAlignment="1" pivotButton="0" quotePrefix="0" xfId="2">
      <alignment vertical="center" wrapText="1"/>
    </xf>
    <xf numFmtId="174" fontId="4" fillId="0" borderId="61" applyAlignment="1" pivotButton="0" quotePrefix="0" xfId="2">
      <alignment vertical="center" wrapText="1"/>
    </xf>
    <xf numFmtId="174" fontId="4" fillId="45" borderId="23" applyAlignment="1" pivotButton="0" quotePrefix="0" xfId="2">
      <alignment vertical="center" wrapText="1"/>
    </xf>
    <xf numFmtId="174" fontId="4" fillId="45" borderId="53" applyAlignment="1" pivotButton="0" quotePrefix="0" xfId="2">
      <alignment vertical="center" wrapText="1"/>
    </xf>
    <xf numFmtId="174" fontId="4" fillId="45" borderId="47" applyAlignment="1" pivotButton="0" quotePrefix="0" xfId="2">
      <alignment vertical="center" wrapText="1"/>
    </xf>
    <xf numFmtId="174" fontId="4" fillId="45" borderId="33" applyAlignment="1" pivotButton="0" quotePrefix="0" xfId="2">
      <alignment vertical="center" wrapText="1"/>
    </xf>
    <xf numFmtId="174" fontId="3" fillId="59" borderId="23" applyAlignment="1" pivotButton="0" quotePrefix="0" xfId="2">
      <alignment vertical="center" wrapText="1"/>
    </xf>
    <xf numFmtId="174" fontId="3" fillId="59" borderId="46" applyAlignment="1" pivotButton="0" quotePrefix="0" xfId="2">
      <alignment vertical="center" wrapText="1"/>
    </xf>
    <xf numFmtId="174" fontId="2" fillId="59" borderId="23" applyAlignment="1" pivotButton="0" quotePrefix="0" xfId="2">
      <alignment vertical="center" wrapText="1"/>
    </xf>
    <xf numFmtId="174" fontId="2" fillId="59" borderId="53" applyAlignment="1" pivotButton="0" quotePrefix="0" xfId="2">
      <alignment vertical="center" wrapText="1"/>
    </xf>
    <xf numFmtId="174" fontId="3" fillId="59" borderId="74" applyAlignment="1" pivotButton="0" quotePrefix="0" xfId="2">
      <alignment vertical="center" wrapText="1"/>
    </xf>
    <xf numFmtId="174" fontId="2" fillId="59" borderId="47" applyAlignment="1" pivotButton="0" quotePrefix="0" xfId="2">
      <alignment vertical="center" wrapText="1"/>
    </xf>
    <xf numFmtId="174" fontId="3" fillId="0" borderId="86" applyAlignment="1" pivotButton="0" quotePrefix="0" xfId="2">
      <alignment vertical="center" wrapText="1"/>
    </xf>
    <xf numFmtId="174" fontId="3" fillId="59" borderId="61" applyAlignment="1" pivotButton="0" quotePrefix="0" xfId="2">
      <alignment vertical="center" wrapText="1"/>
    </xf>
    <xf numFmtId="174" fontId="0" fillId="59" borderId="47" applyAlignment="1" pivotButton="0" quotePrefix="0" xfId="2">
      <alignment vertical="center" wrapText="1"/>
    </xf>
    <xf numFmtId="174" fontId="0" fillId="59" borderId="23" applyAlignment="1" pivotButton="0" quotePrefix="0" xfId="2">
      <alignment vertical="center" wrapText="1"/>
    </xf>
    <xf numFmtId="174" fontId="4" fillId="0" borderId="53" applyAlignment="1" pivotButton="0" quotePrefix="0" xfId="2">
      <alignment vertical="center" wrapText="1"/>
    </xf>
    <xf numFmtId="174" fontId="4" fillId="0" borderId="37" applyAlignment="1" pivotButton="0" quotePrefix="0" xfId="2">
      <alignment vertical="center" wrapText="1"/>
    </xf>
    <xf numFmtId="174" fontId="2" fillId="0" borderId="23" applyAlignment="1" pivotButton="0" quotePrefix="0" xfId="2">
      <alignment vertical="center" wrapText="1"/>
    </xf>
    <xf numFmtId="174" fontId="2" fillId="0" borderId="33" applyAlignment="1" pivotButton="0" quotePrefix="0" xfId="2">
      <alignment vertical="center" wrapText="1"/>
    </xf>
    <xf numFmtId="174" fontId="2" fillId="0" borderId="53" applyAlignment="1" pivotButton="0" quotePrefix="0" xfId="2">
      <alignment vertical="center" wrapText="1"/>
    </xf>
    <xf numFmtId="174" fontId="2" fillId="0" borderId="47" applyAlignment="1" pivotButton="0" quotePrefix="0" xfId="2">
      <alignment vertical="center" wrapText="1"/>
    </xf>
    <xf numFmtId="174" fontId="0" fillId="0" borderId="47" applyAlignment="1" pivotButton="0" quotePrefix="0" xfId="2">
      <alignment vertical="center" wrapText="1"/>
    </xf>
    <xf numFmtId="174" fontId="29" fillId="60" borderId="23" pivotButton="0" quotePrefix="0" xfId="0"/>
    <xf numFmtId="174" fontId="8" fillId="60" borderId="46" pivotButton="0" quotePrefix="0" xfId="0"/>
    <xf numFmtId="174" fontId="8" fillId="60" borderId="23" pivotButton="0" quotePrefix="0" xfId="0"/>
    <xf numFmtId="174" fontId="29" fillId="60" borderId="53" pivotButton="0" quotePrefix="0" xfId="0"/>
    <xf numFmtId="174" fontId="8" fillId="60" borderId="74" pivotButton="0" quotePrefix="0" xfId="0"/>
    <xf numFmtId="174" fontId="8" fillId="60" borderId="47" pivotButton="0" quotePrefix="0" xfId="0"/>
    <xf numFmtId="174" fontId="8" fillId="0" borderId="86" pivotButton="0" quotePrefix="0" xfId="0"/>
    <xf numFmtId="174" fontId="8" fillId="60" borderId="61" pivotButton="0" quotePrefix="0" xfId="0"/>
    <xf numFmtId="174" fontId="29" fillId="0" borderId="0" pivotButton="0" quotePrefix="0" xfId="0"/>
    <xf numFmtId="174" fontId="8" fillId="0" borderId="0" pivotButton="0" quotePrefix="0" xfId="0"/>
    <xf numFmtId="174" fontId="4" fillId="0" borderId="23" applyAlignment="1" pivotButton="0" quotePrefix="0" xfId="0">
      <alignment wrapText="1"/>
    </xf>
    <xf numFmtId="174" fontId="4" fillId="0" borderId="33" applyAlignment="1" pivotButton="0" quotePrefix="0" xfId="0">
      <alignment wrapText="1"/>
    </xf>
    <xf numFmtId="174" fontId="4" fillId="0" borderId="54" applyAlignment="1" pivotButton="0" quotePrefix="0" xfId="0">
      <alignment wrapText="1"/>
    </xf>
    <xf numFmtId="174" fontId="4" fillId="0" borderId="48" applyAlignment="1" pivotButton="0" quotePrefix="0" xfId="0">
      <alignment wrapText="1"/>
    </xf>
    <xf numFmtId="174" fontId="4" fillId="0" borderId="58" applyAlignment="1" pivotButton="0" quotePrefix="0" xfId="0">
      <alignment wrapText="1"/>
    </xf>
    <xf numFmtId="174" fontId="2" fillId="0" borderId="48" applyAlignment="1" pivotButton="0" quotePrefix="0" xfId="2">
      <alignment vertical="center" wrapText="1"/>
    </xf>
    <xf numFmtId="174" fontId="4" fillId="0" borderId="74" applyAlignment="1" pivotButton="0" quotePrefix="1" xfId="3">
      <alignment horizontal="center" vertical="center" wrapText="1"/>
    </xf>
    <xf numFmtId="174" fontId="4" fillId="0" borderId="86" applyAlignment="1" pivotButton="0" quotePrefix="1" xfId="3">
      <alignment horizontal="center" vertical="center" wrapText="1"/>
    </xf>
    <xf numFmtId="174" fontId="4" fillId="0" borderId="61" applyAlignment="1" pivotButton="0" quotePrefix="1" xfId="3">
      <alignment horizontal="center" vertical="center" wrapText="1"/>
    </xf>
    <xf numFmtId="174" fontId="0" fillId="0" borderId="48" applyAlignment="1" pivotButton="0" quotePrefix="0" xfId="2">
      <alignment vertical="center" wrapText="1"/>
    </xf>
    <xf numFmtId="174" fontId="4" fillId="0" borderId="61" applyAlignment="1" pivotButton="0" quotePrefix="0" xfId="3">
      <alignment horizontal="center" vertical="center" wrapText="1"/>
    </xf>
    <xf numFmtId="174" fontId="4" fillId="0" borderId="47" applyAlignment="1" pivotButton="0" quotePrefix="0" xfId="0">
      <alignment wrapText="1"/>
    </xf>
    <xf numFmtId="0" fontId="0" fillId="0" borderId="78" pivotButton="0" quotePrefix="0" xfId="0"/>
    <xf numFmtId="0" fontId="0" fillId="0" borderId="96" pivotButton="0" quotePrefix="0" xfId="0"/>
    <xf numFmtId="174" fontId="4" fillId="0" borderId="23" applyAlignment="1" pivotButton="0" quotePrefix="0" xfId="2">
      <alignment horizontal="center" vertical="center" wrapText="1"/>
    </xf>
    <xf numFmtId="174" fontId="4" fillId="0" borderId="59" applyAlignment="1" pivotButton="0" quotePrefix="0" xfId="0">
      <alignment wrapText="1"/>
    </xf>
    <xf numFmtId="174" fontId="2" fillId="0" borderId="47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75" pivotButton="0" quotePrefix="0" xfId="0"/>
    <xf numFmtId="0" fontId="0" fillId="0" borderId="63" pivotButton="0" quotePrefix="0" xfId="0"/>
    <xf numFmtId="174" fontId="4" fillId="45" borderId="23" applyAlignment="1" pivotButton="0" quotePrefix="0" xfId="2">
      <alignment horizontal="right" vertical="center" wrapText="1"/>
    </xf>
    <xf numFmtId="174" fontId="4" fillId="45" borderId="47" applyAlignment="1" pivotButton="0" quotePrefix="0" xfId="2">
      <alignment horizontal="right" vertical="center" wrapText="1"/>
    </xf>
    <xf numFmtId="174" fontId="3" fillId="59" borderId="58" applyAlignment="1" pivotButton="0" quotePrefix="0" xfId="2">
      <alignment vertical="center" wrapText="1"/>
    </xf>
    <xf numFmtId="174" fontId="3" fillId="59" borderId="47" applyAlignment="1" pivotButton="0" quotePrefix="0" xfId="2">
      <alignment vertical="center" wrapText="1"/>
    </xf>
    <xf numFmtId="174" fontId="3" fillId="2" borderId="23" applyAlignment="1" pivotButton="0" quotePrefix="0" xfId="3">
      <alignment horizontal="center" vertical="center" wrapText="1"/>
    </xf>
    <xf numFmtId="174" fontId="3" fillId="2" borderId="47" applyAlignment="1" pivotButton="0" quotePrefix="0" xfId="3">
      <alignment horizontal="center" vertical="center" wrapText="1"/>
    </xf>
    <xf numFmtId="169" fontId="4" fillId="0" borderId="23" applyAlignment="1" pivotButton="0" quotePrefix="1" xfId="3">
      <alignment vertical="center" wrapText="1"/>
    </xf>
    <xf numFmtId="174" fontId="4" fillId="0" borderId="23" applyAlignment="1" pivotButton="0" quotePrefix="1" xfId="3">
      <alignment vertical="center" wrapText="1"/>
    </xf>
    <xf numFmtId="169" fontId="4" fillId="0" borderId="46" applyAlignment="1" pivotButton="0" quotePrefix="1" xfId="3">
      <alignment vertical="center" wrapText="1"/>
    </xf>
    <xf numFmtId="169" fontId="4" fillId="0" borderId="58" applyAlignment="1" pivotButton="0" quotePrefix="1" xfId="3">
      <alignment vertical="center" wrapText="1"/>
    </xf>
    <xf numFmtId="174" fontId="4" fillId="0" borderId="77" applyAlignment="1" pivotButton="0" quotePrefix="1" xfId="3">
      <alignment horizontal="center" vertical="center" wrapText="1"/>
    </xf>
    <xf numFmtId="174" fontId="4" fillId="0" borderId="23" applyAlignment="1" pivotButton="0" quotePrefix="0" xfId="3">
      <alignment vertical="center" wrapText="1"/>
    </xf>
    <xf numFmtId="174" fontId="8" fillId="60" borderId="58" pivotButton="0" quotePrefix="0" xfId="0"/>
    <xf numFmtId="174" fontId="8" fillId="62" borderId="23" pivotButton="0" quotePrefix="0" xfId="0"/>
    <xf numFmtId="174" fontId="8" fillId="62" borderId="58" pivotButton="0" quotePrefix="0" xfId="0"/>
    <xf numFmtId="174" fontId="8" fillId="62" borderId="47" pivotButton="0" quotePrefix="0" xfId="0"/>
    <xf numFmtId="174" fontId="8" fillId="62" borderId="74" pivotButton="0" quotePrefix="0" xfId="0"/>
    <xf numFmtId="174" fontId="8" fillId="62" borderId="61" pivotButton="0" quotePrefix="0" xfId="0"/>
    <xf numFmtId="174" fontId="3" fillId="59" borderId="80" applyAlignment="1" pivotButton="0" quotePrefix="0" xfId="2">
      <alignment vertical="center" wrapText="1"/>
    </xf>
    <xf numFmtId="174" fontId="3" fillId="59" borderId="81" applyAlignment="1" pivotButton="0" quotePrefix="0" xfId="2">
      <alignment vertical="center" wrapText="1"/>
    </xf>
    <xf numFmtId="174" fontId="3" fillId="59" borderId="82" applyAlignment="1" pivotButton="0" quotePrefix="0" xfId="2">
      <alignment vertical="center" wrapText="1"/>
    </xf>
    <xf numFmtId="174" fontId="3" fillId="59" borderId="64" applyAlignment="1" pivotButton="0" quotePrefix="0" xfId="2">
      <alignment vertical="center" wrapText="1"/>
    </xf>
    <xf numFmtId="174" fontId="3" fillId="59" borderId="67" applyAlignment="1" pivotButton="0" quotePrefix="0" xfId="2">
      <alignment vertical="center" wrapText="1"/>
    </xf>
    <xf numFmtId="174" fontId="3" fillId="59" borderId="68" applyAlignment="1" pivotButton="0" quotePrefix="0" xfId="2">
      <alignment vertical="center" wrapText="1"/>
    </xf>
    <xf numFmtId="174" fontId="2" fillId="0" borderId="0" pivotButton="0" quotePrefix="0" xfId="0"/>
    <xf numFmtId="0" fontId="0" fillId="0" borderId="37" pivotButton="0" quotePrefix="0" xfId="0"/>
    <xf numFmtId="0" fontId="0" fillId="0" borderId="98" pivotButton="0" quotePrefix="0" xfId="0"/>
    <xf numFmtId="164" fontId="2" fillId="0" borderId="23" applyAlignment="1" pivotButton="0" quotePrefix="0" xfId="6">
      <alignment vertical="center" wrapText="1"/>
    </xf>
    <xf numFmtId="164" fontId="4" fillId="0" borderId="23" applyAlignment="1" pivotButton="0" quotePrefix="0" xfId="6">
      <alignment vertical="center" wrapText="1"/>
    </xf>
    <xf numFmtId="164" fontId="2" fillId="0" borderId="23" pivotButton="0" quotePrefix="0" xfId="6"/>
    <xf numFmtId="169" fontId="4" fillId="0" borderId="23" applyAlignment="1" pivotButton="0" quotePrefix="1" xfId="2">
      <alignment horizontal="center" vertical="center" wrapText="1"/>
    </xf>
    <xf numFmtId="169" fontId="4" fillId="0" borderId="23" applyAlignment="1" pivotButton="0" quotePrefix="0" xfId="2">
      <alignment horizontal="center" vertical="center" wrapText="1"/>
    </xf>
    <xf numFmtId="164" fontId="4" fillId="0" borderId="23" applyAlignment="1" pivotButton="0" quotePrefix="0" xfId="6">
      <alignment horizontal="left" vertical="center" wrapText="1"/>
    </xf>
    <xf numFmtId="164" fontId="2" fillId="0" borderId="0" pivotButton="0" quotePrefix="0" xfId="0"/>
    <xf numFmtId="164" fontId="2" fillId="0" borderId="23" applyAlignment="1" pivotButton="0" quotePrefix="0" xfId="6">
      <alignment horizontal="left" vertical="center" wrapText="1"/>
    </xf>
    <xf numFmtId="169" fontId="6" fillId="59" borderId="23" applyAlignment="1" pivotButton="0" quotePrefix="0" xfId="2">
      <alignment horizontal="center" vertical="center" wrapText="1"/>
    </xf>
    <xf numFmtId="164" fontId="3" fillId="59" borderId="23" applyAlignment="1" pivotButton="0" quotePrefix="0" xfId="6">
      <alignment vertical="center" wrapText="1"/>
    </xf>
    <xf numFmtId="164" fontId="3" fillId="59" borderId="23" applyAlignment="1" pivotButton="0" quotePrefix="0" xfId="6">
      <alignment horizontal="left" vertical="center" wrapText="1"/>
    </xf>
    <xf numFmtId="164" fontId="3" fillId="2" borderId="23" applyAlignment="1" pivotButton="0" quotePrefix="0" xfId="6">
      <alignment horizontal="center" vertical="center" wrapText="1"/>
    </xf>
    <xf numFmtId="164" fontId="3" fillId="2" borderId="23" applyAlignment="1" pivotButton="0" quotePrefix="0" xfId="6">
      <alignment horizontal="left" vertical="center" wrapText="1"/>
    </xf>
    <xf numFmtId="164" fontId="4" fillId="45" borderId="23" applyAlignment="1" pivotButton="0" quotePrefix="0" xfId="6">
      <alignment vertical="center" wrapText="1"/>
    </xf>
    <xf numFmtId="164" fontId="4" fillId="45" borderId="23" applyAlignment="1" pivotButton="0" quotePrefix="0" xfId="6">
      <alignment horizontal="left" vertical="center" wrapText="1"/>
    </xf>
    <xf numFmtId="164" fontId="2" fillId="45" borderId="23" applyAlignment="1" pivotButton="0" quotePrefix="0" xfId="6">
      <alignment vertical="center" wrapText="1"/>
    </xf>
    <xf numFmtId="164" fontId="2" fillId="45" borderId="23" applyAlignment="1" pivotButton="0" quotePrefix="0" xfId="6">
      <alignment horizontal="left" vertical="center" wrapText="1"/>
    </xf>
    <xf numFmtId="164" fontId="8" fillId="60" borderId="23" applyAlignment="1" pivotButton="0" quotePrefix="0" xfId="6">
      <alignment vertical="top"/>
    </xf>
    <xf numFmtId="164" fontId="8" fillId="60" borderId="23" applyAlignment="1" pivotButton="0" quotePrefix="0" xfId="6">
      <alignment horizontal="left" vertical="top" wrapText="1"/>
    </xf>
    <xf numFmtId="164" fontId="8" fillId="0" borderId="0" pivotButton="0" quotePrefix="0" xfId="6"/>
    <xf numFmtId="164" fontId="8" fillId="0" borderId="0" applyAlignment="1" pivotButton="0" quotePrefix="0" xfId="6">
      <alignment horizontal="left"/>
    </xf>
    <xf numFmtId="164" fontId="8" fillId="0" borderId="23" pivotButton="0" quotePrefix="0" xfId="6"/>
    <xf numFmtId="164" fontId="2" fillId="0" borderId="0" applyAlignment="1" pivotButton="0" quotePrefix="0" xfId="6">
      <alignment horizontal="left"/>
    </xf>
    <xf numFmtId="164" fontId="3" fillId="2" borderId="47" applyAlignment="1" pivotButton="0" quotePrefix="0" xfId="6">
      <alignment horizontal="center" vertical="center" wrapText="1"/>
    </xf>
    <xf numFmtId="169" fontId="4" fillId="0" borderId="0" applyAlignment="1" pivotButton="0" quotePrefix="0" xfId="0">
      <alignment horizontal="center"/>
    </xf>
    <xf numFmtId="164" fontId="2" fillId="0" borderId="33" applyAlignment="1" pivotButton="0" quotePrefix="0" xfId="6">
      <alignment vertical="center" wrapText="1"/>
    </xf>
    <xf numFmtId="169" fontId="4" fillId="0" borderId="47" applyAlignment="1" pivotButton="0" quotePrefix="0" xfId="2">
      <alignment horizontal="center" vertical="center" wrapText="1"/>
    </xf>
    <xf numFmtId="164" fontId="4" fillId="0" borderId="31" applyAlignment="1" pivotButton="0" quotePrefix="0" xfId="6">
      <alignment vertical="center" wrapText="1"/>
    </xf>
    <xf numFmtId="0" fontId="2" fillId="0" borderId="23" applyAlignment="1" pivotButton="0" quotePrefix="0" xfId="2">
      <alignment horizontal="center" vertical="center" wrapText="1"/>
    </xf>
    <xf numFmtId="164" fontId="4" fillId="0" borderId="46" applyAlignment="1" pivotButton="0" quotePrefix="0" xfId="6">
      <alignment vertical="center" wrapText="1"/>
    </xf>
    <xf numFmtId="0" fontId="0" fillId="0" borderId="4" pivotButton="0" quotePrefix="0" xfId="0"/>
    <xf numFmtId="0" fontId="0" fillId="0" borderId="54" pivotButton="0" quotePrefix="0" xfId="0"/>
    <xf numFmtId="164" fontId="4" fillId="0" borderId="31" applyAlignment="1" pivotButton="0" quotePrefix="0" xfId="6">
      <alignment horizontal="left" vertical="center" wrapText="1"/>
    </xf>
    <xf numFmtId="164" fontId="8" fillId="60" borderId="31" applyAlignment="1" pivotButton="0" quotePrefix="0" xfId="6">
      <alignment vertical="top"/>
    </xf>
    <xf numFmtId="164" fontId="8" fillId="60" borderId="31" applyAlignment="1" pivotButton="0" quotePrefix="0" xfId="6">
      <alignment horizontal="left" vertical="top" wrapText="1"/>
    </xf>
    <xf numFmtId="164" fontId="8" fillId="60" borderId="33" pivotButton="0" quotePrefix="0" xfId="6"/>
    <xf numFmtId="164" fontId="8" fillId="60" borderId="33" applyAlignment="1" pivotButton="0" quotePrefix="0" xfId="6">
      <alignment horizontal="left"/>
    </xf>
    <xf numFmtId="164" fontId="76" fillId="12" borderId="0" pivotButton="0" quotePrefix="0" xfId="6"/>
    <xf numFmtId="164" fontId="6" fillId="12" borderId="0" pivotButton="0" quotePrefix="0" xfId="6"/>
    <xf numFmtId="164" fontId="3" fillId="12" borderId="0" pivotButton="0" quotePrefix="0" xfId="6"/>
    <xf numFmtId="164" fontId="3" fillId="12" borderId="0" pivotButton="0" quotePrefix="0" xfId="0"/>
    <xf numFmtId="164" fontId="84" fillId="0" borderId="0" pivotButton="0" quotePrefix="0" xfId="6"/>
    <xf numFmtId="164" fontId="39" fillId="0" borderId="0" pivotButton="0" quotePrefix="0" xfId="6"/>
    <xf numFmtId="164" fontId="0" fillId="43" borderId="0" pivotButton="0" quotePrefix="0" xfId="6"/>
    <xf numFmtId="164" fontId="76" fillId="11" borderId="0" pivotButton="0" quotePrefix="0" xfId="6"/>
    <xf numFmtId="164" fontId="6" fillId="11" borderId="0" pivotButton="0" quotePrefix="0" xfId="6"/>
    <xf numFmtId="164" fontId="0" fillId="11" borderId="0" pivotButton="0" quotePrefix="0" xfId="6"/>
    <xf numFmtId="164" fontId="6" fillId="43" borderId="0" pivotButton="0" quotePrefix="0" xfId="6"/>
    <xf numFmtId="164" fontId="0" fillId="11" borderId="0" pivotButton="0" quotePrefix="0" xfId="0"/>
    <xf numFmtId="164" fontId="0" fillId="61" borderId="0" pivotButton="0" quotePrefix="0" xfId="0"/>
    <xf numFmtId="170" fontId="2" fillId="48" borderId="0" applyAlignment="1" pivotButton="0" quotePrefix="0" xfId="71">
      <alignment vertical="center"/>
    </xf>
    <xf numFmtId="170" fontId="53" fillId="51" borderId="0" applyAlignment="1" pivotButton="0" quotePrefix="0" xfId="71">
      <alignment vertical="center"/>
    </xf>
    <xf numFmtId="170" fontId="0" fillId="0" borderId="0" pivotButton="0" quotePrefix="0" xfId="0"/>
    <xf numFmtId="170" fontId="2" fillId="52" borderId="0" applyAlignment="1" pivotButton="0" quotePrefix="0" xfId="71">
      <alignment vertical="center"/>
    </xf>
    <xf numFmtId="170" fontId="53" fillId="52" borderId="0" applyAlignment="1" pivotButton="0" quotePrefix="0" xfId="71">
      <alignment vertical="center"/>
    </xf>
    <xf numFmtId="165" fontId="4" fillId="0" borderId="0" applyAlignment="1" pivotButton="0" quotePrefix="0" xfId="0">
      <alignment vertical="top" wrapText="1" readingOrder="1"/>
    </xf>
    <xf numFmtId="165" fontId="4" fillId="5" borderId="0" applyAlignment="1" pivotButton="0" quotePrefix="0" xfId="0">
      <alignment vertical="top" wrapText="1" readingOrder="1"/>
    </xf>
    <xf numFmtId="165" fontId="0" fillId="0" borderId="0" applyAlignment="1" pivotButton="0" quotePrefix="0" xfId="0">
      <alignment vertical="top"/>
    </xf>
    <xf numFmtId="165" fontId="0" fillId="5" borderId="0" applyAlignment="1" pivotButton="0" quotePrefix="0" xfId="0">
      <alignment vertical="top"/>
    </xf>
    <xf numFmtId="165" fontId="40" fillId="0" borderId="0" applyAlignment="1" pivotButton="0" quotePrefix="0" xfId="0">
      <alignment vertical="top" wrapText="1" readingOrder="1"/>
    </xf>
    <xf numFmtId="165" fontId="40" fillId="5" borderId="0" applyAlignment="1" pivotButton="0" quotePrefix="0" xfId="0">
      <alignment vertical="top" wrapText="1" readingOrder="1"/>
    </xf>
    <xf numFmtId="165" fontId="39" fillId="0" borderId="0" applyAlignment="1" pivotButton="0" quotePrefix="0" xfId="0">
      <alignment vertical="top"/>
    </xf>
    <xf numFmtId="165" fontId="39" fillId="5" borderId="0" applyAlignment="1" pivotButton="0" quotePrefix="0" xfId="0">
      <alignment vertical="top"/>
    </xf>
    <xf numFmtId="165" fontId="3" fillId="5" borderId="0" applyAlignment="1" pivotButton="0" quotePrefix="0" xfId="0">
      <alignment vertical="top"/>
    </xf>
    <xf numFmtId="165" fontId="3" fillId="0" borderId="0" applyAlignment="1" pivotButton="0" quotePrefix="0" xfId="0">
      <alignment vertical="top"/>
    </xf>
    <xf numFmtId="164" fontId="0" fillId="0" borderId="0" applyAlignment="1" pivotButton="0" quotePrefix="0" xfId="0">
      <alignment vertical="top"/>
    </xf>
    <xf numFmtId="164" fontId="3" fillId="0" borderId="0" applyAlignment="1" pivotButton="0" quotePrefix="0" xfId="0">
      <alignment vertical="top"/>
    </xf>
    <xf numFmtId="171" fontId="0" fillId="0" borderId="0" applyAlignment="1" pivotButton="0" quotePrefix="0" xfId="6">
      <alignment vertical="top"/>
    </xf>
    <xf numFmtId="172" fontId="0" fillId="0" borderId="0" applyAlignment="1" pivotButton="0" quotePrefix="0" xfId="0">
      <alignment horizontal="left"/>
    </xf>
    <xf numFmtId="174" fontId="61" fillId="5" borderId="2" pivotButton="0" quotePrefix="0" xfId="0"/>
    <xf numFmtId="174" fontId="56" fillId="5" borderId="0" pivotButton="0" quotePrefix="0" xfId="0"/>
    <xf numFmtId="174" fontId="61" fillId="53" borderId="0" pivotButton="0" quotePrefix="0" xfId="0"/>
    <xf numFmtId="174" fontId="61" fillId="5" borderId="0" pivotButton="0" quotePrefix="0" xfId="0"/>
    <xf numFmtId="0" fontId="31" fillId="0" borderId="99" applyAlignment="1" pivotButton="0" quotePrefix="0" xfId="0">
      <alignment horizontal="center" vertical="center"/>
    </xf>
    <xf numFmtId="0" fontId="31" fillId="0" borderId="15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17" pivotButton="0" quotePrefix="0" xfId="0"/>
    <xf numFmtId="0" fontId="0" fillId="0" borderId="16" pivotButton="0" quotePrefix="0" xfId="0"/>
    <xf numFmtId="14" fontId="31" fillId="0" borderId="16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18" pivotButton="0" quotePrefix="0" xfId="0"/>
    <xf numFmtId="169" fontId="0" fillId="0" borderId="28" pivotButton="0" quotePrefix="0" xfId="0"/>
    <xf numFmtId="169" fontId="0" fillId="0" borderId="101" applyAlignment="1" pivotButton="0" quotePrefix="0" xfId="0">
      <alignment horizontal="center"/>
    </xf>
    <xf numFmtId="0" fontId="0" fillId="0" borderId="35" pivotButton="0" quotePrefix="0" xfId="0"/>
    <xf numFmtId="165" fontId="0" fillId="0" borderId="0" applyAlignment="1" pivotButton="0" quotePrefix="0" xfId="0">
      <alignment horizontal="center"/>
    </xf>
    <xf numFmtId="166" fontId="0" fillId="0" borderId="0" applyAlignment="1" pivotButton="0" quotePrefix="0" xfId="5">
      <alignment horizontal="center"/>
    </xf>
    <xf numFmtId="164" fontId="6" fillId="6" borderId="0" pivotButton="0" quotePrefix="0" xfId="6"/>
    <xf numFmtId="164" fontId="3" fillId="6" borderId="0" pivotButton="0" quotePrefix="0" xfId="6"/>
    <xf numFmtId="165" fontId="5" fillId="0" borderId="0" applyAlignment="1" pivotButton="0" quotePrefix="0" xfId="0">
      <alignment horizontal="center"/>
    </xf>
    <xf numFmtId="166" fontId="5" fillId="0" borderId="0" applyAlignment="1" pivotButton="0" quotePrefix="0" xfId="5">
      <alignment horizontal="center"/>
    </xf>
    <xf numFmtId="164" fontId="12" fillId="0" borderId="0" pivotButton="0" quotePrefix="0" xfId="6"/>
    <xf numFmtId="164" fontId="12" fillId="6" borderId="0" pivotButton="0" quotePrefix="0" xfId="6"/>
    <xf numFmtId="165" fontId="3" fillId="7" borderId="0" applyAlignment="1" pivotButton="0" quotePrefix="0" xfId="0">
      <alignment horizontal="center"/>
    </xf>
    <xf numFmtId="165" fontId="3" fillId="7" borderId="0" pivotButton="0" quotePrefix="0" xfId="0"/>
    <xf numFmtId="164" fontId="3" fillId="7" borderId="0" pivotButton="0" quotePrefix="0" xfId="6"/>
    <xf numFmtId="164" fontId="6" fillId="4" borderId="0" pivotButton="0" quotePrefix="0" xfId="6"/>
    <xf numFmtId="164" fontId="3" fillId="4" borderId="0" pivotButton="0" quotePrefix="0" xfId="6"/>
    <xf numFmtId="165" fontId="4" fillId="0" borderId="0" applyAlignment="1" pivotButton="0" quotePrefix="0" xfId="0">
      <alignment horizontal="center"/>
    </xf>
    <xf numFmtId="166" fontId="4" fillId="0" borderId="0" applyAlignment="1" pivotButton="0" quotePrefix="0" xfId="5">
      <alignment horizontal="center"/>
    </xf>
    <xf numFmtId="165" fontId="3" fillId="5" borderId="0" applyAlignment="1" pivotButton="0" quotePrefix="0" xfId="0">
      <alignment horizontal="center"/>
    </xf>
    <xf numFmtId="165" fontId="3" fillId="5" borderId="0" pivotButton="0" quotePrefix="0" xfId="0"/>
    <xf numFmtId="164" fontId="39" fillId="5" borderId="0" pivotButton="0" quotePrefix="0" xfId="6"/>
    <xf numFmtId="164" fontId="40" fillId="4" borderId="0" pivotButton="0" quotePrefix="0" xfId="6"/>
    <xf numFmtId="164" fontId="39" fillId="4" borderId="0" pivotButton="0" quotePrefix="0" xfId="6"/>
    <xf numFmtId="167" fontId="0" fillId="0" borderId="0" pivotButton="0" quotePrefix="1" xfId="0"/>
    <xf numFmtId="165" fontId="0" fillId="5" borderId="0" applyAlignment="1" pivotButton="0" quotePrefix="0" xfId="0">
      <alignment horizontal="center"/>
    </xf>
    <xf numFmtId="165" fontId="0" fillId="5" borderId="0" pivotButton="0" quotePrefix="0" xfId="0"/>
    <xf numFmtId="165" fontId="4" fillId="0" borderId="0" pivotButton="0" quotePrefix="0" xfId="0"/>
    <xf numFmtId="164" fontId="41" fillId="0" borderId="0" pivotButton="0" quotePrefix="0" xfId="6"/>
    <xf numFmtId="165" fontId="5" fillId="0" borderId="0" pivotButton="0" quotePrefix="0" xfId="0"/>
    <xf numFmtId="165" fontId="0" fillId="0" borderId="0" pivotButton="0" quotePrefix="0" xfId="0"/>
    <xf numFmtId="165" fontId="30" fillId="0" borderId="0" applyAlignment="1" pivotButton="0" quotePrefix="0" xfId="0">
      <alignment horizontal="center"/>
    </xf>
    <xf numFmtId="165" fontId="30" fillId="0" borderId="0" pivotButton="0" quotePrefix="0" xfId="0"/>
    <xf numFmtId="164" fontId="30" fillId="0" borderId="0" pivotButton="0" quotePrefix="0" xfId="6"/>
    <xf numFmtId="165" fontId="0" fillId="9" borderId="0" applyAlignment="1" pivotButton="0" quotePrefix="0" xfId="0">
      <alignment horizontal="center"/>
    </xf>
    <xf numFmtId="165" fontId="0" fillId="9" borderId="0" pivotButton="0" quotePrefix="0" xfId="0"/>
    <xf numFmtId="164" fontId="0" fillId="9" borderId="0" pivotButton="0" quotePrefix="0" xfId="6"/>
    <xf numFmtId="164" fontId="4" fillId="9" borderId="0" pivotButton="0" quotePrefix="0" xfId="6"/>
    <xf numFmtId="165" fontId="3" fillId="9" borderId="0" applyAlignment="1" pivotButton="0" quotePrefix="0" xfId="0">
      <alignment horizontal="center"/>
    </xf>
    <xf numFmtId="165" fontId="3" fillId="9" borderId="0" pivotButton="0" quotePrefix="0" xfId="0"/>
    <xf numFmtId="164" fontId="6" fillId="9" borderId="0" pivotButton="0" quotePrefix="0" xfId="6"/>
    <xf numFmtId="164" fontId="3" fillId="9" borderId="0" pivotButton="0" quotePrefix="0" xfId="6"/>
    <xf numFmtId="164" fontId="39" fillId="9" borderId="0" pivotButton="0" quotePrefix="0" xfId="6"/>
    <xf numFmtId="164" fontId="40" fillId="9" borderId="0" pivotButton="0" quotePrefix="0" xfId="6"/>
    <xf numFmtId="164" fontId="0" fillId="4" borderId="0" pivotButton="0" quotePrefix="0" xfId="6"/>
    <xf numFmtId="164" fontId="4" fillId="4" borderId="0" pivotButton="0" quotePrefix="0" xfId="6"/>
    <xf numFmtId="164" fontId="39" fillId="0" borderId="0" pivotButton="0" quotePrefix="0" xfId="0"/>
    <xf numFmtId="168" fontId="0" fillId="0" borderId="0" pivotButton="0" quotePrefix="0" xfId="0"/>
  </cellXfs>
  <cellStyles count="74">
    <cellStyle name="Normal" xfId="0" builtinId="0"/>
    <cellStyle name="Standard 2" xfId="1"/>
    <cellStyle name="Standard 2 2" xfId="2"/>
    <cellStyle name="Notiz 2" xfId="3"/>
    <cellStyle name="Standard 3" xfId="4"/>
    <cellStyle name="Comma" xfId="5" builtinId="3"/>
    <cellStyle name="Currency" xfId="6" builtinId="4"/>
    <cellStyle name="Percent" xfId="7" builtinId="5"/>
    <cellStyle name="Standard 4" xfId="8"/>
    <cellStyle name="Prozent 2" xfId="9"/>
    <cellStyle name="Standard 2 3" xfId="10"/>
    <cellStyle name="Komma 2 2" xfId="11"/>
    <cellStyle name="Note" xfId="12" builtinId="10"/>
    <cellStyle name="HC 01 Mio €" xfId="13"/>
    <cellStyle name="Standard 2 4" xfId="14"/>
    <cellStyle name="Standard 2 2 2" xfId="15"/>
    <cellStyle name="Standard 3 2" xfId="16"/>
    <cellStyle name="Komma 3" xfId="17"/>
    <cellStyle name="Standard 4 2" xfId="18"/>
    <cellStyle name="HC 01 Mio € 3" xfId="19"/>
    <cellStyle name="HC 01 Mio € 2" xfId="20"/>
    <cellStyle name="Überschrift 5" xfId="21"/>
    <cellStyle name="Überschrift 1 2" xfId="22"/>
    <cellStyle name="Überschrift 2 2" xfId="23"/>
    <cellStyle name="Überschrift 3 2" xfId="24"/>
    <cellStyle name="Überschrift 4 2" xfId="25"/>
    <cellStyle name="Gut 2" xfId="26"/>
    <cellStyle name="Schlecht 2" xfId="27"/>
    <cellStyle name="Neutral 2" xfId="28"/>
    <cellStyle name="Eingabe 2" xfId="29"/>
    <cellStyle name="Ausgabe 2" xfId="30"/>
    <cellStyle name="Berechnung 2" xfId="31"/>
    <cellStyle name="Verknüpfte Zelle 2" xfId="32"/>
    <cellStyle name="Zelle überprüfen 2" xfId="33"/>
    <cellStyle name="Warnender Text 2" xfId="34"/>
    <cellStyle name="Erklärender Text 2" xfId="35"/>
    <cellStyle name="Ergebnis 2" xfId="36"/>
    <cellStyle name="Akzent1 2" xfId="37"/>
    <cellStyle name="20 % - Akzent1 2" xfId="38"/>
    <cellStyle name="40 % - Akzent1 2" xfId="39"/>
    <cellStyle name="60 % - Akzent1 2" xfId="40"/>
    <cellStyle name="Akzent2 2" xfId="41"/>
    <cellStyle name="20 % - Akzent2 2" xfId="42"/>
    <cellStyle name="40 % - Akzent2 2" xfId="43"/>
    <cellStyle name="60 % - Akzent2 2" xfId="44"/>
    <cellStyle name="Akzent3 2" xfId="45"/>
    <cellStyle name="20 % - Akzent3 2" xfId="46"/>
    <cellStyle name="40 % - Akzent3 2" xfId="47"/>
    <cellStyle name="60 % - Akzent3 2" xfId="48"/>
    <cellStyle name="Akzent4 2" xfId="49"/>
    <cellStyle name="20 % - Akzent4 2" xfId="50"/>
    <cellStyle name="40 % - Akzent4 2" xfId="51"/>
    <cellStyle name="60 % - Akzent4 2" xfId="52"/>
    <cellStyle name="Akzent5 2" xfId="53"/>
    <cellStyle name="20 % - Akzent5 2" xfId="54"/>
    <cellStyle name="40 % - Akzent5 2" xfId="55"/>
    <cellStyle name="60 % - Akzent5 2" xfId="56"/>
    <cellStyle name="Akzent6 2" xfId="57"/>
    <cellStyle name="20 % - Akzent6 2" xfId="58"/>
    <cellStyle name="40 % - Akzent6 2" xfId="59"/>
    <cellStyle name="60 % - Akzent6 2" xfId="60"/>
    <cellStyle name="Komma 2" xfId="61"/>
    <cellStyle name="Standard 5" xfId="62"/>
    <cellStyle name="Comma 3" xfId="63"/>
    <cellStyle name="Normal 2" xfId="64"/>
    <cellStyle name="Standard 6" xfId="65"/>
    <cellStyle name="Normal 3" xfId="66"/>
    <cellStyle name="Komma 4" xfId="67"/>
    <cellStyle name="Moneda 2" xfId="68"/>
    <cellStyle name="Prozent 3" xfId="69"/>
    <cellStyle name="Standard 11" xfId="70"/>
    <cellStyle name="Dezimal 2" xfId="71"/>
    <cellStyle name="Standard 7" xfId="72"/>
    <cellStyle name="Standard 8" xfId="73"/>
  </cellStyles>
  <dxfs count="11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externalLink" Target="/xl/externalLinks/externalLink1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comments/comment1.xml><?xml version="1.0" encoding="utf-8"?>
<comments xmlns="http://schemas.openxmlformats.org/spreadsheetml/2006/main">
  <authors>
    <author>Swoboda, Claudia (GBS H2R DPS 2 1)</author>
    <author>tc={93440459-E866-47C8-8045-FA71B32539E2}</author>
    <author>tc={E4811759-FD7F-4D03-96C3-6A9E04DBCA71}</author>
    <author>tc={48B8A95F-A76F-427B-BA3D-92E86F9389DC}</author>
  </authors>
  <commentList>
    <comment ref="M16" authorId="0" shapeId="0">
      <text>
        <t>Swoboda, Claudia (GBS H2R DPS 2 1):
Manual ticket transfer to SNOW from FNOW ticket</t>
      </text>
    </comment>
    <comment ref="F17" authorId="0" shapeId="0">
      <text>
        <t xml:space="preserve">Swoboda, Claudia (GBS H2R DPS 2 1):
Internal 260,00
</t>
      </text>
    </comment>
    <comment ref="G17" authorId="0" shapeId="0">
      <text>
        <t>Swoboda, Claudia (GBS H2R DPS 2 1):
Internal 310,00</t>
      </text>
    </comment>
    <comment ref="H17" authorId="0" shapeId="0">
      <text>
        <t>Swoboda, Claudia (GBS H2R DPS 2 1):
Internal 130,00</t>
      </text>
    </comment>
    <comment ref="K17" authorId="0" shapeId="0">
      <text>
        <t>Swoboda, Claudia (GBS H2R DPS 2 1):
Internal 570,00</t>
      </text>
    </comment>
    <comment ref="M30" authorId="0" shapeId="0">
      <text>
        <t>Swoboda, Claudia (GBS H2R DPS 2 1):
Korrektur für April: 100 Std auf SB US
deshalb keine Std.buchung für Mai auf OP</t>
      </text>
    </comment>
    <comment ref="L47" authorId="0" shapeId="0">
      <text>
        <t>Swoboda, Claudia (GBS H2R DPS 2 1):
Adobe 8.543 - 18.809,35 (Gutschrift PEP Projekt, Okt - Mrz)</t>
      </text>
    </comment>
    <comment ref="E49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https://wiki.siemens.com/display/en/H2R+DPS+Mail+Services</t>
      </text>
    </comment>
    <comment ref="K52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Cancellation effective March 31st</t>
      </text>
    </comment>
    <comment ref="E55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Charging only for integrations target systems; no payment for Ef and Tupu</t>
      </text>
    </comment>
  </commentList>
</comments>
</file>

<file path=xl/comments/comment2.xml><?xml version="1.0" encoding="utf-8"?>
<comments xmlns="http://schemas.openxmlformats.org/spreadsheetml/2006/main">
  <authors>
    <author>Swoboda, Claudia (GBS H2R DPS 2 1)</author>
  </authors>
  <commentList>
    <comment ref="K20" authorId="0" shapeId="0">
      <text>
        <t>Swoboda, Claudia (GBS H2R DPS 2 1):
BSD-97 Bestellung Master Key: Verrechnung bei Frau Blei, Monika angefragt</t>
      </text>
    </comment>
    <comment ref="H21" authorId="0" shapeId="0">
      <text>
        <t>Swoboda, Claudia (GBS H2R DPS 2 1):
Removing hours from the incorrect PCT element for the 1Q 2025</t>
      </text>
    </comment>
    <comment ref="G25" authorId="0" shapeId="0">
      <text>
        <t>Swoboda, Claudia (GBS H2R DPS 2 1):
#INV2134 (korrigierte Rechnung am 17.12.2024 freigegeben)</t>
      </text>
    </comment>
    <comment ref="I25" authorId="0" shapeId="0">
      <text>
        <t>Swoboda, Claudia (GBS H2R DPS 2 1):
VLL 01/25 gemeldet
INV2336 reklamiert
Neue Rechnung INV2336A am 05.05.2025 freigegeben</t>
      </text>
    </comment>
    <comment ref="J25" authorId="0" shapeId="0">
      <text>
        <t>Swoboda, Claudia (GBS H2R DPS 2 1):
VLL 02/25 gemeldet
INV2336 reklamiert
Neue Rechnung INV2336A am 05.05.2025 freigegeben</t>
      </text>
    </comment>
    <comment ref="K25" authorId="0" shapeId="0">
      <text>
        <t>Swoboda, Claudia (GBS H2R DPS 2 1):
INV2337 vom 11.04.2025</t>
      </text>
    </comment>
    <comment ref="L25" authorId="0" shapeId="0">
      <text>
        <t>Swoboda, Claudia (GBS H2R DPS 2 1):
VLL für 04/25</t>
      </text>
    </comment>
    <comment ref="L44" authorId="0" shapeId="0">
      <text>
        <t>Swoboda, Claudia (GBS H2R DPS 2 1):
inkl. Nachbuchung für Mrz</t>
      </text>
    </comment>
    <comment ref="F58" authorId="0" shapeId="0">
      <text>
        <t>Swoboda, Claudia (GBS H2R DPS 2 1):
Invoice DE02246
20.12.2024</t>
      </text>
    </comment>
    <comment ref="G58" authorId="0" shapeId="0">
      <text>
        <t>Swoboda, Claudia (GBS H2R DPS 2 1):
Invoice DE02246
20.12.2024</t>
      </text>
    </comment>
    <comment ref="H58" authorId="0" shapeId="0">
      <text>
        <t xml:space="preserve">Swoboda, Claudia (GBS H2R DPS 2 1):
Invoice DE02268 vom 23.01.2025
</t>
      </text>
    </comment>
    <comment ref="I58" authorId="0" shapeId="0">
      <text>
        <t>Swoboda, Claudia (GBS H2R DPS 2 1):
Invoice DE002300 vom 26.02.2025</t>
      </text>
    </comment>
    <comment ref="J58" authorId="0" shapeId="0">
      <text>
        <t>Swoboda, Claudia (GBS H2R DPS 2 1):
VLL 02/25 gemeldet
Invoice DE02329 vom 27.03.2025</t>
      </text>
    </comment>
    <comment ref="K58" authorId="0" shapeId="0">
      <text>
        <t>Swoboda, Claudia (GBS H2R DPS 2 1):
VLL 03/25 gemeldet
Invoice DE02342 vom 09.04.2025 = €55781
Sonderbudget SHS €15.929
Avature Crew € 39.852</t>
      </text>
    </comment>
    <comment ref="L58" authorId="0" shapeId="0">
      <text>
        <t>Swoboda, Claudia (GBS H2R DPS 2 1):
VLL für 04/25 gemeldet
Rg. DE02402 vom 06.06.2025</t>
      </text>
    </comment>
    <comment ref="G59" authorId="0" shapeId="0">
      <text>
        <t>Swoboda, Claudia (GBS H2R DPS 2 1):
Invoice DE02246
20.12.2024</t>
      </text>
    </comment>
    <comment ref="H59" authorId="0" shapeId="0">
      <text>
        <t>Swoboda, Claudia (GBS H2R DPS 2 1):
Invoice DE02268 vom 23.01.2025</t>
      </text>
    </comment>
    <comment ref="J59" authorId="0" shapeId="0">
      <text>
        <t>Swoboda, Claudia (GBS H2R DPS 2 1):
Invoice DE02329 vom 27.03.2025</t>
      </text>
    </comment>
    <comment ref="K59" authorId="0" shapeId="0">
      <text>
        <t>Swoboda, Claudia (GBS H2R DPS 2 1):
Invoice DE02343 vom 10.04.2025 reklamiert
von Greg und Björn als ok bestätigt</t>
      </text>
    </comment>
    <comment ref="K90" authorId="0" shapeId="0">
      <text>
        <t>Swoboda, Claudia (GBS H2R DPS 2 1):
VLL 03/25 €37.500 gemeldet</t>
      </text>
    </comment>
    <comment ref="L90" authorId="0" shapeId="0">
      <text>
        <t>Swoboda, Claudia (GBS H2R DPS 2 1):
VLL 04/25 €37.500 gemeldet</t>
      </text>
    </comment>
    <comment ref="M91" authorId="0" shapeId="0">
      <text>
        <t>Swoboda, Claudia (GBS H2R DPS 2 1):
Rechnung DE02379 vom 13.05.2025</t>
      </text>
    </comment>
    <comment ref="N95" authorId="0" shapeId="0">
      <text>
        <t xml:space="preserve">Swoboda, Claudia (GBS H2R DPS 2 1):
Avature Reisekosten Workshop Lisbon (PO 9708872111 ) </t>
      </text>
    </comment>
    <comment ref="L134" authorId="0" shapeId="0">
      <text>
        <t>Swoboda, Claudia (GBS H2R DPS 2 1):
+ 57.000 Avature für April
- 16.000 Avature aus Mrz (auf SHS)</t>
      </text>
    </comment>
  </commentList>
</comments>
</file>

<file path=xl/comments/comment3.xml><?xml version="1.0" encoding="utf-8"?>
<comments xmlns="http://schemas.openxmlformats.org/spreadsheetml/2006/main">
  <authors>
    <author>Swoboda, Claudia (GBS H2R DPS 2 1)</author>
  </authors>
  <commentList>
    <comment ref="C3" authorId="0" shapeId="0">
      <text>
        <t>Swoboda, Claudia (GBS H2R DPS 2 1):
#INV2134 (korrigierte Rechnung am 17.12.2024 freigegeben)</t>
      </text>
    </comment>
    <comment ref="E3" authorId="0" shapeId="0">
      <text>
        <t>Swoboda, Claudia (GBS H2R DPS 2 1):
VLL 01/25 gemeldet
INV2336 reklamiert</t>
      </text>
    </comment>
    <comment ref="F3" authorId="0" shapeId="0">
      <text>
        <t>Swoboda, Claudia (GBS H2R DPS 2 1):
VLL 02/25 gemeldet
INV2336 reklamiert</t>
      </text>
    </comment>
    <comment ref="G3" authorId="0" shapeId="0">
      <text>
        <t>Swoboda, Claudia (GBS H2R DPS 2 1):
INV2337 vom 11.04.2025</t>
      </text>
    </comment>
    <comment ref="E4" authorId="0" shapeId="0">
      <text>
        <t>Swoboda, Claudia (GBS H2R DPS 2 1):
INV2238</t>
      </text>
    </comment>
    <comment ref="F4" authorId="0" shapeId="0">
      <text>
        <t>Swoboda, Claudia (GBS H2R DPS 2 1):
INV2336A</t>
      </text>
    </comment>
    <comment ref="F5" authorId="0" shapeId="0">
      <text>
        <t>Swoboda, Claudia (GBS H2R DPS 2 1):
INV2336</t>
      </text>
    </comment>
    <comment ref="F6" authorId="0" shapeId="0">
      <text>
        <t>Swoboda, Claudia (GBS H2R DPS 2 1):
CM 212 für INV2238</t>
      </text>
    </comment>
  </commentList>
</comments>
</file>

<file path=xl/comments/comment4.xml><?xml version="1.0" encoding="utf-8"?>
<comments xmlns="http://schemas.openxmlformats.org/spreadsheetml/2006/main">
  <authors>
    <author>Swoboda, Claudia (GBS H2R DPS 2 1)</author>
  </authors>
  <commentList>
    <comment ref="G10" authorId="0" shapeId="0">
      <text>
        <t>Swoboda, Claudia (GBS H2R DPS 2 1):
Invoice DE02342 vom 09.04.2025</t>
      </text>
    </comment>
    <comment ref="Q17" authorId="0" shapeId="0">
      <text>
        <t xml:space="preserve">Swoboda, Claudia (GBS H2R DPS 2 1):
 80 Std. </t>
      </text>
    </comment>
    <comment ref="R17" authorId="0" shapeId="0">
      <text>
        <t>Swoboda, Claudia (GBS H2R DPS 2 1):
68 Std.</t>
      </text>
    </comment>
    <comment ref="V17" authorId="0" shapeId="0">
      <text>
        <t>Swoboda, Claudia (GBS H2R DPS 2 1):
62 Std * 130 =8.060</t>
      </text>
    </comment>
    <comment ref="Q20" authorId="0" shapeId="0">
      <text>
        <t>Swoboda, Claudia (GBS H2R DPS 2 1):
 100 Std</t>
      </text>
    </comment>
    <comment ref="R20" authorId="0" shapeId="0">
      <text>
        <t xml:space="preserve">Swoboda, Claudia (GBS H2R DPS 2 1):
80 Std. </t>
      </text>
    </comment>
    <comment ref="Q29" authorId="0" shapeId="0">
      <text>
        <t>Swoboda, Claudia (GBS H2R DPS 2 1):
 20 Std</t>
      </text>
    </comment>
    <comment ref="R29" authorId="0" shapeId="0">
      <text>
        <t>Swoboda, Claudia (GBS H2R DPS 2 1):
20 Std.</t>
      </text>
    </comment>
  </commentList>
</comments>
</file>

<file path=xl/comments/comment5.xml><?xml version="1.0" encoding="utf-8"?>
<comments xmlns="http://schemas.openxmlformats.org/spreadsheetml/2006/main">
  <authors>
    <author>Swoboda, Claudia (SOP IT APD HRS C05)</author>
    <author>Helbing, Bjoern (SOP IT APD HRS C06)</author>
  </authors>
  <commentList>
    <comment ref="X12" authorId="0" shapeId="0">
      <text>
        <t>Swoboda, Claudia (SOP IT APD HRS C05):
3 FTE 
64.000
64.000
67.200
=195.200 zuzgl. 5% =204.960
0,5 FTE zusätzlich für AI-TM
32.000 zuzügl. 5% = 33.600
Summe: 238.560</t>
      </text>
    </comment>
    <comment ref="X19" authorId="0" shapeId="0">
      <text>
        <t>Swoboda, Claudia (SOP IT APD HRS C05):
2 FTE
51.200
32.000
32.000
=115.200 zuzügl. 5% = 120.750
0,5 FTE zusätzlich für AI-TM
32.000 zuzügl. 5% = 33.600
Summe= 154.350</t>
      </text>
    </comment>
    <comment ref="X28" authorId="0" shapeId="0">
      <text>
        <t>Swoboda, Claudia (SOP IT APD HRS C05):
1,5 FTE
152.000 (Amanda)
76.000 (Claudia 50%)
+Umlage
120.000
+Pentest
30.000
= 378.000
1 FTE zusätzlich für AI-TM
120.000 zuzügl. 5% = 126.000 (Jan)
Summe = 504.000
oder
2 FTE
152.000 (Amanda)
126.000 (Jan)
+Umlage
120.000
+Pentest 
30.000
= 428.000
0,5 FTE zusätzlich für AI-TM
76.000 (Claudia 50%)
Summe = 504.000</t>
      </text>
    </comment>
    <comment ref="X34" authorId="0" shapeId="0">
      <text>
        <t>Swoboda, Claudia (SOP IT APD HRS C05):
1,5 FTE
152.000 (Amanda)
76.000 (Claudia 50%)
+Umlage
120.000
+Pentest
30.000
= 378.000
1 FTE zusätzlich für AI-TM
120.000 zuzügl. 5% = 126.000 (Jan)
Summe = 504.000
oder
2 FTE
152.000 (Amanda)
126.000 (Jan)
+Umlage
120.000
+Pentest 
30.000
= 428.000
0,5 FTE zusätzlich für AI-TM
76.000 (Claudia 50%)
Summe = 504.000</t>
      </text>
    </comment>
    <comment ref="K66" authorId="1" shapeId="0">
      <text>
        <t xml:space="preserve">+1455,- € für EF ab Go-Live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https://wse07.siemens.com/content/P0000504/Snapshare/Documents/Snapshare_Project%20Calculation_FY19_2019-09-10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ost Estimate"/>
      <sheetName val="Detail Costs Estimate"/>
      <sheetName val="Chart"/>
      <sheetName val="Sprints"/>
      <sheetName val="Ressources"/>
      <sheetName val="Allocation"/>
      <sheetName val="PCT"/>
      <sheetName val="HS Reporting"/>
    </sheetNames>
    <sheetDataSet>
      <sheetData sheetId="0">
        <row r="10">
          <cell r="E10">
            <v>110</v>
          </cell>
        </row>
        <row r="12">
          <cell r="K12">
            <v>90</v>
          </cell>
        </row>
        <row r="17">
          <cell r="H17">
            <v>2</v>
          </cell>
        </row>
        <row r="36">
          <cell r="E36">
            <v>95200</v>
          </cell>
        </row>
      </sheetData>
      <sheetData sheetId="1">
        <row r="22">
          <cell r="B22" t="str">
            <v>Summary</v>
          </cell>
        </row>
      </sheetData>
      <sheetData sheetId="2" refreshError="1"/>
      <sheetData sheetId="3">
        <row r="1">
          <cell r="A1" t="str">
            <v>Sprint name</v>
          </cell>
          <cell r="B1" t="str">
            <v>Starte Date</v>
          </cell>
          <cell r="C1" t="str">
            <v>End Date</v>
          </cell>
          <cell r="D1" t="str">
            <v>Budget</v>
          </cell>
          <cell r="E1" t="str">
            <v>Estimate</v>
          </cell>
          <cell r="F1" t="str">
            <v>Estimate Total</v>
          </cell>
          <cell r="G1" t="str">
            <v>Expected Velocity</v>
          </cell>
          <cell r="H1" t="str">
            <v>Allocation</v>
          </cell>
        </row>
        <row r="2">
          <cell r="A2" t="str">
            <v>Sprint 1</v>
          </cell>
          <cell r="B2">
            <v>43580</v>
          </cell>
          <cell r="C2">
            <v>43594</v>
          </cell>
          <cell r="D2">
            <v>95200</v>
          </cell>
          <cell r="E2">
            <v>7525</v>
          </cell>
          <cell r="F2">
            <v>7525</v>
          </cell>
          <cell r="G2">
            <v>100</v>
          </cell>
          <cell r="H2">
            <v>10792.25</v>
          </cell>
        </row>
        <row r="3">
          <cell r="A3" t="str">
            <v>Sprint 2</v>
          </cell>
          <cell r="B3">
            <v>43595</v>
          </cell>
          <cell r="C3">
            <v>43609</v>
          </cell>
          <cell r="D3">
            <v>95200</v>
          </cell>
          <cell r="E3">
            <v>8785</v>
          </cell>
          <cell r="F3">
            <v>16310</v>
          </cell>
          <cell r="G3">
            <v>100</v>
          </cell>
          <cell r="H3">
            <v>12202</v>
          </cell>
        </row>
        <row r="4">
          <cell r="A4" t="str">
            <v>Sprint 3</v>
          </cell>
          <cell r="B4">
            <v>43610</v>
          </cell>
          <cell r="C4">
            <v>43624</v>
          </cell>
          <cell r="D4">
            <v>95200</v>
          </cell>
          <cell r="E4">
            <v>6790</v>
          </cell>
          <cell r="F4">
            <v>23100</v>
          </cell>
          <cell r="G4">
            <v>75</v>
          </cell>
          <cell r="H4">
            <v>5762.5</v>
          </cell>
        </row>
        <row r="5">
          <cell r="A5" t="str">
            <v>Sprint 4</v>
          </cell>
          <cell r="B5">
            <v>43625</v>
          </cell>
          <cell r="C5">
            <v>43639</v>
          </cell>
          <cell r="D5">
            <v>95200</v>
          </cell>
          <cell r="E5">
            <v>8015</v>
          </cell>
          <cell r="F5">
            <v>31115</v>
          </cell>
          <cell r="G5">
            <v>100</v>
          </cell>
          <cell r="H5">
            <v>5547.25</v>
          </cell>
        </row>
        <row r="6">
          <cell r="A6" t="str">
            <v>Sprint 5</v>
          </cell>
          <cell r="B6">
            <v>43640</v>
          </cell>
          <cell r="C6">
            <v>43654</v>
          </cell>
          <cell r="D6">
            <v>95200</v>
          </cell>
          <cell r="E6">
            <v>8015</v>
          </cell>
          <cell r="F6">
            <v>39130</v>
          </cell>
          <cell r="G6">
            <v>100</v>
          </cell>
          <cell r="H6">
            <v>10309</v>
          </cell>
        </row>
        <row r="7">
          <cell r="A7" t="str">
            <v>Sprint 6</v>
          </cell>
          <cell r="B7">
            <v>43655</v>
          </cell>
          <cell r="C7">
            <v>43669</v>
          </cell>
          <cell r="D7">
            <v>95200</v>
          </cell>
          <cell r="E7">
            <v>8015</v>
          </cell>
          <cell r="F7">
            <v>47145</v>
          </cell>
          <cell r="G7">
            <v>100</v>
          </cell>
          <cell r="H7">
            <v>10090.75</v>
          </cell>
        </row>
        <row r="8">
          <cell r="A8" t="str">
            <v>Sprint 7</v>
          </cell>
          <cell r="B8">
            <v>43670</v>
          </cell>
          <cell r="C8">
            <v>43684</v>
          </cell>
          <cell r="D8">
            <v>95200</v>
          </cell>
          <cell r="E8">
            <v>7385</v>
          </cell>
          <cell r="F8">
            <v>54530</v>
          </cell>
          <cell r="G8">
            <v>100</v>
          </cell>
          <cell r="H8">
            <v>7479.75</v>
          </cell>
        </row>
        <row r="9">
          <cell r="A9" t="str">
            <v>Sprint 8</v>
          </cell>
          <cell r="B9">
            <v>43685</v>
          </cell>
          <cell r="C9">
            <v>43699</v>
          </cell>
          <cell r="D9">
            <v>95200</v>
          </cell>
          <cell r="E9">
            <v>6615</v>
          </cell>
          <cell r="F9">
            <v>61145</v>
          </cell>
          <cell r="G9">
            <v>100</v>
          </cell>
          <cell r="H9">
            <v>1327.5</v>
          </cell>
        </row>
        <row r="10">
          <cell r="A10" t="str">
            <v>Sprint 9</v>
          </cell>
          <cell r="B10">
            <v>43700</v>
          </cell>
          <cell r="C10">
            <v>43714</v>
          </cell>
          <cell r="D10">
            <v>95200</v>
          </cell>
          <cell r="E10">
            <v>7385</v>
          </cell>
          <cell r="F10">
            <v>68530</v>
          </cell>
          <cell r="G10">
            <v>100</v>
          </cell>
          <cell r="H10">
            <v>11248.649999999998</v>
          </cell>
        </row>
        <row r="11">
          <cell r="A11" t="str">
            <v>Sprint 10</v>
          </cell>
          <cell r="B11">
            <v>43715</v>
          </cell>
          <cell r="C11">
            <v>43729</v>
          </cell>
          <cell r="D11">
            <v>95200</v>
          </cell>
          <cell r="E11">
            <v>7385</v>
          </cell>
          <cell r="F11">
            <v>75915</v>
          </cell>
          <cell r="G11">
            <v>100</v>
          </cell>
          <cell r="H11">
            <v>1100</v>
          </cell>
        </row>
        <row r="12">
          <cell r="A12" t="str">
            <v>Sprint 11</v>
          </cell>
          <cell r="B12">
            <v>43730</v>
          </cell>
          <cell r="C12">
            <v>43744</v>
          </cell>
          <cell r="D12">
            <v>95200</v>
          </cell>
          <cell r="E12">
            <v>7385</v>
          </cell>
          <cell r="F12">
            <v>83300</v>
          </cell>
          <cell r="G12">
            <v>100</v>
          </cell>
          <cell r="H12">
            <v>660</v>
          </cell>
        </row>
      </sheetData>
      <sheetData sheetId="4"/>
      <sheetData sheetId="5"/>
      <sheetData sheetId="6">
        <row r="1">
          <cell r="A1" t="str">
            <v>Project</v>
          </cell>
          <cell r="B1" t="str">
            <v>Subproject</v>
          </cell>
          <cell r="C1" t="str">
            <v>Work Package</v>
          </cell>
          <cell r="D1" t="str">
            <v>Remedy Summary</v>
          </cell>
          <cell r="E1" t="str">
            <v>Date</v>
          </cell>
          <cell r="F1" t="str">
            <v>Period</v>
          </cell>
          <cell r="G1" t="str">
            <v>Name</v>
          </cell>
          <cell r="H1" t="str">
            <v>GID</v>
          </cell>
          <cell r="I1" t="str">
            <v>Extern</v>
          </cell>
          <cell r="J1" t="str">
            <v>Group / Supplier</v>
          </cell>
          <cell r="K1" t="str">
            <v>Hours</v>
          </cell>
          <cell r="L1" t="str">
            <v>Fees</v>
          </cell>
          <cell r="M1" t="str">
            <v>Allocation Rate (HRS)</v>
          </cell>
          <cell r="N1" t="str">
            <v>Customer No</v>
          </cell>
          <cell r="O1" t="str">
            <v>BstKd</v>
          </cell>
          <cell r="P1" t="str">
            <v>Posting</v>
          </cell>
          <cell r="Q1" t="str">
            <v>NRS Description</v>
          </cell>
          <cell r="R1" t="str">
            <v>Comment</v>
          </cell>
        </row>
        <row r="2">
          <cell r="A2" t="str">
            <v>APDH2.03321 HR_MySuccessNetwork</v>
          </cell>
          <cell r="B2" t="str">
            <v>001 / Projekt</v>
          </cell>
          <cell r="C2" t="str">
            <v>001 / Development</v>
          </cell>
          <cell r="D2" t="str"/>
          <cell r="E2">
            <v>43580</v>
          </cell>
          <cell r="F2" t="str">
            <v>04/2019</v>
          </cell>
          <cell r="G2" t="str">
            <v>Speicher, Dominik</v>
          </cell>
          <cell r="H2" t="str">
            <v>Z001PE3B</v>
          </cell>
          <cell r="I2" t="str"/>
          <cell r="J2" t="str">
            <v>SOP IT APD HRS C07</v>
          </cell>
          <cell r="K2">
            <v>2</v>
          </cell>
          <cell r="L2">
            <v>180</v>
          </cell>
          <cell r="M2">
            <v>0</v>
          </cell>
          <cell r="N2" t="str"/>
          <cell r="O2" t="str"/>
          <cell r="P2" t="str">
            <v>X</v>
          </cell>
          <cell r="Q2" t="str"/>
          <cell r="R2" t="str"/>
        </row>
        <row r="3">
          <cell r="A3" t="str">
            <v>APDH2.03321 HR_MySuccessNetwork</v>
          </cell>
          <cell r="B3" t="str">
            <v>001 / Projekt</v>
          </cell>
          <cell r="C3" t="str">
            <v>001 / Development</v>
          </cell>
          <cell r="D3" t="str"/>
          <cell r="E3">
            <v>43580</v>
          </cell>
          <cell r="F3" t="str">
            <v>04/2019</v>
          </cell>
          <cell r="G3" t="str">
            <v>Zak, Alexander</v>
          </cell>
          <cell r="H3" t="str">
            <v>Z001PMUV</v>
          </cell>
          <cell r="I3" t="str"/>
          <cell r="J3" t="str">
            <v>SOP IT APD HRS C06</v>
          </cell>
          <cell r="K3">
            <v>8</v>
          </cell>
          <cell r="L3">
            <v>840</v>
          </cell>
          <cell r="M3">
            <v>0</v>
          </cell>
          <cell r="N3" t="str"/>
          <cell r="O3" t="str"/>
          <cell r="P3" t="str">
            <v>X</v>
          </cell>
          <cell r="Q3" t="str"/>
          <cell r="R3" t="str"/>
        </row>
        <row r="4">
          <cell r="A4" t="str">
            <v>APDH2.03321 HR_MySuccessNetwork</v>
          </cell>
          <cell r="B4" t="str">
            <v>001 / Projekt</v>
          </cell>
          <cell r="C4" t="str">
            <v>001 / Development</v>
          </cell>
          <cell r="D4" t="str"/>
          <cell r="E4">
            <v>43581</v>
          </cell>
          <cell r="F4" t="str">
            <v>04/2019</v>
          </cell>
          <cell r="G4" t="str">
            <v>Speicher, Dominik</v>
          </cell>
          <cell r="H4" t="str">
            <v>Z001PE3B</v>
          </cell>
          <cell r="I4" t="str"/>
          <cell r="J4" t="str">
            <v>SOP IT APD HRS C07</v>
          </cell>
          <cell r="K4">
            <v>1</v>
          </cell>
          <cell r="L4">
            <v>90</v>
          </cell>
          <cell r="M4">
            <v>0</v>
          </cell>
          <cell r="N4" t="str"/>
          <cell r="O4" t="str"/>
          <cell r="P4" t="str">
            <v>X</v>
          </cell>
          <cell r="Q4" t="str"/>
          <cell r="R4" t="str"/>
        </row>
        <row r="5">
          <cell r="A5" t="str">
            <v>APDH2.03321 HR_MySuccessNetwork</v>
          </cell>
          <cell r="B5" t="str">
            <v>001 / Projekt</v>
          </cell>
          <cell r="C5" t="str">
            <v>001 / Development</v>
          </cell>
          <cell r="D5" t="str"/>
          <cell r="E5">
            <v>43581</v>
          </cell>
          <cell r="F5" t="str">
            <v>04/2019</v>
          </cell>
          <cell r="G5" t="str">
            <v>Zak, Alexander</v>
          </cell>
          <cell r="H5" t="str">
            <v>Z001PMUV</v>
          </cell>
          <cell r="I5" t="str"/>
          <cell r="J5" t="str">
            <v>SOP IT APD HRS C06</v>
          </cell>
          <cell r="K5">
            <v>2</v>
          </cell>
          <cell r="L5">
            <v>210</v>
          </cell>
          <cell r="M5">
            <v>0</v>
          </cell>
          <cell r="N5" t="str"/>
          <cell r="O5" t="str"/>
          <cell r="P5" t="str">
            <v>X</v>
          </cell>
          <cell r="Q5" t="str"/>
          <cell r="R5" t="str"/>
        </row>
        <row r="6">
          <cell r="A6" t="str">
            <v>APDH2.03321 HR_MySuccessNetwork</v>
          </cell>
          <cell r="B6" t="str">
            <v>001 / Projekt</v>
          </cell>
          <cell r="C6" t="str">
            <v>001 / Development</v>
          </cell>
          <cell r="D6" t="str"/>
          <cell r="E6">
            <v>43581</v>
          </cell>
          <cell r="F6" t="str">
            <v>04/2019</v>
          </cell>
          <cell r="G6" t="str">
            <v>Koeller, Maximilian</v>
          </cell>
          <cell r="H6" t="str">
            <v>Z003DZ7J</v>
          </cell>
          <cell r="I6" t="str"/>
          <cell r="J6" t="str">
            <v>SOP IT APD HRS C07</v>
          </cell>
          <cell r="K6">
            <v>7.2</v>
          </cell>
          <cell r="L6">
            <v>324</v>
          </cell>
          <cell r="M6">
            <v>0</v>
          </cell>
          <cell r="N6" t="str"/>
          <cell r="O6" t="str"/>
          <cell r="P6" t="str">
            <v>X</v>
          </cell>
          <cell r="Q6" t="str"/>
          <cell r="R6" t="str"/>
        </row>
        <row r="7">
          <cell r="A7" t="str">
            <v>APDH2.03321 HR_MySuccessNetwork</v>
          </cell>
          <cell r="B7" t="str">
            <v>001 / Projekt</v>
          </cell>
          <cell r="C7" t="str">
            <v>001 / Development</v>
          </cell>
          <cell r="D7" t="str"/>
          <cell r="E7">
            <v>43584</v>
          </cell>
          <cell r="F7" t="str">
            <v>04/2019</v>
          </cell>
          <cell r="G7" t="str">
            <v>Speicher, Dominik</v>
          </cell>
          <cell r="H7" t="str">
            <v>Z001PE3B</v>
          </cell>
          <cell r="I7" t="str"/>
          <cell r="J7" t="str">
            <v>SOP IT APD HRS C07</v>
          </cell>
          <cell r="K7">
            <v>1</v>
          </cell>
          <cell r="L7">
            <v>90</v>
          </cell>
          <cell r="M7">
            <v>0</v>
          </cell>
          <cell r="N7" t="str"/>
          <cell r="O7" t="str"/>
          <cell r="P7" t="str">
            <v>X</v>
          </cell>
          <cell r="Q7" t="str"/>
          <cell r="R7" t="str"/>
        </row>
        <row r="8">
          <cell r="A8" t="str">
            <v>APDH2.03321 HR_MySuccessNetwork</v>
          </cell>
          <cell r="B8" t="str">
            <v>001 / Projekt</v>
          </cell>
          <cell r="C8" t="str">
            <v>001 / Development</v>
          </cell>
          <cell r="D8" t="str"/>
          <cell r="E8">
            <v>43584</v>
          </cell>
          <cell r="F8" t="str">
            <v>04/2019</v>
          </cell>
          <cell r="G8" t="str">
            <v>Zak, Alexander</v>
          </cell>
          <cell r="H8" t="str">
            <v>Z001PMUV</v>
          </cell>
          <cell r="I8" t="str"/>
          <cell r="J8" t="str">
            <v>SOP IT APD HRS C06</v>
          </cell>
          <cell r="K8">
            <v>2</v>
          </cell>
          <cell r="L8">
            <v>210</v>
          </cell>
          <cell r="M8">
            <v>0</v>
          </cell>
          <cell r="N8" t="str"/>
          <cell r="O8" t="str"/>
          <cell r="P8" t="str">
            <v>X</v>
          </cell>
          <cell r="Q8" t="str"/>
          <cell r="R8" t="str"/>
        </row>
        <row r="9">
          <cell r="A9" t="str">
            <v>APDH2.03321 HR_MySuccessNetwork</v>
          </cell>
          <cell r="B9" t="str">
            <v>001 / Projekt</v>
          </cell>
          <cell r="C9" t="str">
            <v>001 / Development</v>
          </cell>
          <cell r="D9" t="str"/>
          <cell r="E9">
            <v>43585</v>
          </cell>
          <cell r="F9" t="str">
            <v>04/2019</v>
          </cell>
          <cell r="G9" t="str">
            <v>Koechling, Gabriele</v>
          </cell>
          <cell r="H9" t="str">
            <v>Z000DTQL</v>
          </cell>
          <cell r="I9" t="str"/>
          <cell r="J9" t="str">
            <v>SOP IT APD HRS C07</v>
          </cell>
          <cell r="K9">
            <v>0.25</v>
          </cell>
          <cell r="L9">
            <v>22.5</v>
          </cell>
          <cell r="M9">
            <v>0</v>
          </cell>
          <cell r="N9" t="str"/>
          <cell r="O9" t="str"/>
          <cell r="P9" t="str">
            <v>X</v>
          </cell>
          <cell r="Q9" t="str"/>
          <cell r="R9" t="str">
            <v>Daily Standup JF</v>
          </cell>
        </row>
        <row r="10">
          <cell r="A10" t="str">
            <v>APDH2.03321 HR_MySuccessNetwork</v>
          </cell>
          <cell r="B10" t="str">
            <v>001 / Projekt</v>
          </cell>
          <cell r="C10" t="str">
            <v>001 / Development</v>
          </cell>
          <cell r="D10" t="str"/>
          <cell r="E10">
            <v>43585</v>
          </cell>
          <cell r="F10" t="str">
            <v>04/2019</v>
          </cell>
          <cell r="G10" t="str">
            <v>Speicher, Dominik</v>
          </cell>
          <cell r="H10" t="str">
            <v>Z001PE3B</v>
          </cell>
          <cell r="I10" t="str"/>
          <cell r="J10" t="str">
            <v>SOP IT APD HRS C07</v>
          </cell>
          <cell r="K10">
            <v>1</v>
          </cell>
          <cell r="L10">
            <v>90</v>
          </cell>
          <cell r="M10">
            <v>0</v>
          </cell>
          <cell r="N10" t="str"/>
          <cell r="O10" t="str"/>
          <cell r="P10" t="str">
            <v>X</v>
          </cell>
          <cell r="Q10" t="str"/>
          <cell r="R10" t="str"/>
        </row>
        <row r="11">
          <cell r="A11" t="str">
            <v>APDH2.03321 HR_MySuccessNetwork</v>
          </cell>
          <cell r="B11" t="str">
            <v>001 / Projekt</v>
          </cell>
          <cell r="C11" t="str">
            <v>001 / Development</v>
          </cell>
          <cell r="D11" t="str"/>
          <cell r="E11">
            <v>43585</v>
          </cell>
          <cell r="F11" t="str">
            <v>04/2019</v>
          </cell>
          <cell r="G11" t="str">
            <v>Zak, Alexander</v>
          </cell>
          <cell r="H11" t="str">
            <v>Z001PMUV</v>
          </cell>
          <cell r="I11" t="str"/>
          <cell r="J11" t="str">
            <v>SOP IT APD HRS C06</v>
          </cell>
          <cell r="K11">
            <v>2</v>
          </cell>
          <cell r="L11">
            <v>210</v>
          </cell>
          <cell r="M11">
            <v>0</v>
          </cell>
          <cell r="N11" t="str"/>
          <cell r="O11" t="str"/>
          <cell r="P11" t="str">
            <v>X</v>
          </cell>
          <cell r="Q11" t="str"/>
          <cell r="R11" t="str"/>
        </row>
        <row r="12">
          <cell r="A12" t="str">
            <v>APDH2.03321 HR_MySuccessNetwork</v>
          </cell>
          <cell r="B12" t="str">
            <v>001 / Projekt</v>
          </cell>
          <cell r="C12" t="str">
            <v>001 / Development</v>
          </cell>
          <cell r="D12" t="str"/>
          <cell r="E12">
            <v>43587</v>
          </cell>
          <cell r="F12" t="str">
            <v>05/2019</v>
          </cell>
          <cell r="G12" t="str">
            <v>Koechling, Gabriele</v>
          </cell>
          <cell r="H12" t="str">
            <v>Z000DTQL</v>
          </cell>
          <cell r="I12" t="str"/>
          <cell r="J12" t="str">
            <v>SOP IT APD HRS C07</v>
          </cell>
          <cell r="K12">
            <v>0.75</v>
          </cell>
          <cell r="L12">
            <v>67.5</v>
          </cell>
          <cell r="M12">
            <v>0</v>
          </cell>
          <cell r="N12" t="str"/>
          <cell r="O12" t="str"/>
          <cell r="P12" t="str">
            <v>X</v>
          </cell>
          <cell r="Q12" t="str"/>
          <cell r="R12" t="str">
            <v xml:space="preserve">Daily Standup JF + Einrichtung Jira und Impulse Connect Secure
</v>
          </cell>
        </row>
        <row r="13">
          <cell r="A13" t="str">
            <v>APDH2.03321 HR_MySuccessNetwork</v>
          </cell>
          <cell r="B13" t="str">
            <v>001 / Projekt</v>
          </cell>
          <cell r="C13" t="str">
            <v>001 / Development</v>
          </cell>
          <cell r="D13" t="str"/>
          <cell r="E13">
            <v>43587</v>
          </cell>
          <cell r="F13" t="str">
            <v>05/2019</v>
          </cell>
          <cell r="G13" t="str">
            <v>Speicher, Dominik</v>
          </cell>
          <cell r="H13" t="str">
            <v>Z001PE3B</v>
          </cell>
          <cell r="I13" t="str"/>
          <cell r="J13" t="str">
            <v>SOP IT APD HRS C07</v>
          </cell>
          <cell r="K13">
            <v>3</v>
          </cell>
          <cell r="L13">
            <v>270</v>
          </cell>
          <cell r="M13">
            <v>0</v>
          </cell>
          <cell r="N13" t="str"/>
          <cell r="O13" t="str"/>
          <cell r="P13" t="str">
            <v>X</v>
          </cell>
          <cell r="Q13" t="str"/>
          <cell r="R13" t="str">
            <v>Unittest Framework Setup</v>
          </cell>
        </row>
        <row r="14">
          <cell r="A14" t="str">
            <v>APDH2.03321 HR_MySuccessNetwork</v>
          </cell>
          <cell r="B14" t="str">
            <v>001 / Projekt</v>
          </cell>
          <cell r="C14" t="str">
            <v>001 / Development</v>
          </cell>
          <cell r="D14" t="str"/>
          <cell r="E14">
            <v>43588</v>
          </cell>
          <cell r="F14" t="str">
            <v>05/2019</v>
          </cell>
          <cell r="G14" t="str">
            <v>Koechling, Gabriele</v>
          </cell>
          <cell r="H14" t="str">
            <v>Z000DTQL</v>
          </cell>
          <cell r="I14" t="str"/>
          <cell r="J14" t="str">
            <v>SOP IT APD HRS C07</v>
          </cell>
          <cell r="K14">
            <v>1</v>
          </cell>
          <cell r="L14">
            <v>90</v>
          </cell>
          <cell r="M14">
            <v>0</v>
          </cell>
          <cell r="N14" t="str"/>
          <cell r="O14" t="str"/>
          <cell r="P14" t="str">
            <v>X</v>
          </cell>
          <cell r="Q14" t="str"/>
          <cell r="R14" t="str">
            <v>Kommunik. wegen Jira-Zugriff, Einrichten Jira</v>
          </cell>
        </row>
        <row r="15">
          <cell r="A15" t="str">
            <v>APDH2.03321 HR_MySuccessNetwork</v>
          </cell>
          <cell r="B15" t="str">
            <v>001 / Projekt</v>
          </cell>
          <cell r="C15" t="str">
            <v>001 / Development</v>
          </cell>
          <cell r="D15" t="str"/>
          <cell r="E15">
            <v>43591</v>
          </cell>
          <cell r="F15" t="str">
            <v>05/2019</v>
          </cell>
          <cell r="G15" t="str">
            <v>Zak, Alexander</v>
          </cell>
          <cell r="H15" t="str">
            <v>Z001PMUV</v>
          </cell>
          <cell r="I15" t="str"/>
          <cell r="J15" t="str">
            <v>SOP IT APD HRS C06</v>
          </cell>
          <cell r="K15">
            <v>2</v>
          </cell>
          <cell r="L15">
            <v>210</v>
          </cell>
          <cell r="M15">
            <v>0</v>
          </cell>
          <cell r="N15" t="str"/>
          <cell r="O15" t="str"/>
          <cell r="P15" t="str">
            <v>X</v>
          </cell>
          <cell r="Q15" t="str"/>
          <cell r="R15" t="str"/>
        </row>
        <row r="16">
          <cell r="A16" t="str">
            <v>APDH2.03321 HR_MySuccessNetwork</v>
          </cell>
          <cell r="B16" t="str">
            <v>001 / Projekt</v>
          </cell>
          <cell r="C16" t="str">
            <v>001 / Development</v>
          </cell>
          <cell r="D16" t="str"/>
          <cell r="E16">
            <v>43591</v>
          </cell>
          <cell r="F16" t="str">
            <v>05/2019</v>
          </cell>
          <cell r="G16" t="str">
            <v>Bentfeld, Bastian</v>
          </cell>
          <cell r="H16" t="str">
            <v>Z0030UDK</v>
          </cell>
          <cell r="I16" t="str"/>
          <cell r="J16" t="str">
            <v>SOP IT APD HRS C07</v>
          </cell>
          <cell r="K16">
            <v>14.5</v>
          </cell>
          <cell r="L16">
            <v>1305</v>
          </cell>
          <cell r="M16">
            <v>0</v>
          </cell>
          <cell r="N16" t="str"/>
          <cell r="O16" t="str"/>
          <cell r="P16" t="str">
            <v>X</v>
          </cell>
          <cell r="Q16" t="str"/>
          <cell r="R16" t="str">
            <v>Rückbuchung 24.04 - 30.04</v>
          </cell>
        </row>
        <row r="17">
          <cell r="A17" t="str">
            <v>APDH2.03321 HR_MySuccessNetwork</v>
          </cell>
          <cell r="B17" t="str">
            <v>001 / Projekt</v>
          </cell>
          <cell r="C17" t="str">
            <v>001 / Development</v>
          </cell>
          <cell r="D17" t="str"/>
          <cell r="E17">
            <v>43591</v>
          </cell>
          <cell r="F17" t="str">
            <v>05/2019</v>
          </cell>
          <cell r="G17" t="str">
            <v>Koeller, Maximilian</v>
          </cell>
          <cell r="H17" t="str">
            <v>Z003DZ7J</v>
          </cell>
          <cell r="I17" t="str"/>
          <cell r="J17" t="str">
            <v>SOP IT APD HRS C07</v>
          </cell>
          <cell r="K17">
            <v>8.1999999999999993</v>
          </cell>
          <cell r="L17">
            <v>369</v>
          </cell>
          <cell r="M17">
            <v>0</v>
          </cell>
          <cell r="N17" t="str"/>
          <cell r="O17" t="str"/>
          <cell r="P17" t="str">
            <v>X</v>
          </cell>
          <cell r="Q17" t="str"/>
          <cell r="R17" t="str"/>
        </row>
        <row r="18">
          <cell r="A18" t="str">
            <v>APDH2.03321 HR_MySuccessNetwork</v>
          </cell>
          <cell r="B18" t="str">
            <v>001 / Projekt</v>
          </cell>
          <cell r="C18" t="str">
            <v>001 / Development</v>
          </cell>
          <cell r="D18" t="str"/>
          <cell r="E18">
            <v>43592</v>
          </cell>
          <cell r="F18" t="str">
            <v>05/2019</v>
          </cell>
          <cell r="G18" t="str">
            <v>Zak, Alexander</v>
          </cell>
          <cell r="H18" t="str">
            <v>Z001PMUV</v>
          </cell>
          <cell r="I18" t="str"/>
          <cell r="J18" t="str">
            <v>SOP IT APD HRS C06</v>
          </cell>
          <cell r="K18">
            <v>2</v>
          </cell>
          <cell r="L18">
            <v>210</v>
          </cell>
          <cell r="M18">
            <v>0</v>
          </cell>
          <cell r="N18" t="str"/>
          <cell r="O18" t="str"/>
          <cell r="P18" t="str">
            <v>X</v>
          </cell>
          <cell r="Q18" t="str"/>
          <cell r="R18" t="str"/>
        </row>
        <row r="19">
          <cell r="A19" t="str">
            <v>APDH2.03321 HR_MySuccessNetwork</v>
          </cell>
          <cell r="B19" t="str">
            <v>001 / Projekt</v>
          </cell>
          <cell r="C19" t="str">
            <v>001 / Development</v>
          </cell>
          <cell r="D19" t="str"/>
          <cell r="E19">
            <v>43592</v>
          </cell>
          <cell r="F19" t="str">
            <v>05/2019</v>
          </cell>
          <cell r="G19" t="str">
            <v>Bentfeld, Bastian</v>
          </cell>
          <cell r="H19" t="str">
            <v>Z0030UDK</v>
          </cell>
          <cell r="I19" t="str"/>
          <cell r="J19" t="str">
            <v>SOP IT APD HRS C07</v>
          </cell>
          <cell r="K19">
            <v>22.5</v>
          </cell>
          <cell r="L19">
            <v>2025</v>
          </cell>
          <cell r="M19">
            <v>0</v>
          </cell>
          <cell r="N19" t="str"/>
          <cell r="O19" t="str"/>
          <cell r="P19" t="str">
            <v>X</v>
          </cell>
          <cell r="Q19" t="str"/>
          <cell r="R19" t="str">
            <v>Rückbuchung 24.04 - 06.05</v>
          </cell>
        </row>
        <row r="20">
          <cell r="A20" t="str">
            <v>APDH2.03321 HR_MySuccessNetwork</v>
          </cell>
          <cell r="B20" t="str">
            <v>001 / Projekt</v>
          </cell>
          <cell r="C20" t="str">
            <v>001 / Development</v>
          </cell>
          <cell r="D20" t="str"/>
          <cell r="E20">
            <v>43592</v>
          </cell>
          <cell r="F20" t="str">
            <v>05/2019</v>
          </cell>
          <cell r="G20" t="str">
            <v>Koeller, Maximilian</v>
          </cell>
          <cell r="H20" t="str">
            <v>Z003DZ7J</v>
          </cell>
          <cell r="I20" t="str"/>
          <cell r="J20" t="str">
            <v>SOP IT APD HRS C07</v>
          </cell>
          <cell r="K20">
            <v>9.1</v>
          </cell>
          <cell r="L20">
            <v>409.5</v>
          </cell>
          <cell r="M20">
            <v>0</v>
          </cell>
          <cell r="N20" t="str"/>
          <cell r="O20" t="str"/>
          <cell r="P20" t="str">
            <v>X</v>
          </cell>
          <cell r="Q20" t="str"/>
          <cell r="R20" t="str"/>
        </row>
        <row r="21">
          <cell r="A21" t="str">
            <v>APDH2.03321 HR_MySuccessNetwork</v>
          </cell>
          <cell r="B21" t="str">
            <v>001 / Projekt</v>
          </cell>
          <cell r="C21" t="str">
            <v>001 / Development</v>
          </cell>
          <cell r="D21" t="str"/>
          <cell r="E21">
            <v>43593</v>
          </cell>
          <cell r="F21" t="str">
            <v>05/2019</v>
          </cell>
          <cell r="G21" t="str">
            <v>Koechling, Gabriele</v>
          </cell>
          <cell r="H21" t="str">
            <v>Z000DTQL</v>
          </cell>
          <cell r="I21" t="str"/>
          <cell r="J21" t="str">
            <v>SOP IT APD HRS C07</v>
          </cell>
          <cell r="K21">
            <v>0.5</v>
          </cell>
          <cell r="L21">
            <v>45</v>
          </cell>
          <cell r="M21">
            <v>0</v>
          </cell>
          <cell r="N21" t="str"/>
          <cell r="O21" t="str"/>
          <cell r="P21" t="str">
            <v>X</v>
          </cell>
          <cell r="Q21" t="str"/>
          <cell r="R21" t="str">
            <v xml:space="preserve">Daily Standup und kurzes Review zum aktuellen Sprint
</v>
          </cell>
        </row>
        <row r="22">
          <cell r="A22" t="str">
            <v>APDH2.03321 HR_MySuccessNetwork</v>
          </cell>
          <cell r="B22" t="str">
            <v>001 / Projekt</v>
          </cell>
          <cell r="C22" t="str">
            <v>001 / Development</v>
          </cell>
          <cell r="D22" t="str"/>
          <cell r="E22">
            <v>43593</v>
          </cell>
          <cell r="F22" t="str">
            <v>05/2019</v>
          </cell>
          <cell r="G22" t="str">
            <v>Speicher, Dominik</v>
          </cell>
          <cell r="H22" t="str">
            <v>Z001PE3B</v>
          </cell>
          <cell r="I22" t="str"/>
          <cell r="J22" t="str">
            <v>SOP IT APD HRS C07</v>
          </cell>
          <cell r="K22">
            <v>4</v>
          </cell>
          <cell r="L22">
            <v>360</v>
          </cell>
          <cell r="M22">
            <v>0</v>
          </cell>
          <cell r="N22" t="str"/>
          <cell r="O22" t="str"/>
          <cell r="P22" t="str">
            <v>X</v>
          </cell>
          <cell r="Q22" t="str"/>
          <cell r="R22" t="str"/>
        </row>
        <row r="23">
          <cell r="A23" t="str">
            <v>APDH2.03321 HR_MySuccessNetwork</v>
          </cell>
          <cell r="B23" t="str">
            <v>001 / Projekt</v>
          </cell>
          <cell r="C23" t="str">
            <v>001 / Development</v>
          </cell>
          <cell r="D23" t="str"/>
          <cell r="E23">
            <v>43593</v>
          </cell>
          <cell r="F23" t="str">
            <v>05/2019</v>
          </cell>
          <cell r="G23" t="str">
            <v>Zak, Alexander</v>
          </cell>
          <cell r="H23" t="str">
            <v>Z001PMUV</v>
          </cell>
          <cell r="I23" t="str"/>
          <cell r="J23" t="str">
            <v>SOP IT APD HRS C06</v>
          </cell>
          <cell r="K23">
            <v>2</v>
          </cell>
          <cell r="L23">
            <v>210</v>
          </cell>
          <cell r="M23">
            <v>0</v>
          </cell>
          <cell r="N23" t="str"/>
          <cell r="O23" t="str"/>
          <cell r="P23" t="str">
            <v>X</v>
          </cell>
          <cell r="Q23" t="str"/>
          <cell r="R23" t="str"/>
        </row>
        <row r="24">
          <cell r="A24" t="str">
            <v>APDH2.03321 HR_MySuccessNetwork</v>
          </cell>
          <cell r="B24" t="str">
            <v>001 / Projekt</v>
          </cell>
          <cell r="C24" t="str">
            <v>001 / Development</v>
          </cell>
          <cell r="D24" t="str"/>
          <cell r="E24">
            <v>43593</v>
          </cell>
          <cell r="F24" t="str">
            <v>05/2019</v>
          </cell>
          <cell r="G24" t="str">
            <v>Bentfeld, Bastian</v>
          </cell>
          <cell r="H24" t="str">
            <v>Z0030UDK</v>
          </cell>
          <cell r="I24" t="str"/>
          <cell r="J24" t="str">
            <v>SOP IT APD HRS C07</v>
          </cell>
          <cell r="K24">
            <v>10.5</v>
          </cell>
          <cell r="L24">
            <v>945</v>
          </cell>
          <cell r="M24">
            <v>0</v>
          </cell>
          <cell r="N24" t="str"/>
          <cell r="O24" t="str"/>
          <cell r="P24" t="str">
            <v>X</v>
          </cell>
          <cell r="Q24" t="str"/>
          <cell r="R24" t="str">
            <v>Rückbuchung 07.05 + 08.05</v>
          </cell>
        </row>
        <row r="25">
          <cell r="A25" t="str">
            <v>APDH2.03321 HR_MySuccessNetwork</v>
          </cell>
          <cell r="B25" t="str">
            <v>001 / Projekt</v>
          </cell>
          <cell r="C25" t="str">
            <v>001 / Development</v>
          </cell>
          <cell r="D25" t="str"/>
          <cell r="E25">
            <v>43593</v>
          </cell>
          <cell r="F25" t="str">
            <v>05/2019</v>
          </cell>
          <cell r="G25" t="str">
            <v>Koeller, Maximilian</v>
          </cell>
          <cell r="H25" t="str">
            <v>Z003DZ7J</v>
          </cell>
          <cell r="I25" t="str"/>
          <cell r="J25" t="str">
            <v>SOP IT APD HRS C07</v>
          </cell>
          <cell r="K25">
            <v>4.1500000000000004</v>
          </cell>
          <cell r="L25">
            <v>186.75</v>
          </cell>
          <cell r="M25">
            <v>0</v>
          </cell>
          <cell r="N25" t="str"/>
          <cell r="O25" t="str"/>
          <cell r="P25" t="str">
            <v>X</v>
          </cell>
          <cell r="Q25" t="str"/>
          <cell r="R25" t="str"/>
        </row>
        <row r="26">
          <cell r="A26" t="str">
            <v>APDH2.03321 HR_MySuccessNetwork</v>
          </cell>
          <cell r="B26" t="str">
            <v>001 / Projekt</v>
          </cell>
          <cell r="C26" t="str">
            <v>001 / Development</v>
          </cell>
          <cell r="D26" t="str"/>
          <cell r="E26">
            <v>43594</v>
          </cell>
          <cell r="F26" t="str">
            <v>05/2019</v>
          </cell>
          <cell r="G26" t="str">
            <v>Koechling, Gabriele</v>
          </cell>
          <cell r="H26" t="str">
            <v>Z000DTQL</v>
          </cell>
          <cell r="I26" t="str"/>
          <cell r="J26" t="str">
            <v>SOP IT APD HRS C07</v>
          </cell>
          <cell r="K26">
            <v>1</v>
          </cell>
          <cell r="L26">
            <v>90</v>
          </cell>
          <cell r="M26">
            <v>0</v>
          </cell>
          <cell r="N26" t="str"/>
          <cell r="O26" t="str"/>
          <cell r="P26" t="str">
            <v>X</v>
          </cell>
          <cell r="Q26" t="str"/>
          <cell r="R26" t="str">
            <v xml:space="preserve">My SN Review und Retro
</v>
          </cell>
        </row>
        <row r="27">
          <cell r="A27" t="str">
            <v>APDH2.03321 HR_MySuccessNetwork</v>
          </cell>
          <cell r="B27" t="str">
            <v>001 / Projekt</v>
          </cell>
          <cell r="C27" t="str">
            <v>001 / Development</v>
          </cell>
          <cell r="D27" t="str"/>
          <cell r="E27">
            <v>43594</v>
          </cell>
          <cell r="F27" t="str">
            <v>05/2019</v>
          </cell>
          <cell r="G27" t="str">
            <v>Speicher, Dominik</v>
          </cell>
          <cell r="H27" t="str">
            <v>Z001PE3B</v>
          </cell>
          <cell r="I27" t="str"/>
          <cell r="J27" t="str">
            <v>SOP IT APD HRS C07</v>
          </cell>
          <cell r="K27">
            <v>4</v>
          </cell>
          <cell r="L27">
            <v>360</v>
          </cell>
          <cell r="M27">
            <v>0</v>
          </cell>
          <cell r="N27" t="str"/>
          <cell r="O27" t="str"/>
          <cell r="P27" t="str">
            <v>X</v>
          </cell>
          <cell r="Q27" t="str"/>
          <cell r="R27" t="str"/>
        </row>
        <row r="28">
          <cell r="A28" t="str">
            <v>APDH2.03321 HR_MySuccessNetwork</v>
          </cell>
          <cell r="B28" t="str">
            <v>001 / Projekt</v>
          </cell>
          <cell r="C28" t="str">
            <v>001 / Development</v>
          </cell>
          <cell r="D28" t="str"/>
          <cell r="E28">
            <v>43594</v>
          </cell>
          <cell r="F28" t="str">
            <v>05/2019</v>
          </cell>
          <cell r="G28" t="str">
            <v>Zak, Alexander</v>
          </cell>
          <cell r="H28" t="str">
            <v>Z001PMUV</v>
          </cell>
          <cell r="I28" t="str"/>
          <cell r="J28" t="str">
            <v>SOP IT APD HRS C06</v>
          </cell>
          <cell r="K28">
            <v>2</v>
          </cell>
          <cell r="L28">
            <v>210</v>
          </cell>
          <cell r="M28">
            <v>0</v>
          </cell>
          <cell r="N28" t="str"/>
          <cell r="O28" t="str"/>
          <cell r="P28" t="str">
            <v>X</v>
          </cell>
          <cell r="Q28" t="str"/>
          <cell r="R28" t="str"/>
        </row>
        <row r="29">
          <cell r="A29" t="str">
            <v>APDH2.03321 HR_MySuccessNetwork</v>
          </cell>
          <cell r="B29" t="str">
            <v>001 / Projekt</v>
          </cell>
          <cell r="C29" t="str">
            <v>001 / Development</v>
          </cell>
          <cell r="D29" t="str"/>
          <cell r="E29">
            <v>43594</v>
          </cell>
          <cell r="F29" t="str">
            <v>05/2019</v>
          </cell>
          <cell r="G29" t="str">
            <v>Bentfeld, Bastian</v>
          </cell>
          <cell r="H29" t="str">
            <v>Z0030UDK</v>
          </cell>
          <cell r="I29" t="str"/>
          <cell r="J29" t="str">
            <v>SOP IT APD HRS C07</v>
          </cell>
          <cell r="K29">
            <v>8</v>
          </cell>
          <cell r="L29">
            <v>720</v>
          </cell>
          <cell r="M29">
            <v>0</v>
          </cell>
          <cell r="N29" t="str"/>
          <cell r="O29" t="str"/>
          <cell r="P29" t="str">
            <v>X</v>
          </cell>
          <cell r="Q29" t="str"/>
          <cell r="R29" t="str"/>
        </row>
        <row r="30">
          <cell r="A30" t="str">
            <v>APDH2.03321 HR_MySuccessNetwork</v>
          </cell>
          <cell r="B30" t="str">
            <v>001 / Projekt</v>
          </cell>
          <cell r="C30" t="str">
            <v>001 / Development</v>
          </cell>
          <cell r="D30" t="str"/>
          <cell r="E30">
            <v>43594</v>
          </cell>
          <cell r="F30" t="str">
            <v>05/2019</v>
          </cell>
          <cell r="G30" t="str">
            <v>Koeller, Maximilian</v>
          </cell>
          <cell r="H30" t="str">
            <v>Z003DZ7J</v>
          </cell>
          <cell r="I30" t="str"/>
          <cell r="J30" t="str">
            <v>SOP IT APD HRS C07</v>
          </cell>
          <cell r="K30">
            <v>7.4</v>
          </cell>
          <cell r="L30">
            <v>333</v>
          </cell>
          <cell r="M30">
            <v>0</v>
          </cell>
          <cell r="N30" t="str"/>
          <cell r="O30" t="str"/>
          <cell r="P30" t="str">
            <v>X</v>
          </cell>
          <cell r="Q30" t="str"/>
          <cell r="R30" t="str"/>
        </row>
        <row r="31">
          <cell r="A31" t="str">
            <v>APDH2.03321 HR_MySuccessNetwork</v>
          </cell>
          <cell r="B31" t="str">
            <v>001 / Projekt</v>
          </cell>
          <cell r="C31" t="str">
            <v>001 / Development</v>
          </cell>
          <cell r="D31" t="str"/>
          <cell r="E31">
            <v>43595</v>
          </cell>
          <cell r="F31" t="str">
            <v>05/2019</v>
          </cell>
          <cell r="G31" t="str">
            <v>Koechling, Gabriele</v>
          </cell>
          <cell r="H31" t="str">
            <v>Z000DTQL</v>
          </cell>
          <cell r="I31" t="str"/>
          <cell r="J31" t="str">
            <v>SOP IT APD HRS C07</v>
          </cell>
          <cell r="K31">
            <v>0.25</v>
          </cell>
          <cell r="L31">
            <v>22.5</v>
          </cell>
          <cell r="M31">
            <v>0</v>
          </cell>
          <cell r="N31" t="str"/>
          <cell r="O31" t="str"/>
          <cell r="P31" t="str">
            <v>X</v>
          </cell>
          <cell r="Q31" t="str"/>
          <cell r="R31" t="str">
            <v xml:space="preserve">My SN Review und Retro
</v>
          </cell>
        </row>
        <row r="32">
          <cell r="A32" t="str">
            <v>APDH2.03321 HR_MySuccessNetwork</v>
          </cell>
          <cell r="B32" t="str">
            <v>001 / Projekt</v>
          </cell>
          <cell r="C32" t="str">
            <v>001 / Development</v>
          </cell>
          <cell r="D32" t="str"/>
          <cell r="E32">
            <v>43595</v>
          </cell>
          <cell r="F32" t="str">
            <v>05/2019</v>
          </cell>
          <cell r="G32" t="str">
            <v>Speicher, Dominik</v>
          </cell>
          <cell r="H32" t="str">
            <v>Z001PE3B</v>
          </cell>
          <cell r="I32" t="str"/>
          <cell r="J32" t="str">
            <v>SOP IT APD HRS C07</v>
          </cell>
          <cell r="K32">
            <v>1</v>
          </cell>
          <cell r="L32">
            <v>90</v>
          </cell>
          <cell r="M32">
            <v>0</v>
          </cell>
          <cell r="N32" t="str"/>
          <cell r="O32" t="str"/>
          <cell r="P32" t="str">
            <v>X</v>
          </cell>
          <cell r="Q32" t="str"/>
          <cell r="R32" t="str"/>
        </row>
        <row r="33">
          <cell r="A33" t="str">
            <v>APDH2.03321 HR_MySuccessNetwork</v>
          </cell>
          <cell r="B33" t="str">
            <v>001 / Projekt</v>
          </cell>
          <cell r="C33" t="str">
            <v>001 / Development</v>
          </cell>
          <cell r="D33" t="str"/>
          <cell r="E33">
            <v>43595</v>
          </cell>
          <cell r="F33" t="str">
            <v>05/2019</v>
          </cell>
          <cell r="G33" t="str">
            <v>Zak, Alexander</v>
          </cell>
          <cell r="H33" t="str">
            <v>Z001PMUV</v>
          </cell>
          <cell r="I33" t="str"/>
          <cell r="J33" t="str">
            <v>SOP IT APD HRS C06</v>
          </cell>
          <cell r="K33">
            <v>2</v>
          </cell>
          <cell r="L33">
            <v>210</v>
          </cell>
          <cell r="M33">
            <v>0</v>
          </cell>
          <cell r="N33" t="str"/>
          <cell r="O33" t="str"/>
          <cell r="P33" t="str">
            <v>X</v>
          </cell>
          <cell r="Q33" t="str"/>
          <cell r="R33" t="str"/>
        </row>
        <row r="34">
          <cell r="A34" t="str">
            <v>APDH2.03321 HR_MySuccessNetwork</v>
          </cell>
          <cell r="B34" t="str">
            <v>001 / Projekt</v>
          </cell>
          <cell r="C34" t="str">
            <v>001 / Development</v>
          </cell>
          <cell r="D34" t="str"/>
          <cell r="E34">
            <v>43595</v>
          </cell>
          <cell r="F34" t="str">
            <v>05/2019</v>
          </cell>
          <cell r="G34" t="str">
            <v>Bentfeld, Bastian</v>
          </cell>
          <cell r="H34" t="str">
            <v>Z0030UDK</v>
          </cell>
          <cell r="I34" t="str"/>
          <cell r="J34" t="str">
            <v>SOP IT APD HRS C07</v>
          </cell>
          <cell r="K34">
            <v>6</v>
          </cell>
          <cell r="L34">
            <v>540</v>
          </cell>
          <cell r="M34">
            <v>0</v>
          </cell>
          <cell r="N34" t="str"/>
          <cell r="O34" t="str"/>
          <cell r="P34" t="str">
            <v>X</v>
          </cell>
          <cell r="Q34" t="str"/>
          <cell r="R34" t="str"/>
        </row>
        <row r="35">
          <cell r="A35" t="str">
            <v>APDH2.03321 HR_MySuccessNetwork</v>
          </cell>
          <cell r="B35" t="str">
            <v>001 / Projekt</v>
          </cell>
          <cell r="C35" t="str">
            <v>001 / Development</v>
          </cell>
          <cell r="D35" t="str"/>
          <cell r="E35">
            <v>43598</v>
          </cell>
          <cell r="F35" t="str">
            <v>05/2019</v>
          </cell>
          <cell r="G35" t="str">
            <v>Falke, Thomas</v>
          </cell>
          <cell r="H35" t="str">
            <v>Z000SW9C</v>
          </cell>
          <cell r="I35" t="str"/>
          <cell r="J35" t="str">
            <v>SOP IT APD HRS C07</v>
          </cell>
          <cell r="K35">
            <v>6</v>
          </cell>
          <cell r="L35">
            <v>540</v>
          </cell>
          <cell r="M35">
            <v>0</v>
          </cell>
          <cell r="N35" t="str"/>
          <cell r="O35" t="str"/>
          <cell r="P35" t="str">
            <v>X</v>
          </cell>
          <cell r="Q35" t="str"/>
          <cell r="R35" t="str">
            <v>Infrastructure setup</v>
          </cell>
        </row>
        <row r="36">
          <cell r="A36" t="str">
            <v>APDH2.03321 HR_MySuccessNetwork</v>
          </cell>
          <cell r="B36" t="str">
            <v>001 / Projekt</v>
          </cell>
          <cell r="C36" t="str">
            <v>001 / Development</v>
          </cell>
          <cell r="D36" t="str"/>
          <cell r="E36">
            <v>43598</v>
          </cell>
          <cell r="F36" t="str">
            <v>05/2019</v>
          </cell>
          <cell r="G36" t="str">
            <v>Speicher, Dominik</v>
          </cell>
          <cell r="H36" t="str">
            <v>Z001PE3B</v>
          </cell>
          <cell r="I36" t="str"/>
          <cell r="J36" t="str">
            <v>SOP IT APD HRS C07</v>
          </cell>
          <cell r="K36">
            <v>8</v>
          </cell>
          <cell r="L36">
            <v>720</v>
          </cell>
          <cell r="M36">
            <v>0</v>
          </cell>
          <cell r="N36" t="str"/>
          <cell r="O36" t="str"/>
          <cell r="P36" t="str">
            <v>X</v>
          </cell>
          <cell r="Q36" t="str"/>
          <cell r="R36" t="str"/>
        </row>
        <row r="37">
          <cell r="A37" t="str">
            <v>APDH2.03321 HR_MySuccessNetwork</v>
          </cell>
          <cell r="B37" t="str">
            <v>001 / Projekt</v>
          </cell>
          <cell r="C37" t="str">
            <v>001 / Development</v>
          </cell>
          <cell r="D37" t="str"/>
          <cell r="E37">
            <v>43598</v>
          </cell>
          <cell r="F37" t="str">
            <v>05/2019</v>
          </cell>
          <cell r="G37" t="str">
            <v>Zak, Alexander</v>
          </cell>
          <cell r="H37" t="str">
            <v>Z001PMUV</v>
          </cell>
          <cell r="I37" t="str"/>
          <cell r="J37" t="str">
            <v>SOP IT APD HRS C06</v>
          </cell>
          <cell r="K37">
            <v>2</v>
          </cell>
          <cell r="L37">
            <v>210</v>
          </cell>
          <cell r="M37">
            <v>0</v>
          </cell>
          <cell r="N37" t="str"/>
          <cell r="O37" t="str"/>
          <cell r="P37" t="str">
            <v>X</v>
          </cell>
          <cell r="Q37" t="str"/>
          <cell r="R37" t="str"/>
        </row>
        <row r="38">
          <cell r="A38" t="str">
            <v>APDH2.03321 HR_MySuccessNetwork</v>
          </cell>
          <cell r="B38" t="str">
            <v>001 / Projekt</v>
          </cell>
          <cell r="C38" t="str">
            <v>001 / Development</v>
          </cell>
          <cell r="D38" t="str"/>
          <cell r="E38">
            <v>43598</v>
          </cell>
          <cell r="F38" t="str">
            <v>05/2019</v>
          </cell>
          <cell r="G38" t="str">
            <v>Bentfeld, Bastian</v>
          </cell>
          <cell r="H38" t="str">
            <v>Z0030UDK</v>
          </cell>
          <cell r="I38" t="str"/>
          <cell r="J38" t="str">
            <v>SOP IT APD HRS C07</v>
          </cell>
          <cell r="K38">
            <v>6</v>
          </cell>
          <cell r="L38">
            <v>540</v>
          </cell>
          <cell r="M38">
            <v>0</v>
          </cell>
          <cell r="N38" t="str"/>
          <cell r="O38" t="str"/>
          <cell r="P38" t="str">
            <v>X</v>
          </cell>
          <cell r="Q38" t="str"/>
          <cell r="R38" t="str"/>
        </row>
        <row r="39">
          <cell r="A39" t="str">
            <v>APDH2.03321 HR_MySuccessNetwork</v>
          </cell>
          <cell r="B39" t="str">
            <v>001 / Projekt</v>
          </cell>
          <cell r="C39" t="str">
            <v>001 / Development</v>
          </cell>
          <cell r="D39" t="str"/>
          <cell r="E39">
            <v>43598</v>
          </cell>
          <cell r="F39" t="str">
            <v>05/2019</v>
          </cell>
          <cell r="G39" t="str">
            <v>Koeller, Maximilian</v>
          </cell>
          <cell r="H39" t="str">
            <v>Z003DZ7J</v>
          </cell>
          <cell r="I39" t="str"/>
          <cell r="J39" t="str">
            <v>SOP IT APD HRS C07</v>
          </cell>
          <cell r="K39">
            <v>13</v>
          </cell>
          <cell r="L39">
            <v>585</v>
          </cell>
          <cell r="M39">
            <v>0</v>
          </cell>
          <cell r="N39" t="str"/>
          <cell r="O39" t="str"/>
          <cell r="P39" t="str">
            <v>X</v>
          </cell>
          <cell r="Q39" t="str"/>
          <cell r="R39" t="str"/>
        </row>
        <row r="40">
          <cell r="A40" t="str">
            <v>APDH2.03321 HR_MySuccessNetwork</v>
          </cell>
          <cell r="B40" t="str">
            <v>001 / Projekt</v>
          </cell>
          <cell r="C40" t="str">
            <v>001 / Development</v>
          </cell>
          <cell r="D40" t="str"/>
          <cell r="E40">
            <v>43599</v>
          </cell>
          <cell r="F40" t="str">
            <v>05/2019</v>
          </cell>
          <cell r="G40" t="str">
            <v>Koechling, Gabriele</v>
          </cell>
          <cell r="H40" t="str">
            <v>Z000DTQL</v>
          </cell>
          <cell r="I40" t="str"/>
          <cell r="J40" t="str">
            <v>SOP IT APD HRS C07</v>
          </cell>
          <cell r="K40">
            <v>1</v>
          </cell>
          <cell r="L40">
            <v>90</v>
          </cell>
          <cell r="M40">
            <v>0</v>
          </cell>
          <cell r="N40" t="str"/>
          <cell r="O40" t="str"/>
          <cell r="P40" t="str">
            <v>X</v>
          </cell>
          <cell r="Q40" t="str"/>
          <cell r="R40" t="str">
            <v xml:space="preserve">Einrichten von Lean FT, SVN, Jira, Eclipse usw. für Testframework
</v>
          </cell>
        </row>
        <row r="41">
          <cell r="A41" t="str">
            <v>APDH2.03321 HR_MySuccessNetwork</v>
          </cell>
          <cell r="B41" t="str">
            <v>001 / Projekt</v>
          </cell>
          <cell r="C41" t="str">
            <v>001 / Development</v>
          </cell>
          <cell r="D41" t="str"/>
          <cell r="E41">
            <v>43599</v>
          </cell>
          <cell r="F41" t="str">
            <v>05/2019</v>
          </cell>
          <cell r="G41" t="str">
            <v>Speicher, Dominik</v>
          </cell>
          <cell r="H41" t="str">
            <v>Z001PE3B</v>
          </cell>
          <cell r="I41" t="str"/>
          <cell r="J41" t="str">
            <v>SOP IT APD HRS C07</v>
          </cell>
          <cell r="K41">
            <v>3</v>
          </cell>
          <cell r="L41">
            <v>270</v>
          </cell>
          <cell r="M41">
            <v>0</v>
          </cell>
          <cell r="N41" t="str"/>
          <cell r="O41" t="str"/>
          <cell r="P41" t="str">
            <v>X</v>
          </cell>
          <cell r="Q41" t="str"/>
          <cell r="R41" t="str"/>
        </row>
        <row r="42">
          <cell r="A42" t="str">
            <v>APDH2.03321 HR_MySuccessNetwork</v>
          </cell>
          <cell r="B42" t="str">
            <v>001 / Projekt</v>
          </cell>
          <cell r="C42" t="str">
            <v>001 / Development</v>
          </cell>
          <cell r="D42" t="str"/>
          <cell r="E42">
            <v>43599</v>
          </cell>
          <cell r="F42" t="str">
            <v>05/2019</v>
          </cell>
          <cell r="G42" t="str">
            <v>Zak, Alexander</v>
          </cell>
          <cell r="H42" t="str">
            <v>Z001PMUV</v>
          </cell>
          <cell r="I42" t="str"/>
          <cell r="J42" t="str">
            <v>SOP IT APD HRS C06</v>
          </cell>
          <cell r="K42">
            <v>2</v>
          </cell>
          <cell r="L42">
            <v>210</v>
          </cell>
          <cell r="M42">
            <v>0</v>
          </cell>
          <cell r="N42" t="str"/>
          <cell r="O42" t="str"/>
          <cell r="P42" t="str">
            <v>X</v>
          </cell>
          <cell r="Q42" t="str"/>
          <cell r="R42" t="str"/>
        </row>
        <row r="43">
          <cell r="A43" t="str">
            <v>APDH2.03321 HR_MySuccessNetwork</v>
          </cell>
          <cell r="B43" t="str">
            <v>001 / Projekt</v>
          </cell>
          <cell r="C43" t="str">
            <v>001 / Development</v>
          </cell>
          <cell r="D43" t="str"/>
          <cell r="E43">
            <v>43599</v>
          </cell>
          <cell r="F43" t="str">
            <v>05/2019</v>
          </cell>
          <cell r="G43" t="str">
            <v>Bentfeld, Bastian</v>
          </cell>
          <cell r="H43" t="str">
            <v>Z0030UDK</v>
          </cell>
          <cell r="I43" t="str"/>
          <cell r="J43" t="str">
            <v>SOP IT APD HRS C07</v>
          </cell>
          <cell r="K43">
            <v>5.5</v>
          </cell>
          <cell r="L43">
            <v>495</v>
          </cell>
          <cell r="M43">
            <v>0</v>
          </cell>
          <cell r="N43" t="str"/>
          <cell r="O43" t="str"/>
          <cell r="P43" t="str">
            <v>X</v>
          </cell>
          <cell r="Q43" t="str"/>
          <cell r="R43" t="str"/>
        </row>
        <row r="44">
          <cell r="A44" t="str">
            <v>APDH2.03321 HR_MySuccessNetwork</v>
          </cell>
          <cell r="B44" t="str">
            <v>001 / Projekt</v>
          </cell>
          <cell r="C44" t="str">
            <v>001 / Development</v>
          </cell>
          <cell r="D44" t="str"/>
          <cell r="E44">
            <v>43600</v>
          </cell>
          <cell r="F44" t="str">
            <v>05/2019</v>
          </cell>
          <cell r="G44" t="str">
            <v>Koechling, Gabriele</v>
          </cell>
          <cell r="H44" t="str">
            <v>Z000DTQL</v>
          </cell>
          <cell r="I44" t="str"/>
          <cell r="J44" t="str">
            <v>SOP IT APD HRS C07</v>
          </cell>
          <cell r="K44">
            <v>1.5</v>
          </cell>
          <cell r="L44">
            <v>135</v>
          </cell>
          <cell r="M44">
            <v>0</v>
          </cell>
          <cell r="N44" t="str"/>
          <cell r="O44" t="str"/>
          <cell r="P44" t="str">
            <v>X</v>
          </cell>
          <cell r="Q44" t="str"/>
          <cell r="R44" t="str">
            <v xml:space="preserve">My SN JF und Review mit Klärung zu SAA Apps mit BE-Anbindung, Aufsetzen Testumgebung mit Dominik
</v>
          </cell>
        </row>
        <row r="45">
          <cell r="A45" t="str">
            <v>APDH2.03321 HR_MySuccessNetwork</v>
          </cell>
          <cell r="B45" t="str">
            <v>001 / Projekt</v>
          </cell>
          <cell r="C45" t="str">
            <v>001 / Development</v>
          </cell>
          <cell r="D45" t="str"/>
          <cell r="E45">
            <v>43600</v>
          </cell>
          <cell r="F45" t="str">
            <v>05/2019</v>
          </cell>
          <cell r="G45" t="str">
            <v>Speicher, Dominik</v>
          </cell>
          <cell r="H45" t="str">
            <v>Z001PE3B</v>
          </cell>
          <cell r="I45" t="str"/>
          <cell r="J45" t="str">
            <v>SOP IT APD HRS C07</v>
          </cell>
          <cell r="K45">
            <v>3</v>
          </cell>
          <cell r="L45">
            <v>270</v>
          </cell>
          <cell r="M45">
            <v>0</v>
          </cell>
          <cell r="N45" t="str"/>
          <cell r="O45" t="str"/>
          <cell r="P45" t="str">
            <v>X</v>
          </cell>
          <cell r="Q45" t="str"/>
          <cell r="R45" t="str"/>
        </row>
        <row r="46">
          <cell r="A46" t="str">
            <v>APDH2.03321 HR_MySuccessNetwork</v>
          </cell>
          <cell r="B46" t="str">
            <v>001 / Projekt</v>
          </cell>
          <cell r="C46" t="str">
            <v>001 / Development</v>
          </cell>
          <cell r="D46" t="str"/>
          <cell r="E46">
            <v>43600</v>
          </cell>
          <cell r="F46" t="str">
            <v>05/2019</v>
          </cell>
          <cell r="G46" t="str">
            <v>Zak, Alexander</v>
          </cell>
          <cell r="H46" t="str">
            <v>Z001PMUV</v>
          </cell>
          <cell r="I46" t="str"/>
          <cell r="J46" t="str">
            <v>SOP IT APD HRS C06</v>
          </cell>
          <cell r="K46">
            <v>2</v>
          </cell>
          <cell r="L46">
            <v>210</v>
          </cell>
          <cell r="M46">
            <v>0</v>
          </cell>
          <cell r="N46" t="str"/>
          <cell r="O46" t="str"/>
          <cell r="P46" t="str">
            <v>X</v>
          </cell>
          <cell r="Q46" t="str"/>
          <cell r="R46" t="str"/>
        </row>
        <row r="47">
          <cell r="A47" t="str">
            <v>APDH2.03321 HR_MySuccessNetwork</v>
          </cell>
          <cell r="B47" t="str">
            <v>001 / Projekt</v>
          </cell>
          <cell r="C47" t="str">
            <v>001 / Development</v>
          </cell>
          <cell r="D47" t="str"/>
          <cell r="E47">
            <v>43600</v>
          </cell>
          <cell r="F47" t="str">
            <v>05/2019</v>
          </cell>
          <cell r="G47" t="str">
            <v>Bentfeld, Bastian</v>
          </cell>
          <cell r="H47" t="str">
            <v>Z0030UDK</v>
          </cell>
          <cell r="I47" t="str"/>
          <cell r="J47" t="str">
            <v>SOP IT APD HRS C07</v>
          </cell>
          <cell r="K47">
            <v>4.5</v>
          </cell>
          <cell r="L47">
            <v>405</v>
          </cell>
          <cell r="M47">
            <v>0</v>
          </cell>
          <cell r="N47" t="str"/>
          <cell r="O47" t="str"/>
          <cell r="P47" t="str">
            <v>X</v>
          </cell>
          <cell r="Q47" t="str"/>
          <cell r="R47" t="str"/>
        </row>
        <row r="48">
          <cell r="A48" t="str">
            <v>APDH2.03321 HR_MySuccessNetwork</v>
          </cell>
          <cell r="B48" t="str">
            <v>001 / Projekt</v>
          </cell>
          <cell r="C48" t="str">
            <v>001 / Development</v>
          </cell>
          <cell r="D48" t="str"/>
          <cell r="E48">
            <v>43600</v>
          </cell>
          <cell r="F48" t="str">
            <v>05/2019</v>
          </cell>
          <cell r="G48" t="str">
            <v>Koeller, Maximilian</v>
          </cell>
          <cell r="H48" t="str">
            <v>Z003DZ7J</v>
          </cell>
          <cell r="I48" t="str"/>
          <cell r="J48" t="str">
            <v>SOP IT APD HRS C07</v>
          </cell>
          <cell r="K48">
            <v>1</v>
          </cell>
          <cell r="L48">
            <v>45</v>
          </cell>
          <cell r="M48">
            <v>0</v>
          </cell>
          <cell r="N48" t="str"/>
          <cell r="O48" t="str"/>
          <cell r="P48" t="str">
            <v>X</v>
          </cell>
          <cell r="Q48" t="str"/>
          <cell r="R48" t="str"/>
        </row>
        <row r="49">
          <cell r="A49" t="str">
            <v>APDH2.03321 HR_MySuccessNetwork</v>
          </cell>
          <cell r="B49" t="str">
            <v>001 / Projekt</v>
          </cell>
          <cell r="C49" t="str">
            <v>001 / Development</v>
          </cell>
          <cell r="D49" t="str"/>
          <cell r="E49">
            <v>43601</v>
          </cell>
          <cell r="F49" t="str">
            <v>05/2019</v>
          </cell>
          <cell r="G49" t="str">
            <v>Koechling, Gabriele</v>
          </cell>
          <cell r="H49" t="str">
            <v>Z000DTQL</v>
          </cell>
          <cell r="I49" t="str"/>
          <cell r="J49" t="str">
            <v>SOP IT APD HRS C07</v>
          </cell>
          <cell r="K49">
            <v>1.5</v>
          </cell>
          <cell r="L49">
            <v>135</v>
          </cell>
          <cell r="M49">
            <v>0</v>
          </cell>
          <cell r="N49" t="str"/>
          <cell r="O49" t="str"/>
          <cell r="P49" t="str">
            <v>X</v>
          </cell>
          <cell r="Q49" t="str"/>
          <cell r="R49" t="str">
            <v xml:space="preserve">My SN JF, Prüfen Eclipse, weiteres Aufsetzen Testumgebung mit Dominik, Java-Installation, Vorgehen f. Testautomatisierung gezeigt bekommen
</v>
          </cell>
        </row>
        <row r="50">
          <cell r="A50" t="str">
            <v>APDH2.03321 HR_MySuccessNetwork</v>
          </cell>
          <cell r="B50" t="str">
            <v>001 / Projekt</v>
          </cell>
          <cell r="C50" t="str">
            <v>001 / Development</v>
          </cell>
          <cell r="D50" t="str"/>
          <cell r="E50">
            <v>43601</v>
          </cell>
          <cell r="F50" t="str">
            <v>05/2019</v>
          </cell>
          <cell r="G50" t="str">
            <v>Zak, Alexander</v>
          </cell>
          <cell r="H50" t="str">
            <v>Z001PMUV</v>
          </cell>
          <cell r="I50" t="str"/>
          <cell r="J50" t="str">
            <v>SOP IT APD HRS C06</v>
          </cell>
          <cell r="K50">
            <v>2</v>
          </cell>
          <cell r="L50">
            <v>210</v>
          </cell>
          <cell r="M50">
            <v>0</v>
          </cell>
          <cell r="N50" t="str"/>
          <cell r="O50" t="str"/>
          <cell r="P50" t="str">
            <v>X</v>
          </cell>
          <cell r="Q50" t="str"/>
          <cell r="R50" t="str"/>
        </row>
        <row r="51">
          <cell r="A51" t="str">
            <v>APDH2.03321 HR_MySuccessNetwork</v>
          </cell>
          <cell r="B51" t="str">
            <v>001 / Projekt</v>
          </cell>
          <cell r="C51" t="str">
            <v>001 / Development</v>
          </cell>
          <cell r="D51" t="str"/>
          <cell r="E51">
            <v>43601</v>
          </cell>
          <cell r="F51" t="str">
            <v>05/2019</v>
          </cell>
          <cell r="G51" t="str">
            <v>Bentfeld, Bastian</v>
          </cell>
          <cell r="H51" t="str">
            <v>Z0030UDK</v>
          </cell>
          <cell r="I51" t="str"/>
          <cell r="J51" t="str">
            <v>SOP IT APD HRS C07</v>
          </cell>
          <cell r="K51">
            <v>5</v>
          </cell>
          <cell r="L51">
            <v>450</v>
          </cell>
          <cell r="M51">
            <v>0</v>
          </cell>
          <cell r="N51" t="str"/>
          <cell r="O51" t="str"/>
          <cell r="P51" t="str">
            <v>X</v>
          </cell>
          <cell r="Q51" t="str"/>
          <cell r="R51" t="str"/>
        </row>
        <row r="52">
          <cell r="A52" t="str">
            <v>APDH2.03321 HR_MySuccessNetwork</v>
          </cell>
          <cell r="B52" t="str">
            <v>001 / Projekt</v>
          </cell>
          <cell r="C52" t="str">
            <v>001 / Development</v>
          </cell>
          <cell r="D52" t="str"/>
          <cell r="E52">
            <v>43601</v>
          </cell>
          <cell r="F52" t="str">
            <v>05/2019</v>
          </cell>
          <cell r="G52" t="str">
            <v>Koeller, Maximilian</v>
          </cell>
          <cell r="H52" t="str">
            <v>Z003DZ7J</v>
          </cell>
          <cell r="I52" t="str"/>
          <cell r="J52" t="str">
            <v>SOP IT APD HRS C07</v>
          </cell>
          <cell r="K52">
            <v>9.0500000000000007</v>
          </cell>
          <cell r="L52">
            <v>407.25</v>
          </cell>
          <cell r="M52">
            <v>0</v>
          </cell>
          <cell r="N52" t="str"/>
          <cell r="O52" t="str"/>
          <cell r="P52" t="str">
            <v>X</v>
          </cell>
          <cell r="Q52" t="str"/>
          <cell r="R52" t="str"/>
        </row>
        <row r="53">
          <cell r="A53" t="str">
            <v>APDH2.03321 HR_MySuccessNetwork</v>
          </cell>
          <cell r="B53" t="str">
            <v>001 / Projekt</v>
          </cell>
          <cell r="C53" t="str">
            <v>001 / Development</v>
          </cell>
          <cell r="D53" t="str"/>
          <cell r="E53">
            <v>43602</v>
          </cell>
          <cell r="F53" t="str">
            <v>05/2019</v>
          </cell>
          <cell r="G53" t="str">
            <v>Speicher, Dominik</v>
          </cell>
          <cell r="H53" t="str">
            <v>Z001PE3B</v>
          </cell>
          <cell r="I53" t="str"/>
          <cell r="J53" t="str">
            <v>SOP IT APD HRS C07</v>
          </cell>
          <cell r="K53">
            <v>1</v>
          </cell>
          <cell r="L53">
            <v>90</v>
          </cell>
          <cell r="M53">
            <v>0</v>
          </cell>
          <cell r="N53" t="str"/>
          <cell r="O53" t="str"/>
          <cell r="P53" t="str">
            <v>X</v>
          </cell>
          <cell r="Q53" t="str"/>
          <cell r="R53" t="str"/>
        </row>
        <row r="54">
          <cell r="A54" t="str">
            <v>APDH2.03321 HR_MySuccessNetwork</v>
          </cell>
          <cell r="B54" t="str">
            <v>001 / Projekt</v>
          </cell>
          <cell r="C54" t="str">
            <v>001 / Development</v>
          </cell>
          <cell r="D54" t="str"/>
          <cell r="E54">
            <v>43602</v>
          </cell>
          <cell r="F54" t="str">
            <v>05/2019</v>
          </cell>
          <cell r="G54" t="str">
            <v>Zak, Alexander</v>
          </cell>
          <cell r="H54" t="str">
            <v>Z001PMUV</v>
          </cell>
          <cell r="I54" t="str"/>
          <cell r="J54" t="str">
            <v>SOP IT APD HRS C06</v>
          </cell>
          <cell r="K54">
            <v>2</v>
          </cell>
          <cell r="L54">
            <v>210</v>
          </cell>
          <cell r="M54">
            <v>0</v>
          </cell>
          <cell r="N54" t="str"/>
          <cell r="O54" t="str"/>
          <cell r="P54" t="str">
            <v>X</v>
          </cell>
          <cell r="Q54" t="str"/>
          <cell r="R54" t="str"/>
        </row>
        <row r="55">
          <cell r="A55" t="str">
            <v>APDH2.03321 HR_MySuccessNetwork</v>
          </cell>
          <cell r="B55" t="str">
            <v>001 / Projekt</v>
          </cell>
          <cell r="C55" t="str">
            <v>001 / Development</v>
          </cell>
          <cell r="D55" t="str"/>
          <cell r="E55">
            <v>43602</v>
          </cell>
          <cell r="F55" t="str">
            <v>05/2019</v>
          </cell>
          <cell r="G55" t="str">
            <v>Bentfeld, Bastian</v>
          </cell>
          <cell r="H55" t="str">
            <v>Z0030UDK</v>
          </cell>
          <cell r="I55" t="str"/>
          <cell r="J55" t="str">
            <v>SOP IT APD HRS C07</v>
          </cell>
          <cell r="K55">
            <v>1</v>
          </cell>
          <cell r="L55">
            <v>90</v>
          </cell>
          <cell r="M55">
            <v>0</v>
          </cell>
          <cell r="N55" t="str"/>
          <cell r="O55" t="str"/>
          <cell r="P55" t="str">
            <v>X</v>
          </cell>
          <cell r="Q55" t="str"/>
          <cell r="R55" t="str"/>
        </row>
        <row r="56">
          <cell r="A56" t="str">
            <v>APDH2.03321 HR_MySuccessNetwork</v>
          </cell>
          <cell r="B56" t="str">
            <v>001 / Projekt</v>
          </cell>
          <cell r="C56" t="str">
            <v>001 / Development</v>
          </cell>
          <cell r="D56" t="str"/>
          <cell r="E56">
            <v>43602</v>
          </cell>
          <cell r="F56" t="str">
            <v>05/2019</v>
          </cell>
          <cell r="G56" t="str">
            <v>Koeller, Maximilian</v>
          </cell>
          <cell r="H56" t="str">
            <v>Z003DZ7J</v>
          </cell>
          <cell r="I56" t="str"/>
          <cell r="J56" t="str">
            <v>SOP IT APD HRS C07</v>
          </cell>
          <cell r="K56">
            <v>5</v>
          </cell>
          <cell r="L56">
            <v>225</v>
          </cell>
          <cell r="M56">
            <v>0</v>
          </cell>
          <cell r="N56" t="str"/>
          <cell r="O56" t="str"/>
          <cell r="P56" t="str">
            <v>X</v>
          </cell>
          <cell r="Q56" t="str"/>
          <cell r="R56" t="str"/>
        </row>
        <row r="57">
          <cell r="A57" t="str">
            <v>APDH2.03321 HR_MySuccessNetwork</v>
          </cell>
          <cell r="B57" t="str">
            <v>001 / Projekt</v>
          </cell>
          <cell r="C57" t="str">
            <v>001 / Development</v>
          </cell>
          <cell r="D57" t="str"/>
          <cell r="E57">
            <v>43605</v>
          </cell>
          <cell r="F57" t="str">
            <v>05/2019</v>
          </cell>
          <cell r="G57" t="str">
            <v>Koechling, Gabriele</v>
          </cell>
          <cell r="H57" t="str">
            <v>Z000DTQL</v>
          </cell>
          <cell r="I57" t="str"/>
          <cell r="J57" t="str">
            <v>SOP IT APD HRS C07</v>
          </cell>
          <cell r="K57">
            <v>1</v>
          </cell>
          <cell r="L57">
            <v>90</v>
          </cell>
          <cell r="M57">
            <v>0</v>
          </cell>
          <cell r="N57" t="str"/>
          <cell r="O57" t="str"/>
          <cell r="P57" t="str">
            <v>X</v>
          </cell>
          <cell r="Q57" t="str"/>
          <cell r="R57" t="str">
            <v xml:space="preserve">mit Dominik Eclipse weiter eingerichtet, Schritte für Testautomatisierung angeschaut
</v>
          </cell>
        </row>
        <row r="58">
          <cell r="A58" t="str">
            <v>APDH2.03321 HR_MySuccessNetwork</v>
          </cell>
          <cell r="B58" t="str">
            <v>001 / Projekt</v>
          </cell>
          <cell r="C58" t="str">
            <v>001 / Development</v>
          </cell>
          <cell r="D58" t="str"/>
          <cell r="E58">
            <v>43605</v>
          </cell>
          <cell r="F58" t="str">
            <v>05/2019</v>
          </cell>
          <cell r="G58" t="str">
            <v>Zak, Alexander</v>
          </cell>
          <cell r="H58" t="str">
            <v>Z001PMUV</v>
          </cell>
          <cell r="I58" t="str"/>
          <cell r="J58" t="str">
            <v>SOP IT APD HRS C06</v>
          </cell>
          <cell r="K58">
            <v>1</v>
          </cell>
          <cell r="L58">
            <v>105</v>
          </cell>
          <cell r="M58">
            <v>0</v>
          </cell>
          <cell r="N58" t="str"/>
          <cell r="O58" t="str"/>
          <cell r="P58" t="str">
            <v>X</v>
          </cell>
          <cell r="Q58" t="str"/>
          <cell r="R58" t="str"/>
        </row>
        <row r="59">
          <cell r="A59" t="str">
            <v>APDH2.03321 HR_MySuccessNetwork</v>
          </cell>
          <cell r="B59" t="str">
            <v>001 / Projekt</v>
          </cell>
          <cell r="C59" t="str">
            <v>001 / Development</v>
          </cell>
          <cell r="D59" t="str"/>
          <cell r="E59">
            <v>43605</v>
          </cell>
          <cell r="F59" t="str">
            <v>05/2019</v>
          </cell>
          <cell r="G59" t="str">
            <v>Bentfeld, Bastian</v>
          </cell>
          <cell r="H59" t="str">
            <v>Z0030UDK</v>
          </cell>
          <cell r="I59" t="str"/>
          <cell r="J59" t="str">
            <v>SOP IT APD HRS C07</v>
          </cell>
          <cell r="K59">
            <v>5.5</v>
          </cell>
          <cell r="L59">
            <v>495</v>
          </cell>
          <cell r="M59">
            <v>0</v>
          </cell>
          <cell r="N59" t="str"/>
          <cell r="O59" t="str"/>
          <cell r="P59" t="str">
            <v>X</v>
          </cell>
          <cell r="Q59" t="str"/>
          <cell r="R59" t="str"/>
        </row>
        <row r="60">
          <cell r="A60" t="str">
            <v>APDH2.03321 HR_MySuccessNetwork</v>
          </cell>
          <cell r="B60" t="str">
            <v>001 / Projekt</v>
          </cell>
          <cell r="C60" t="str">
            <v>001 / Development</v>
          </cell>
          <cell r="D60" t="str"/>
          <cell r="E60">
            <v>43605</v>
          </cell>
          <cell r="F60" t="str">
            <v>05/2019</v>
          </cell>
          <cell r="G60" t="str">
            <v>Koeller, Maximilian</v>
          </cell>
          <cell r="H60" t="str">
            <v>Z003DZ7J</v>
          </cell>
          <cell r="I60" t="str"/>
          <cell r="J60" t="str">
            <v>SOP IT APD HRS C07</v>
          </cell>
          <cell r="K60">
            <v>4</v>
          </cell>
          <cell r="L60">
            <v>180</v>
          </cell>
          <cell r="M60">
            <v>0</v>
          </cell>
          <cell r="N60" t="str"/>
          <cell r="O60" t="str"/>
          <cell r="P60" t="str">
            <v>X</v>
          </cell>
          <cell r="Q60" t="str"/>
          <cell r="R60" t="str"/>
        </row>
        <row r="61">
          <cell r="A61" t="str">
            <v>APDH2.03321 HR_MySuccessNetwork</v>
          </cell>
          <cell r="B61" t="str">
            <v>001 / Projekt</v>
          </cell>
          <cell r="C61" t="str">
            <v>001 / Development</v>
          </cell>
          <cell r="D61" t="str"/>
          <cell r="E61">
            <v>43606</v>
          </cell>
          <cell r="F61" t="str">
            <v>05/2019</v>
          </cell>
          <cell r="G61" t="str">
            <v>Koechling, Gabriele</v>
          </cell>
          <cell r="H61" t="str">
            <v>Z000DTQL</v>
          </cell>
          <cell r="I61" t="str"/>
          <cell r="J61" t="str">
            <v>SOP IT APD HRS C07</v>
          </cell>
          <cell r="K61">
            <v>1.75</v>
          </cell>
          <cell r="L61">
            <v>157.5</v>
          </cell>
          <cell r="M61">
            <v>0</v>
          </cell>
          <cell r="N61" t="str"/>
          <cell r="O61" t="str"/>
          <cell r="P61" t="str">
            <v>X</v>
          </cell>
          <cell r="Q61" t="str"/>
          <cell r="R61" t="str">
            <v xml:space="preserve">My SN JF, Testprotokolle vorbereitet für die Tests in MYSN Test
</v>
          </cell>
        </row>
        <row r="62">
          <cell r="A62" t="str">
            <v>APDH2.03321 HR_MySuccessNetwork</v>
          </cell>
          <cell r="B62" t="str">
            <v>001 / Projekt</v>
          </cell>
          <cell r="C62" t="str">
            <v>001 / Development</v>
          </cell>
          <cell r="D62" t="str"/>
          <cell r="E62">
            <v>43606</v>
          </cell>
          <cell r="F62" t="str">
            <v>05/2019</v>
          </cell>
          <cell r="G62" t="str">
            <v>Speicher, Dominik</v>
          </cell>
          <cell r="H62" t="str">
            <v>Z001PE3B</v>
          </cell>
          <cell r="I62" t="str"/>
          <cell r="J62" t="str">
            <v>SOP IT APD HRS C07</v>
          </cell>
          <cell r="K62">
            <v>2</v>
          </cell>
          <cell r="L62">
            <v>180</v>
          </cell>
          <cell r="M62">
            <v>0</v>
          </cell>
          <cell r="N62" t="str"/>
          <cell r="O62" t="str"/>
          <cell r="P62" t="str">
            <v>X</v>
          </cell>
          <cell r="Q62" t="str"/>
          <cell r="R62" t="str"/>
        </row>
        <row r="63">
          <cell r="A63" t="str">
            <v>APDH2.03321 HR_MySuccessNetwork</v>
          </cell>
          <cell r="B63" t="str">
            <v>001 / Projekt</v>
          </cell>
          <cell r="C63" t="str">
            <v>001 / Development</v>
          </cell>
          <cell r="D63" t="str"/>
          <cell r="E63">
            <v>43606</v>
          </cell>
          <cell r="F63" t="str">
            <v>05/2019</v>
          </cell>
          <cell r="G63" t="str">
            <v>Zak, Alexander</v>
          </cell>
          <cell r="H63" t="str">
            <v>Z001PMUV</v>
          </cell>
          <cell r="I63" t="str"/>
          <cell r="J63" t="str">
            <v>SOP IT APD HRS C06</v>
          </cell>
          <cell r="K63">
            <v>1</v>
          </cell>
          <cell r="L63">
            <v>105</v>
          </cell>
          <cell r="M63">
            <v>0</v>
          </cell>
          <cell r="N63" t="str"/>
          <cell r="O63" t="str"/>
          <cell r="P63" t="str">
            <v>X</v>
          </cell>
          <cell r="Q63" t="str"/>
          <cell r="R63" t="str"/>
        </row>
        <row r="64">
          <cell r="A64" t="str">
            <v>APDH2.03321 HR_MySuccessNetwork</v>
          </cell>
          <cell r="B64" t="str">
            <v>001 / Projekt</v>
          </cell>
          <cell r="C64" t="str">
            <v>001 / Development</v>
          </cell>
          <cell r="D64" t="str"/>
          <cell r="E64">
            <v>43606</v>
          </cell>
          <cell r="F64" t="str">
            <v>05/2019</v>
          </cell>
          <cell r="G64" t="str">
            <v>Bentfeld, Bastian</v>
          </cell>
          <cell r="H64" t="str">
            <v>Z0030UDK</v>
          </cell>
          <cell r="I64" t="str"/>
          <cell r="J64" t="str">
            <v>SOP IT APD HRS C07</v>
          </cell>
          <cell r="K64">
            <v>6</v>
          </cell>
          <cell r="L64">
            <v>540</v>
          </cell>
          <cell r="M64">
            <v>0</v>
          </cell>
          <cell r="N64" t="str"/>
          <cell r="O64" t="str"/>
          <cell r="P64" t="str">
            <v>X</v>
          </cell>
          <cell r="Q64" t="str"/>
          <cell r="R64" t="str"/>
        </row>
        <row r="65">
          <cell r="A65" t="str">
            <v>APDH2.03321 HR_MySuccessNetwork</v>
          </cell>
          <cell r="B65" t="str">
            <v>001 / Projekt</v>
          </cell>
          <cell r="C65" t="str">
            <v>001 / Development</v>
          </cell>
          <cell r="D65" t="str"/>
          <cell r="E65">
            <v>43607</v>
          </cell>
          <cell r="F65" t="str">
            <v>05/2019</v>
          </cell>
          <cell r="G65" t="str">
            <v>Koechling, Gabriele</v>
          </cell>
          <cell r="H65" t="str">
            <v>Z000DTQL</v>
          </cell>
          <cell r="I65" t="str"/>
          <cell r="J65" t="str">
            <v>SOP IT APD HRS C07</v>
          </cell>
          <cell r="K65">
            <v>2.25</v>
          </cell>
          <cell r="L65">
            <v>202.5</v>
          </cell>
          <cell r="M65">
            <v>0</v>
          </cell>
          <cell r="N65" t="str"/>
          <cell r="O65" t="str"/>
          <cell r="P65" t="str">
            <v>X</v>
          </cell>
          <cell r="Q65" t="str"/>
          <cell r="R65" t="str">
            <v xml:space="preserve">My SN JF, auf die Testings für Sprint 2 vorbereitet (Testprotokolle angelegt, Acc. Criteria angeschaut), MySN 10 getestet in Test
</v>
          </cell>
        </row>
        <row r="66">
          <cell r="A66" t="str">
            <v>APDH2.03321 HR_MySuccessNetwork</v>
          </cell>
          <cell r="B66" t="str">
            <v>001 / Projekt</v>
          </cell>
          <cell r="C66" t="str">
            <v>001 / Development</v>
          </cell>
          <cell r="D66" t="str"/>
          <cell r="E66">
            <v>43607</v>
          </cell>
          <cell r="F66" t="str">
            <v>05/2019</v>
          </cell>
          <cell r="G66" t="str">
            <v>Speicher, Dominik</v>
          </cell>
          <cell r="H66" t="str">
            <v>Z001PE3B</v>
          </cell>
          <cell r="I66" t="str"/>
          <cell r="J66" t="str">
            <v>SOP IT APD HRS C07</v>
          </cell>
          <cell r="K66">
            <v>6</v>
          </cell>
          <cell r="L66">
            <v>540</v>
          </cell>
          <cell r="M66">
            <v>0</v>
          </cell>
          <cell r="N66" t="str"/>
          <cell r="O66" t="str"/>
          <cell r="P66" t="str">
            <v>X</v>
          </cell>
          <cell r="Q66" t="str"/>
          <cell r="R66" t="str"/>
        </row>
        <row r="67">
          <cell r="A67" t="str">
            <v>APDH2.03321 HR_MySuccessNetwork</v>
          </cell>
          <cell r="B67" t="str">
            <v>001 / Projekt</v>
          </cell>
          <cell r="C67" t="str">
            <v>001 / Development</v>
          </cell>
          <cell r="D67" t="str"/>
          <cell r="E67">
            <v>43607</v>
          </cell>
          <cell r="F67" t="str">
            <v>05/2019</v>
          </cell>
          <cell r="G67" t="str">
            <v>Zak, Alexander</v>
          </cell>
          <cell r="H67" t="str">
            <v>Z001PMUV</v>
          </cell>
          <cell r="I67" t="str"/>
          <cell r="J67" t="str">
            <v>SOP IT APD HRS C06</v>
          </cell>
          <cell r="K67">
            <v>1</v>
          </cell>
          <cell r="L67">
            <v>105</v>
          </cell>
          <cell r="M67">
            <v>0</v>
          </cell>
          <cell r="N67" t="str"/>
          <cell r="O67" t="str"/>
          <cell r="P67" t="str">
            <v>X</v>
          </cell>
          <cell r="Q67" t="str"/>
          <cell r="R67" t="str"/>
        </row>
        <row r="68">
          <cell r="A68" t="str">
            <v>APDH2.03321 HR_MySuccessNetwork</v>
          </cell>
          <cell r="B68" t="str">
            <v>001 / Projekt</v>
          </cell>
          <cell r="C68" t="str">
            <v>001 / Development</v>
          </cell>
          <cell r="D68" t="str"/>
          <cell r="E68">
            <v>43607</v>
          </cell>
          <cell r="F68" t="str">
            <v>05/2019</v>
          </cell>
          <cell r="G68" t="str">
            <v>Bentfeld, Bastian</v>
          </cell>
          <cell r="H68" t="str">
            <v>Z0030UDK</v>
          </cell>
          <cell r="I68" t="str"/>
          <cell r="J68" t="str">
            <v>SOP IT APD HRS C07</v>
          </cell>
          <cell r="K68">
            <v>2</v>
          </cell>
          <cell r="L68">
            <v>180</v>
          </cell>
          <cell r="M68">
            <v>0</v>
          </cell>
          <cell r="N68" t="str"/>
          <cell r="O68" t="str"/>
          <cell r="P68" t="str">
            <v>X</v>
          </cell>
          <cell r="Q68" t="str"/>
          <cell r="R68" t="str"/>
        </row>
        <row r="69">
          <cell r="A69" t="str">
            <v>APDH2.03321 HR_MySuccessNetwork</v>
          </cell>
          <cell r="B69" t="str">
            <v>001 / Projekt</v>
          </cell>
          <cell r="C69" t="str">
            <v>001 / Development</v>
          </cell>
          <cell r="D69" t="str"/>
          <cell r="E69">
            <v>43607</v>
          </cell>
          <cell r="F69" t="str">
            <v>05/2019</v>
          </cell>
          <cell r="G69" t="str">
            <v>Koeller, Maximilian</v>
          </cell>
          <cell r="H69" t="str">
            <v>Z003DZ7J</v>
          </cell>
          <cell r="I69" t="str"/>
          <cell r="J69" t="str">
            <v>SOP IT APD HRS C07</v>
          </cell>
          <cell r="K69">
            <v>7.55</v>
          </cell>
          <cell r="L69">
            <v>339.75</v>
          </cell>
          <cell r="M69">
            <v>0</v>
          </cell>
          <cell r="N69" t="str"/>
          <cell r="O69" t="str"/>
          <cell r="P69" t="str">
            <v>X</v>
          </cell>
          <cell r="Q69" t="str"/>
          <cell r="R69" t="str"/>
        </row>
        <row r="70">
          <cell r="A70" t="str">
            <v>APDH2.03321 HR_MySuccessNetwork</v>
          </cell>
          <cell r="B70" t="str">
            <v>001 / Projekt</v>
          </cell>
          <cell r="C70" t="str">
            <v>001 / Development</v>
          </cell>
          <cell r="D70" t="str"/>
          <cell r="E70">
            <v>43608</v>
          </cell>
          <cell r="F70" t="str">
            <v>05/2019</v>
          </cell>
          <cell r="G70" t="str">
            <v>Koechling, Gabriele</v>
          </cell>
          <cell r="H70" t="str">
            <v>Z000DTQL</v>
          </cell>
          <cell r="I70" t="str"/>
          <cell r="J70" t="str">
            <v>SOP IT APD HRS C07</v>
          </cell>
          <cell r="K70">
            <v>5</v>
          </cell>
          <cell r="L70">
            <v>450</v>
          </cell>
          <cell r="M70">
            <v>0</v>
          </cell>
          <cell r="N70" t="str"/>
          <cell r="O70" t="str"/>
          <cell r="P70" t="str">
            <v>X</v>
          </cell>
          <cell r="Q70" t="str"/>
          <cell r="R70" t="str">
            <v xml:space="preserve">My SN Retro, Review, Standup, Sprint 2 Acceptance Criterias getestet
</v>
          </cell>
        </row>
        <row r="71">
          <cell r="A71" t="str">
            <v>APDH2.03321 HR_MySuccessNetwork</v>
          </cell>
          <cell r="B71" t="str">
            <v>001 / Projekt</v>
          </cell>
          <cell r="C71" t="str">
            <v>001 / Development</v>
          </cell>
          <cell r="D71" t="str"/>
          <cell r="E71">
            <v>43608</v>
          </cell>
          <cell r="F71" t="str">
            <v>05/2019</v>
          </cell>
          <cell r="G71" t="str">
            <v>Speicher, Dominik</v>
          </cell>
          <cell r="H71" t="str">
            <v>Z001PE3B</v>
          </cell>
          <cell r="I71" t="str"/>
          <cell r="J71" t="str">
            <v>SOP IT APD HRS C07</v>
          </cell>
          <cell r="K71">
            <v>1</v>
          </cell>
          <cell r="L71">
            <v>90</v>
          </cell>
          <cell r="M71">
            <v>0</v>
          </cell>
          <cell r="N71" t="str"/>
          <cell r="O71" t="str"/>
          <cell r="P71" t="str">
            <v>X</v>
          </cell>
          <cell r="Q71" t="str"/>
          <cell r="R71" t="str"/>
        </row>
        <row r="72">
          <cell r="A72" t="str">
            <v>APDH2.03321 HR_MySuccessNetwork</v>
          </cell>
          <cell r="B72" t="str">
            <v>001 / Projekt</v>
          </cell>
          <cell r="C72" t="str">
            <v>001 / Development</v>
          </cell>
          <cell r="D72" t="str"/>
          <cell r="E72">
            <v>43608</v>
          </cell>
          <cell r="F72" t="str">
            <v>05/2019</v>
          </cell>
          <cell r="G72" t="str">
            <v>Zak, Alexander</v>
          </cell>
          <cell r="H72" t="str">
            <v>Z001PMUV</v>
          </cell>
          <cell r="I72" t="str"/>
          <cell r="J72" t="str">
            <v>SOP IT APD HRS C06</v>
          </cell>
          <cell r="K72">
            <v>1</v>
          </cell>
          <cell r="L72">
            <v>105</v>
          </cell>
          <cell r="M72">
            <v>0</v>
          </cell>
          <cell r="N72" t="str"/>
          <cell r="O72" t="str"/>
          <cell r="P72" t="str">
            <v>X</v>
          </cell>
          <cell r="Q72" t="str"/>
          <cell r="R72" t="str"/>
        </row>
        <row r="73">
          <cell r="A73" t="str">
            <v>APDH2.03321 HR_MySuccessNetwork</v>
          </cell>
          <cell r="B73" t="str">
            <v>001 / Projekt</v>
          </cell>
          <cell r="C73" t="str">
            <v>001 / Development</v>
          </cell>
          <cell r="D73" t="str"/>
          <cell r="E73">
            <v>43608</v>
          </cell>
          <cell r="F73" t="str">
            <v>05/2019</v>
          </cell>
          <cell r="G73" t="str">
            <v>Bentfeld, Bastian</v>
          </cell>
          <cell r="H73" t="str">
            <v>Z0030UDK</v>
          </cell>
          <cell r="I73" t="str"/>
          <cell r="J73" t="str">
            <v>SOP IT APD HRS C07</v>
          </cell>
          <cell r="K73">
            <v>6</v>
          </cell>
          <cell r="L73">
            <v>540</v>
          </cell>
          <cell r="M73">
            <v>0</v>
          </cell>
          <cell r="N73" t="str"/>
          <cell r="O73" t="str"/>
          <cell r="P73" t="str">
            <v>X</v>
          </cell>
          <cell r="Q73" t="str"/>
          <cell r="R73" t="str"/>
        </row>
        <row r="74">
          <cell r="A74" t="str">
            <v>APDH2.03321 HR_MySuccessNetwork</v>
          </cell>
          <cell r="B74" t="str">
            <v>001 / Projekt</v>
          </cell>
          <cell r="C74" t="str">
            <v>001 / Development</v>
          </cell>
          <cell r="D74" t="str"/>
          <cell r="E74">
            <v>43609</v>
          </cell>
          <cell r="F74" t="str">
            <v>05/2019</v>
          </cell>
          <cell r="G74" t="str">
            <v>Koechling, Gabriele</v>
          </cell>
          <cell r="H74" t="str">
            <v>Z000DTQL</v>
          </cell>
          <cell r="I74" t="str"/>
          <cell r="J74" t="str">
            <v>SOP IT APD HRS C07</v>
          </cell>
          <cell r="K74">
            <v>0.25</v>
          </cell>
          <cell r="L74">
            <v>22.5</v>
          </cell>
          <cell r="M74">
            <v>0</v>
          </cell>
          <cell r="N74" t="str"/>
          <cell r="O74" t="str"/>
          <cell r="P74" t="str">
            <v>X</v>
          </cell>
          <cell r="Q74" t="str"/>
          <cell r="R74" t="str">
            <v xml:space="preserve">MySN Daily
</v>
          </cell>
        </row>
        <row r="75">
          <cell r="A75" t="str">
            <v>APDH2.03321 HR_MySuccessNetwork</v>
          </cell>
          <cell r="B75" t="str">
            <v>001 / Projekt</v>
          </cell>
          <cell r="C75" t="str">
            <v>001 / Development</v>
          </cell>
          <cell r="D75" t="str"/>
          <cell r="E75">
            <v>43609</v>
          </cell>
          <cell r="F75" t="str">
            <v>05/2019</v>
          </cell>
          <cell r="G75" t="str">
            <v>Speicher, Dominik</v>
          </cell>
          <cell r="H75" t="str">
            <v>Z001PE3B</v>
          </cell>
          <cell r="I75" t="str"/>
          <cell r="J75" t="str">
            <v>SOP IT APD HRS C07</v>
          </cell>
          <cell r="K75">
            <v>2</v>
          </cell>
          <cell r="L75">
            <v>180</v>
          </cell>
          <cell r="M75">
            <v>0</v>
          </cell>
          <cell r="N75" t="str"/>
          <cell r="O75" t="str"/>
          <cell r="P75" t="str">
            <v>X</v>
          </cell>
          <cell r="Q75" t="str"/>
          <cell r="R75" t="str"/>
        </row>
        <row r="76">
          <cell r="A76" t="str">
            <v>APDH2.03321 HR_MySuccessNetwork</v>
          </cell>
          <cell r="B76" t="str">
            <v>001 / Projekt</v>
          </cell>
          <cell r="C76" t="str">
            <v>001 / Development</v>
          </cell>
          <cell r="D76" t="str"/>
          <cell r="E76">
            <v>43609</v>
          </cell>
          <cell r="F76" t="str">
            <v>05/2019</v>
          </cell>
          <cell r="G76" t="str">
            <v>Zak, Alexander</v>
          </cell>
          <cell r="H76" t="str">
            <v>Z001PMUV</v>
          </cell>
          <cell r="I76" t="str"/>
          <cell r="J76" t="str">
            <v>SOP IT APD HRS C06</v>
          </cell>
          <cell r="K76">
            <v>1</v>
          </cell>
          <cell r="L76">
            <v>105</v>
          </cell>
          <cell r="M76">
            <v>0</v>
          </cell>
          <cell r="N76" t="str"/>
          <cell r="O76" t="str"/>
          <cell r="P76" t="str">
            <v>X</v>
          </cell>
          <cell r="Q76" t="str"/>
          <cell r="R76" t="str"/>
        </row>
        <row r="77">
          <cell r="A77" t="str">
            <v>APDH2.03321 HR_MySuccessNetwork</v>
          </cell>
          <cell r="B77" t="str">
            <v>001 / Projekt</v>
          </cell>
          <cell r="C77" t="str">
            <v>001 / Development</v>
          </cell>
          <cell r="D77" t="str"/>
          <cell r="E77">
            <v>43612</v>
          </cell>
          <cell r="F77" t="str">
            <v>05/2019</v>
          </cell>
          <cell r="G77" t="str">
            <v>Speicher, Dominik</v>
          </cell>
          <cell r="H77" t="str">
            <v>Z001PE3B</v>
          </cell>
          <cell r="I77" t="str"/>
          <cell r="J77" t="str">
            <v>SOP IT APD HRS C07</v>
          </cell>
          <cell r="K77">
            <v>1</v>
          </cell>
          <cell r="L77">
            <v>90</v>
          </cell>
          <cell r="M77">
            <v>0</v>
          </cell>
          <cell r="N77" t="str"/>
          <cell r="O77" t="str"/>
          <cell r="P77" t="str">
            <v>X</v>
          </cell>
          <cell r="Q77" t="str"/>
          <cell r="R77" t="str"/>
        </row>
        <row r="78">
          <cell r="A78" t="str">
            <v>APDH2.03321 HR_MySuccessNetwork</v>
          </cell>
          <cell r="B78" t="str">
            <v>001 / Projekt</v>
          </cell>
          <cell r="C78" t="str">
            <v>001 / Development</v>
          </cell>
          <cell r="D78" t="str"/>
          <cell r="E78">
            <v>43612</v>
          </cell>
          <cell r="F78" t="str">
            <v>05/2019</v>
          </cell>
          <cell r="G78" t="str">
            <v>Zak, Alexander</v>
          </cell>
          <cell r="H78" t="str">
            <v>Z001PMUV</v>
          </cell>
          <cell r="I78" t="str"/>
          <cell r="J78" t="str">
            <v>SOP IT APD HRS C06</v>
          </cell>
          <cell r="K78">
            <v>1</v>
          </cell>
          <cell r="L78">
            <v>105</v>
          </cell>
          <cell r="M78">
            <v>0</v>
          </cell>
          <cell r="N78" t="str"/>
          <cell r="O78" t="str"/>
          <cell r="P78" t="str">
            <v>X</v>
          </cell>
          <cell r="Q78" t="str"/>
          <cell r="R78" t="str"/>
        </row>
        <row r="79">
          <cell r="A79" t="str">
            <v>APDH2.03321 HR_MySuccessNetwork</v>
          </cell>
          <cell r="B79" t="str">
            <v>001 / Projekt</v>
          </cell>
          <cell r="C79" t="str">
            <v>001 / Development</v>
          </cell>
          <cell r="D79" t="str"/>
          <cell r="E79">
            <v>43613</v>
          </cell>
          <cell r="F79" t="str">
            <v>05/2019</v>
          </cell>
          <cell r="G79" t="str">
            <v>Koechling, Gabriele</v>
          </cell>
          <cell r="H79" t="str">
            <v>Z000DTQL</v>
          </cell>
          <cell r="I79" t="str"/>
          <cell r="J79" t="str">
            <v>SOP IT APD HRS C07</v>
          </cell>
          <cell r="K79">
            <v>0.5</v>
          </cell>
          <cell r="L79">
            <v>45</v>
          </cell>
          <cell r="M79">
            <v>0</v>
          </cell>
          <cell r="N79" t="str"/>
          <cell r="O79" t="str"/>
          <cell r="P79" t="str">
            <v>X</v>
          </cell>
          <cell r="Q79" t="str"/>
          <cell r="R79" t="str">
            <v xml:space="preserve">MySN Daily
</v>
          </cell>
        </row>
        <row r="80">
          <cell r="A80" t="str">
            <v>APDH2.03321 HR_MySuccessNetwork</v>
          </cell>
          <cell r="B80" t="str">
            <v>001 / Projekt</v>
          </cell>
          <cell r="C80" t="str">
            <v>001 / Development</v>
          </cell>
          <cell r="D80" t="str"/>
          <cell r="E80">
            <v>43613</v>
          </cell>
          <cell r="F80" t="str">
            <v>05/2019</v>
          </cell>
          <cell r="G80" t="str">
            <v>Speicher, Dominik</v>
          </cell>
          <cell r="H80" t="str">
            <v>Z001PE3B</v>
          </cell>
          <cell r="I80" t="str"/>
          <cell r="J80" t="str">
            <v>SOP IT APD HRS C07</v>
          </cell>
          <cell r="K80">
            <v>5</v>
          </cell>
          <cell r="L80">
            <v>450</v>
          </cell>
          <cell r="M80">
            <v>0</v>
          </cell>
          <cell r="N80" t="str"/>
          <cell r="O80" t="str"/>
          <cell r="P80" t="str">
            <v>X</v>
          </cell>
          <cell r="Q80" t="str"/>
          <cell r="R80" t="str"/>
        </row>
        <row r="81">
          <cell r="A81" t="str">
            <v>APDH2.03321 HR_MySuccessNetwork</v>
          </cell>
          <cell r="B81" t="str">
            <v>001 / Projekt</v>
          </cell>
          <cell r="C81" t="str">
            <v>001 / Development</v>
          </cell>
          <cell r="D81" t="str"/>
          <cell r="E81">
            <v>43613</v>
          </cell>
          <cell r="F81" t="str">
            <v>05/2019</v>
          </cell>
          <cell r="G81" t="str">
            <v>Zak, Alexander</v>
          </cell>
          <cell r="H81" t="str">
            <v>Z001PMUV</v>
          </cell>
          <cell r="I81" t="str"/>
          <cell r="J81" t="str">
            <v>SOP IT APD HRS C06</v>
          </cell>
          <cell r="K81">
            <v>1</v>
          </cell>
          <cell r="L81">
            <v>105</v>
          </cell>
          <cell r="M81">
            <v>0</v>
          </cell>
          <cell r="N81" t="str"/>
          <cell r="O81" t="str"/>
          <cell r="P81" t="str">
            <v>X</v>
          </cell>
          <cell r="Q81" t="str"/>
          <cell r="R81" t="str"/>
        </row>
        <row r="82">
          <cell r="A82" t="str">
            <v>APDH2.03321 HR_MySuccessNetwork</v>
          </cell>
          <cell r="B82" t="str">
            <v>001 / Projekt</v>
          </cell>
          <cell r="C82" t="str">
            <v>001 / Development</v>
          </cell>
          <cell r="D82" t="str"/>
          <cell r="E82">
            <v>43614</v>
          </cell>
          <cell r="F82" t="str">
            <v>05/2019</v>
          </cell>
          <cell r="G82" t="str">
            <v>Koechling, Gabriele</v>
          </cell>
          <cell r="H82" t="str">
            <v>Z000DTQL</v>
          </cell>
          <cell r="I82" t="str"/>
          <cell r="J82" t="str">
            <v>SOP IT APD HRS C07</v>
          </cell>
          <cell r="K82">
            <v>3</v>
          </cell>
          <cell r="L82">
            <v>270</v>
          </cell>
          <cell r="M82">
            <v>0</v>
          </cell>
          <cell r="N82" t="str"/>
          <cell r="O82" t="str"/>
          <cell r="P82" t="str">
            <v>X</v>
          </cell>
          <cell r="Q82" t="str"/>
          <cell r="R82" t="str">
            <v xml:space="preserve">MySN Daily + MYSN-248 + 231 getestet
</v>
          </cell>
        </row>
        <row r="83">
          <cell r="A83" t="str">
            <v>APDH2.03321 HR_MySuccessNetwork</v>
          </cell>
          <cell r="B83" t="str">
            <v>001 / Projekt</v>
          </cell>
          <cell r="C83" t="str">
            <v>001 / Development</v>
          </cell>
          <cell r="D83" t="str"/>
          <cell r="E83">
            <v>43614</v>
          </cell>
          <cell r="F83" t="str">
            <v>05/2019</v>
          </cell>
          <cell r="G83" t="str">
            <v>Speicher, Dominik</v>
          </cell>
          <cell r="H83" t="str">
            <v>Z001PE3B</v>
          </cell>
          <cell r="I83" t="str"/>
          <cell r="J83" t="str">
            <v>SOP IT APD HRS C07</v>
          </cell>
          <cell r="K83">
            <v>1</v>
          </cell>
          <cell r="L83">
            <v>90</v>
          </cell>
          <cell r="M83">
            <v>0</v>
          </cell>
          <cell r="N83" t="str"/>
          <cell r="O83" t="str"/>
          <cell r="P83" t="str">
            <v>X</v>
          </cell>
          <cell r="Q83" t="str"/>
          <cell r="R83" t="str"/>
        </row>
        <row r="84">
          <cell r="A84" t="str">
            <v>APDH2.03321 HR_MySuccessNetwork</v>
          </cell>
          <cell r="B84" t="str">
            <v>001 / Projekt</v>
          </cell>
          <cell r="C84" t="str">
            <v>001 / Development</v>
          </cell>
          <cell r="D84" t="str"/>
          <cell r="E84">
            <v>43614</v>
          </cell>
          <cell r="F84" t="str">
            <v>05/2019</v>
          </cell>
          <cell r="G84" t="str">
            <v>Zak, Alexander</v>
          </cell>
          <cell r="H84" t="str">
            <v>Z001PMUV</v>
          </cell>
          <cell r="I84" t="str"/>
          <cell r="J84" t="str">
            <v>SOP IT APD HRS C06</v>
          </cell>
          <cell r="K84">
            <v>1</v>
          </cell>
          <cell r="L84">
            <v>105</v>
          </cell>
          <cell r="M84">
            <v>0</v>
          </cell>
          <cell r="N84" t="str"/>
          <cell r="O84" t="str"/>
          <cell r="P84" t="str">
            <v>X</v>
          </cell>
          <cell r="Q84" t="str"/>
          <cell r="R84" t="str"/>
        </row>
        <row r="85">
          <cell r="A85" t="str">
            <v>APDH2.03321 HR_MySuccessNetwork</v>
          </cell>
          <cell r="B85" t="str">
            <v>001 / Projekt</v>
          </cell>
          <cell r="C85" t="str">
            <v>001 / Development</v>
          </cell>
          <cell r="D85" t="str"/>
          <cell r="E85">
            <v>43617</v>
          </cell>
          <cell r="F85" t="str">
            <v>06/2019</v>
          </cell>
          <cell r="G85" t="str">
            <v>Koeller, Maximilian</v>
          </cell>
          <cell r="H85" t="str">
            <v>Z003DZ7J</v>
          </cell>
          <cell r="I85" t="str"/>
          <cell r="J85" t="str">
            <v>SOP IT APD HRS C07</v>
          </cell>
          <cell r="K85">
            <v>3</v>
          </cell>
          <cell r="L85">
            <v>195</v>
          </cell>
          <cell r="M85">
            <v>0</v>
          </cell>
          <cell r="N85" t="str"/>
          <cell r="O85" t="str"/>
          <cell r="P85" t="str">
            <v>X</v>
          </cell>
          <cell r="Q85" t="str"/>
          <cell r="R85" t="str"/>
        </row>
        <row r="86">
          <cell r="A86" t="str">
            <v>APDH2.03321 HR_MySuccessNetwork</v>
          </cell>
          <cell r="B86" t="str">
            <v>001 / Projekt</v>
          </cell>
          <cell r="C86" t="str">
            <v>001 / Development</v>
          </cell>
          <cell r="D86" t="str"/>
          <cell r="E86">
            <v>43618</v>
          </cell>
          <cell r="F86" t="str">
            <v>06/2019</v>
          </cell>
          <cell r="G86" t="str">
            <v>Koeller, Maximilian</v>
          </cell>
          <cell r="H86" t="str">
            <v>Z003DZ7J</v>
          </cell>
          <cell r="I86" t="str"/>
          <cell r="J86" t="str">
            <v>SOP IT APD HRS C07</v>
          </cell>
          <cell r="K86">
            <v>7.4</v>
          </cell>
          <cell r="L86">
            <v>481</v>
          </cell>
          <cell r="M86">
            <v>0</v>
          </cell>
          <cell r="N86" t="str"/>
          <cell r="O86" t="str"/>
          <cell r="P86" t="str">
            <v>X</v>
          </cell>
          <cell r="Q86" t="str"/>
          <cell r="R86" t="str"/>
        </row>
        <row r="87">
          <cell r="A87" t="str">
            <v>APDH2.03321 HR_MySuccessNetwork</v>
          </cell>
          <cell r="B87" t="str">
            <v>001 / Projekt</v>
          </cell>
          <cell r="C87" t="str">
            <v>001 / Development</v>
          </cell>
          <cell r="D87" t="str"/>
          <cell r="E87">
            <v>43619</v>
          </cell>
          <cell r="F87" t="str">
            <v>06/2019</v>
          </cell>
          <cell r="G87" t="str">
            <v>Koechling, Gabriele</v>
          </cell>
          <cell r="H87" t="str">
            <v>Z000DTQL</v>
          </cell>
          <cell r="I87" t="str"/>
          <cell r="J87" t="str">
            <v>SOP IT APD HRS C07</v>
          </cell>
          <cell r="K87">
            <v>2</v>
          </cell>
          <cell r="L87">
            <v>180</v>
          </cell>
          <cell r="M87">
            <v>0</v>
          </cell>
          <cell r="N87" t="str"/>
          <cell r="O87" t="str"/>
          <cell r="P87" t="str">
            <v>X</v>
          </cell>
          <cell r="Q87" t="str"/>
          <cell r="R87" t="str">
            <v xml:space="preserve">MYSN-233 + 234 getestet und nach Done verschoben
</v>
          </cell>
        </row>
        <row r="88">
          <cell r="A88" t="str">
            <v>APDH2.03321 HR_MySuccessNetwork</v>
          </cell>
          <cell r="B88" t="str">
            <v>001 / Projekt</v>
          </cell>
          <cell r="C88" t="str">
            <v>001 / Development</v>
          </cell>
          <cell r="D88" t="str"/>
          <cell r="E88">
            <v>43619</v>
          </cell>
          <cell r="F88" t="str">
            <v>06/2019</v>
          </cell>
          <cell r="G88" t="str">
            <v>Speicher, Dominik</v>
          </cell>
          <cell r="H88" t="str">
            <v>Z001PE3B</v>
          </cell>
          <cell r="I88" t="str"/>
          <cell r="J88" t="str">
            <v>SOP IT APD HRS C07</v>
          </cell>
          <cell r="K88">
            <v>1</v>
          </cell>
          <cell r="L88">
            <v>90</v>
          </cell>
          <cell r="M88">
            <v>0</v>
          </cell>
          <cell r="N88" t="str"/>
          <cell r="O88" t="str"/>
          <cell r="P88" t="str">
            <v>X</v>
          </cell>
          <cell r="Q88" t="str"/>
          <cell r="R88" t="str"/>
        </row>
        <row r="89">
          <cell r="A89" t="str">
            <v>APDH2.03321 HR_MySuccessNetwork</v>
          </cell>
          <cell r="B89" t="str">
            <v>001 / Projekt</v>
          </cell>
          <cell r="C89" t="str">
            <v>001 / Development</v>
          </cell>
          <cell r="D89" t="str"/>
          <cell r="E89">
            <v>43619</v>
          </cell>
          <cell r="F89" t="str">
            <v>06/2019</v>
          </cell>
          <cell r="G89" t="str">
            <v>Zak, Alexander</v>
          </cell>
          <cell r="H89" t="str">
            <v>Z001PMUV</v>
          </cell>
          <cell r="I89" t="str"/>
          <cell r="J89" t="str">
            <v>SOP IT APD HRS C06</v>
          </cell>
          <cell r="K89">
            <v>1</v>
          </cell>
          <cell r="L89">
            <v>105</v>
          </cell>
          <cell r="M89">
            <v>0</v>
          </cell>
          <cell r="N89" t="str"/>
          <cell r="O89" t="str"/>
          <cell r="P89" t="str">
            <v>X</v>
          </cell>
          <cell r="Q89" t="str"/>
          <cell r="R89" t="str"/>
        </row>
        <row r="90">
          <cell r="A90" t="str">
            <v>APDH2.03321 HR_MySuccessNetwork</v>
          </cell>
          <cell r="B90" t="str">
            <v>001 / Projekt</v>
          </cell>
          <cell r="C90" t="str">
            <v>001 / Development</v>
          </cell>
          <cell r="D90" t="str"/>
          <cell r="E90">
            <v>43619</v>
          </cell>
          <cell r="F90" t="str">
            <v>06/2019</v>
          </cell>
          <cell r="G90" t="str">
            <v>Bentfeld, Bastian</v>
          </cell>
          <cell r="H90" t="str">
            <v>Z0030UDK</v>
          </cell>
          <cell r="I90" t="str"/>
          <cell r="J90" t="str">
            <v>SOP IT APD HRS C07</v>
          </cell>
          <cell r="K90">
            <v>10</v>
          </cell>
          <cell r="L90">
            <v>900</v>
          </cell>
          <cell r="M90">
            <v>0</v>
          </cell>
          <cell r="N90" t="str"/>
          <cell r="O90" t="str"/>
          <cell r="P90" t="str">
            <v>X</v>
          </cell>
          <cell r="Q90" t="str"/>
          <cell r="R90" t="str">
            <v>Nachbuchung KW22</v>
          </cell>
        </row>
        <row r="91">
          <cell r="A91" t="str">
            <v>APDH2.03321 HR_MySuccessNetwork</v>
          </cell>
          <cell r="B91" t="str">
            <v>001 / Projekt</v>
          </cell>
          <cell r="C91" t="str">
            <v>001 / Development</v>
          </cell>
          <cell r="D91" t="str"/>
          <cell r="E91">
            <v>43620</v>
          </cell>
          <cell r="F91" t="str">
            <v>06/2019</v>
          </cell>
          <cell r="G91" t="str">
            <v>Koechling, Gabriele</v>
          </cell>
          <cell r="H91" t="str">
            <v>Z000DTQL</v>
          </cell>
          <cell r="I91" t="str"/>
          <cell r="J91" t="str">
            <v>SOP IT APD HRS C07</v>
          </cell>
          <cell r="K91">
            <v>0.5</v>
          </cell>
          <cell r="L91">
            <v>45</v>
          </cell>
          <cell r="M91">
            <v>0</v>
          </cell>
          <cell r="N91" t="str"/>
          <cell r="O91" t="str"/>
          <cell r="P91" t="str">
            <v>X</v>
          </cell>
          <cell r="Q91" t="str"/>
          <cell r="R91" t="str">
            <v xml:space="preserve">MYSN-248 mit Testprotokoll versorgt und auf Done gesetzt + MySN Daily
</v>
          </cell>
        </row>
        <row r="92">
          <cell r="A92" t="str">
            <v>APDH2.03321 HR_MySuccessNetwork</v>
          </cell>
          <cell r="B92" t="str">
            <v>001 / Projekt</v>
          </cell>
          <cell r="C92" t="str">
            <v>001 / Development</v>
          </cell>
          <cell r="D92" t="str"/>
          <cell r="E92">
            <v>43620</v>
          </cell>
          <cell r="F92" t="str">
            <v>06/2019</v>
          </cell>
          <cell r="G92" t="str">
            <v>Zak, Alexander</v>
          </cell>
          <cell r="H92" t="str">
            <v>Z001PMUV</v>
          </cell>
          <cell r="I92" t="str"/>
          <cell r="J92" t="str">
            <v>SOP IT APD HRS C06</v>
          </cell>
          <cell r="K92">
            <v>1</v>
          </cell>
          <cell r="L92">
            <v>105</v>
          </cell>
          <cell r="M92">
            <v>0</v>
          </cell>
          <cell r="N92" t="str"/>
          <cell r="O92" t="str"/>
          <cell r="P92" t="str">
            <v>X</v>
          </cell>
          <cell r="Q92" t="str"/>
          <cell r="R92" t="str"/>
        </row>
        <row r="93">
          <cell r="A93" t="str">
            <v>APDH2.03321 HR_MySuccessNetwork</v>
          </cell>
          <cell r="B93" t="str">
            <v>001 / Projekt</v>
          </cell>
          <cell r="C93" t="str">
            <v>001 / Development</v>
          </cell>
          <cell r="D93" t="str"/>
          <cell r="E93">
            <v>43620</v>
          </cell>
          <cell r="F93" t="str">
            <v>06/2019</v>
          </cell>
          <cell r="G93" t="str">
            <v>Bentfeld, Bastian</v>
          </cell>
          <cell r="H93" t="str">
            <v>Z0030UDK</v>
          </cell>
          <cell r="I93" t="str"/>
          <cell r="J93" t="str">
            <v>SOP IT APD HRS C07</v>
          </cell>
          <cell r="K93">
            <v>4.5</v>
          </cell>
          <cell r="L93">
            <v>405</v>
          </cell>
          <cell r="M93">
            <v>0</v>
          </cell>
          <cell r="N93" t="str"/>
          <cell r="O93" t="str"/>
          <cell r="P93" t="str">
            <v>X</v>
          </cell>
          <cell r="Q93" t="str"/>
          <cell r="R93" t="str"/>
        </row>
        <row r="94">
          <cell r="A94" t="str">
            <v>APDH2.03321 HR_MySuccessNetwork</v>
          </cell>
          <cell r="B94" t="str">
            <v>001 / Projekt</v>
          </cell>
          <cell r="C94" t="str">
            <v>001 / Development</v>
          </cell>
          <cell r="D94" t="str"/>
          <cell r="E94">
            <v>43620</v>
          </cell>
          <cell r="F94" t="str">
            <v>06/2019</v>
          </cell>
          <cell r="G94" t="str">
            <v>Koeller, Maximilian</v>
          </cell>
          <cell r="H94" t="str">
            <v>Z003DZ7J</v>
          </cell>
          <cell r="I94" t="str"/>
          <cell r="J94" t="str">
            <v>SOP IT APD HRS C07</v>
          </cell>
          <cell r="K94">
            <v>2.5499999999999998</v>
          </cell>
          <cell r="L94">
            <v>165.75</v>
          </cell>
          <cell r="M94">
            <v>0</v>
          </cell>
          <cell r="N94" t="str"/>
          <cell r="O94" t="str"/>
          <cell r="P94" t="str">
            <v>X</v>
          </cell>
          <cell r="Q94" t="str"/>
          <cell r="R94" t="str"/>
        </row>
        <row r="95">
          <cell r="A95" t="str">
            <v>APDH2.03321 HR_MySuccessNetwork</v>
          </cell>
          <cell r="B95" t="str">
            <v>001 / Projekt</v>
          </cell>
          <cell r="C95" t="str">
            <v>001 / Development</v>
          </cell>
          <cell r="D95" t="str"/>
          <cell r="E95">
            <v>43621</v>
          </cell>
          <cell r="F95" t="str">
            <v>06/2019</v>
          </cell>
          <cell r="G95" t="str">
            <v>Koechling, Gabriele</v>
          </cell>
          <cell r="H95" t="str">
            <v>Z000DTQL</v>
          </cell>
          <cell r="I95" t="str"/>
          <cell r="J95" t="str">
            <v>SOP IT APD HRS C07</v>
          </cell>
          <cell r="K95">
            <v>0.5</v>
          </cell>
          <cell r="L95">
            <v>45</v>
          </cell>
          <cell r="M95">
            <v>0</v>
          </cell>
          <cell r="N95" t="str"/>
          <cell r="O95" t="str"/>
          <cell r="P95" t="str">
            <v>X</v>
          </cell>
          <cell r="Q95" t="str"/>
          <cell r="R95" t="str">
            <v xml:space="preserve">MySN Daily, Testing
</v>
          </cell>
        </row>
        <row r="96">
          <cell r="A96" t="str">
            <v>APDH2.03321 HR_MySuccessNetwork</v>
          </cell>
          <cell r="B96" t="str">
            <v>001 / Projekt</v>
          </cell>
          <cell r="C96" t="str">
            <v>001 / Development</v>
          </cell>
          <cell r="D96" t="str"/>
          <cell r="E96">
            <v>43621</v>
          </cell>
          <cell r="F96" t="str">
            <v>06/2019</v>
          </cell>
          <cell r="G96" t="str">
            <v>Zak, Alexander</v>
          </cell>
          <cell r="H96" t="str">
            <v>Z001PMUV</v>
          </cell>
          <cell r="I96" t="str"/>
          <cell r="J96" t="str">
            <v>SOP IT APD HRS C06</v>
          </cell>
          <cell r="K96">
            <v>1</v>
          </cell>
          <cell r="L96">
            <v>105</v>
          </cell>
          <cell r="M96">
            <v>0</v>
          </cell>
          <cell r="N96" t="str"/>
          <cell r="O96" t="str"/>
          <cell r="P96" t="str">
            <v>X</v>
          </cell>
          <cell r="Q96" t="str"/>
          <cell r="R96" t="str"/>
        </row>
        <row r="97">
          <cell r="A97" t="str">
            <v>APDH2.03321 HR_MySuccessNetwork</v>
          </cell>
          <cell r="B97" t="str">
            <v>001 / Projekt</v>
          </cell>
          <cell r="C97" t="str">
            <v>001 / Development</v>
          </cell>
          <cell r="D97" t="str"/>
          <cell r="E97">
            <v>43621</v>
          </cell>
          <cell r="F97" t="str">
            <v>06/2019</v>
          </cell>
          <cell r="G97" t="str">
            <v>Bentfeld, Bastian</v>
          </cell>
          <cell r="H97" t="str">
            <v>Z0030UDK</v>
          </cell>
          <cell r="I97" t="str"/>
          <cell r="J97" t="str">
            <v>SOP IT APD HRS C07</v>
          </cell>
          <cell r="K97">
            <v>4</v>
          </cell>
          <cell r="L97">
            <v>360</v>
          </cell>
          <cell r="M97">
            <v>0</v>
          </cell>
          <cell r="N97" t="str"/>
          <cell r="O97" t="str"/>
          <cell r="P97" t="str">
            <v>X</v>
          </cell>
          <cell r="Q97" t="str"/>
          <cell r="R97" t="str"/>
        </row>
        <row r="98">
          <cell r="A98" t="str">
            <v>APDH2.03321 HR_MySuccessNetwork</v>
          </cell>
          <cell r="B98" t="str">
            <v>001 / Projekt</v>
          </cell>
          <cell r="C98" t="str">
            <v>001 / Development</v>
          </cell>
          <cell r="D98" t="str"/>
          <cell r="E98">
            <v>43622</v>
          </cell>
          <cell r="F98" t="str">
            <v>06/2019</v>
          </cell>
          <cell r="G98" t="str">
            <v>Koechling, Gabriele</v>
          </cell>
          <cell r="H98" t="str">
            <v>Z000DTQL</v>
          </cell>
          <cell r="I98" t="str"/>
          <cell r="J98" t="str">
            <v>SOP IT APD HRS C07</v>
          </cell>
          <cell r="K98">
            <v>2.5</v>
          </cell>
          <cell r="L98">
            <v>225</v>
          </cell>
          <cell r="M98">
            <v>0</v>
          </cell>
          <cell r="N98" t="str"/>
          <cell r="O98" t="str"/>
          <cell r="P98" t="str">
            <v>X</v>
          </cell>
          <cell r="Q98" t="str"/>
          <cell r="R98" t="str">
            <v xml:space="preserve">MySN Review, Retro + MySN Planning
</v>
          </cell>
        </row>
        <row r="99">
          <cell r="A99" t="str">
            <v>APDH2.03321 HR_MySuccessNetwork</v>
          </cell>
          <cell r="B99" t="str">
            <v>001 / Projekt</v>
          </cell>
          <cell r="C99" t="str">
            <v>001 / Development</v>
          </cell>
          <cell r="D99" t="str"/>
          <cell r="E99">
            <v>43622</v>
          </cell>
          <cell r="F99" t="str">
            <v>06/2019</v>
          </cell>
          <cell r="G99" t="str">
            <v>Speicher, Dominik</v>
          </cell>
          <cell r="H99" t="str">
            <v>Z001PE3B</v>
          </cell>
          <cell r="I99" t="str"/>
          <cell r="J99" t="str">
            <v>SOP IT APD HRS C07</v>
          </cell>
          <cell r="K99">
            <v>6</v>
          </cell>
          <cell r="L99">
            <v>540</v>
          </cell>
          <cell r="M99">
            <v>0</v>
          </cell>
          <cell r="N99" t="str"/>
          <cell r="O99" t="str"/>
          <cell r="P99" t="str">
            <v>X</v>
          </cell>
          <cell r="Q99" t="str"/>
          <cell r="R99" t="str"/>
        </row>
        <row r="100">
          <cell r="A100" t="str">
            <v>APDH2.03321 HR_MySuccessNetwork</v>
          </cell>
          <cell r="B100" t="str">
            <v>001 / Projekt</v>
          </cell>
          <cell r="C100" t="str">
            <v>001 / Development</v>
          </cell>
          <cell r="D100" t="str"/>
          <cell r="E100">
            <v>43622</v>
          </cell>
          <cell r="F100" t="str">
            <v>06/2019</v>
          </cell>
          <cell r="G100" t="str">
            <v>Zak, Alexander</v>
          </cell>
          <cell r="H100" t="str">
            <v>Z001PMUV</v>
          </cell>
          <cell r="I100" t="str"/>
          <cell r="J100" t="str">
            <v>SOP IT APD HRS C06</v>
          </cell>
          <cell r="K100">
            <v>1</v>
          </cell>
          <cell r="L100">
            <v>105</v>
          </cell>
          <cell r="M100">
            <v>0</v>
          </cell>
          <cell r="N100" t="str"/>
          <cell r="O100" t="str"/>
          <cell r="P100" t="str">
            <v>X</v>
          </cell>
          <cell r="Q100" t="str"/>
          <cell r="R100" t="str"/>
        </row>
        <row r="101">
          <cell r="A101" t="str">
            <v>APDH2.03321 HR_MySuccessNetwork</v>
          </cell>
          <cell r="B101" t="str">
            <v>001 / Projekt</v>
          </cell>
          <cell r="C101" t="str">
            <v>001 / Development</v>
          </cell>
          <cell r="D101" t="str"/>
          <cell r="E101">
            <v>43622</v>
          </cell>
          <cell r="F101" t="str">
            <v>06/2019</v>
          </cell>
          <cell r="G101" t="str">
            <v>Koeller, Maximilian</v>
          </cell>
          <cell r="H101" t="str">
            <v>Z003DZ7J</v>
          </cell>
          <cell r="I101" t="str"/>
          <cell r="J101" t="str">
            <v>SOP IT APD HRS C07</v>
          </cell>
          <cell r="K101">
            <v>4</v>
          </cell>
          <cell r="L101">
            <v>260</v>
          </cell>
          <cell r="M101">
            <v>0</v>
          </cell>
          <cell r="N101" t="str"/>
          <cell r="O101" t="str"/>
          <cell r="P101" t="str">
            <v>X</v>
          </cell>
          <cell r="Q101" t="str"/>
          <cell r="R101" t="str"/>
        </row>
        <row r="102">
          <cell r="A102" t="str">
            <v>APDH2.03321 HR_MySuccessNetwork</v>
          </cell>
          <cell r="B102" t="str">
            <v>001 / Projekt</v>
          </cell>
          <cell r="C102" t="str">
            <v>001 / Development</v>
          </cell>
          <cell r="D102" t="str"/>
          <cell r="E102">
            <v>43623</v>
          </cell>
          <cell r="F102" t="str">
            <v>06/2019</v>
          </cell>
          <cell r="G102" t="str">
            <v>Koechling, Gabriele</v>
          </cell>
          <cell r="H102" t="str">
            <v>Z000DTQL</v>
          </cell>
          <cell r="I102" t="str"/>
          <cell r="J102" t="str">
            <v>SOP IT APD HRS C07</v>
          </cell>
          <cell r="K102">
            <v>0.25</v>
          </cell>
          <cell r="L102">
            <v>22.5</v>
          </cell>
          <cell r="M102">
            <v>0</v>
          </cell>
          <cell r="N102" t="str"/>
          <cell r="O102" t="str"/>
          <cell r="P102" t="str">
            <v>X</v>
          </cell>
          <cell r="Q102" t="str"/>
          <cell r="R102" t="str">
            <v xml:space="preserve">MySN Daily
</v>
          </cell>
        </row>
        <row r="103">
          <cell r="A103" t="str">
            <v>APDH2.03321 HR_MySuccessNetwork</v>
          </cell>
          <cell r="B103" t="str">
            <v>001 / Projekt</v>
          </cell>
          <cell r="C103" t="str">
            <v>001 / Development</v>
          </cell>
          <cell r="D103" t="str"/>
          <cell r="E103">
            <v>43623</v>
          </cell>
          <cell r="F103" t="str">
            <v>06/2019</v>
          </cell>
          <cell r="G103" t="str">
            <v>Zak, Alexander</v>
          </cell>
          <cell r="H103" t="str">
            <v>Z001PMUV</v>
          </cell>
          <cell r="I103" t="str"/>
          <cell r="J103" t="str">
            <v>SOP IT APD HRS C06</v>
          </cell>
          <cell r="K103">
            <v>1</v>
          </cell>
          <cell r="L103">
            <v>105</v>
          </cell>
          <cell r="M103">
            <v>0</v>
          </cell>
          <cell r="N103" t="str"/>
          <cell r="O103" t="str"/>
          <cell r="P103" t="str">
            <v>X</v>
          </cell>
          <cell r="Q103" t="str"/>
          <cell r="R103" t="str"/>
        </row>
        <row r="104">
          <cell r="A104" t="str">
            <v>APDH2.03321 HR_MySuccessNetwork</v>
          </cell>
          <cell r="B104" t="str">
            <v>001 / Projekt</v>
          </cell>
          <cell r="C104" t="str">
            <v>001 / Development</v>
          </cell>
          <cell r="D104" t="str"/>
          <cell r="E104">
            <v>43623</v>
          </cell>
          <cell r="F104" t="str">
            <v>06/2019</v>
          </cell>
          <cell r="G104" t="str">
            <v>Koeller, Maximilian</v>
          </cell>
          <cell r="H104" t="str">
            <v>Z003DZ7J</v>
          </cell>
          <cell r="I104" t="str"/>
          <cell r="J104" t="str">
            <v>SOP IT APD HRS C07</v>
          </cell>
          <cell r="K104">
            <v>8.0500000000000007</v>
          </cell>
          <cell r="L104">
            <v>523.25</v>
          </cell>
          <cell r="M104">
            <v>0</v>
          </cell>
          <cell r="N104" t="str"/>
          <cell r="O104" t="str"/>
          <cell r="P104" t="str">
            <v>X</v>
          </cell>
          <cell r="Q104" t="str"/>
          <cell r="R104" t="str"/>
        </row>
        <row r="105">
          <cell r="A105" t="str">
            <v>APDH2.03321 HR_MySuccessNetwork</v>
          </cell>
          <cell r="B105" t="str">
            <v>001 / Projekt</v>
          </cell>
          <cell r="C105" t="str">
            <v>001 / Development</v>
          </cell>
          <cell r="D105" t="str"/>
          <cell r="E105">
            <v>43627</v>
          </cell>
          <cell r="F105" t="str">
            <v>06/2019</v>
          </cell>
          <cell r="G105" t="str">
            <v>Speicher, Dominik</v>
          </cell>
          <cell r="H105" t="str">
            <v>Z001PE3B</v>
          </cell>
          <cell r="I105" t="str"/>
          <cell r="J105" t="str">
            <v>SOP IT APD HRS C07</v>
          </cell>
          <cell r="K105">
            <v>1</v>
          </cell>
          <cell r="L105">
            <v>90</v>
          </cell>
          <cell r="M105">
            <v>0</v>
          </cell>
          <cell r="N105" t="str"/>
          <cell r="O105" t="str"/>
          <cell r="P105" t="str">
            <v>X</v>
          </cell>
          <cell r="Q105" t="str"/>
          <cell r="R105" t="str"/>
        </row>
        <row r="106">
          <cell r="A106" t="str">
            <v>APDH2.03321 HR_MySuccessNetwork</v>
          </cell>
          <cell r="B106" t="str">
            <v>001 / Projekt</v>
          </cell>
          <cell r="C106" t="str">
            <v>001 / Development</v>
          </cell>
          <cell r="D106" t="str"/>
          <cell r="E106">
            <v>43627</v>
          </cell>
          <cell r="F106" t="str">
            <v>06/2019</v>
          </cell>
          <cell r="G106" t="str">
            <v>Zak, Alexander</v>
          </cell>
          <cell r="H106" t="str">
            <v>Z001PMUV</v>
          </cell>
          <cell r="I106" t="str"/>
          <cell r="J106" t="str">
            <v>SOP IT APD HRS C06</v>
          </cell>
          <cell r="K106">
            <v>1</v>
          </cell>
          <cell r="L106">
            <v>105</v>
          </cell>
          <cell r="M106">
            <v>0</v>
          </cell>
          <cell r="N106" t="str"/>
          <cell r="O106" t="str"/>
          <cell r="P106" t="str">
            <v>X</v>
          </cell>
          <cell r="Q106" t="str"/>
          <cell r="R106" t="str"/>
        </row>
        <row r="107">
          <cell r="A107" t="str">
            <v>APDH2.03321 HR_MySuccessNetwork</v>
          </cell>
          <cell r="B107" t="str">
            <v>001 / Projekt</v>
          </cell>
          <cell r="C107" t="str">
            <v>001 / Development</v>
          </cell>
          <cell r="D107" t="str"/>
          <cell r="E107">
            <v>43627</v>
          </cell>
          <cell r="F107" t="str">
            <v>06/2019</v>
          </cell>
          <cell r="G107" t="str">
            <v>Koeller, Maximilian</v>
          </cell>
          <cell r="H107" t="str">
            <v>Z003DZ7J</v>
          </cell>
          <cell r="I107" t="str"/>
          <cell r="J107" t="str">
            <v>SOP IT APD HRS C07</v>
          </cell>
          <cell r="K107">
            <v>8.0500000000000007</v>
          </cell>
          <cell r="L107">
            <v>523.25</v>
          </cell>
          <cell r="M107">
            <v>0</v>
          </cell>
          <cell r="N107" t="str"/>
          <cell r="O107" t="str"/>
          <cell r="P107" t="str">
            <v>X</v>
          </cell>
          <cell r="Q107" t="str"/>
          <cell r="R107" t="str"/>
        </row>
        <row r="108">
          <cell r="A108" t="str">
            <v>APDH2.03321 HR_MySuccessNetwork</v>
          </cell>
          <cell r="B108" t="str">
            <v>001 / Projekt</v>
          </cell>
          <cell r="C108" t="str">
            <v>001 / Development</v>
          </cell>
          <cell r="D108" t="str"/>
          <cell r="E108">
            <v>43628</v>
          </cell>
          <cell r="F108" t="str">
            <v>06/2019</v>
          </cell>
          <cell r="G108" t="str">
            <v>Koechling, Gabriele</v>
          </cell>
          <cell r="H108" t="str">
            <v>Z000DTQL</v>
          </cell>
          <cell r="I108" t="str"/>
          <cell r="J108" t="str">
            <v>SOP IT APD HRS C07</v>
          </cell>
          <cell r="K108">
            <v>0.75</v>
          </cell>
          <cell r="L108">
            <v>67.5</v>
          </cell>
          <cell r="M108">
            <v>0</v>
          </cell>
          <cell r="N108" t="str"/>
          <cell r="O108" t="str"/>
          <cell r="P108" t="str">
            <v>X</v>
          </cell>
          <cell r="Q108" t="str"/>
          <cell r="R108" t="str">
            <v xml:space="preserve">MySN Daily, ReTest MySN-176 Unteraufgaben aus Sprint 3
</v>
          </cell>
        </row>
        <row r="109">
          <cell r="A109" t="str">
            <v>APDH2.03321 HR_MySuccessNetwork</v>
          </cell>
          <cell r="B109" t="str">
            <v>001 / Projekt</v>
          </cell>
          <cell r="C109" t="str">
            <v>001 / Development</v>
          </cell>
          <cell r="D109" t="str"/>
          <cell r="E109">
            <v>43628</v>
          </cell>
          <cell r="F109" t="str">
            <v>06/2019</v>
          </cell>
          <cell r="G109" t="str">
            <v>Speicher, Dominik</v>
          </cell>
          <cell r="H109" t="str">
            <v>Z001PE3B</v>
          </cell>
          <cell r="I109" t="str"/>
          <cell r="J109" t="str">
            <v>SOP IT APD HRS C07</v>
          </cell>
          <cell r="K109">
            <v>2.5</v>
          </cell>
          <cell r="L109">
            <v>225</v>
          </cell>
          <cell r="M109">
            <v>0</v>
          </cell>
          <cell r="N109" t="str"/>
          <cell r="O109" t="str"/>
          <cell r="P109" t="str">
            <v>X</v>
          </cell>
          <cell r="Q109" t="str"/>
          <cell r="R109" t="str"/>
        </row>
        <row r="110">
          <cell r="A110" t="str">
            <v>APDH2.03321 HR_MySuccessNetwork</v>
          </cell>
          <cell r="B110" t="str">
            <v>001 / Projekt</v>
          </cell>
          <cell r="C110" t="str">
            <v>001 / Development</v>
          </cell>
          <cell r="D110" t="str"/>
          <cell r="E110">
            <v>43628</v>
          </cell>
          <cell r="F110" t="str">
            <v>06/2019</v>
          </cell>
          <cell r="G110" t="str">
            <v>Zak, Alexander</v>
          </cell>
          <cell r="H110" t="str">
            <v>Z001PMUV</v>
          </cell>
          <cell r="I110" t="str"/>
          <cell r="J110" t="str">
            <v>SOP IT APD HRS C06</v>
          </cell>
          <cell r="K110">
            <v>1</v>
          </cell>
          <cell r="L110">
            <v>105</v>
          </cell>
          <cell r="M110">
            <v>0</v>
          </cell>
          <cell r="N110" t="str"/>
          <cell r="O110" t="str"/>
          <cell r="P110" t="str">
            <v>X</v>
          </cell>
          <cell r="Q110" t="str"/>
          <cell r="R110" t="str"/>
        </row>
        <row r="111">
          <cell r="A111" t="str">
            <v>APDH2.03321 HR_MySuccessNetwork</v>
          </cell>
          <cell r="B111" t="str">
            <v>001 / Projekt</v>
          </cell>
          <cell r="C111" t="str">
            <v>001 / Development</v>
          </cell>
          <cell r="D111" t="str"/>
          <cell r="E111">
            <v>43628</v>
          </cell>
          <cell r="F111" t="str">
            <v>06/2019</v>
          </cell>
          <cell r="G111" t="str">
            <v>Koeller, Maximilian</v>
          </cell>
          <cell r="H111" t="str">
            <v>Z003DZ7J</v>
          </cell>
          <cell r="I111" t="str"/>
          <cell r="J111" t="str">
            <v>SOP IT APD HRS C07</v>
          </cell>
          <cell r="K111">
            <v>7.2</v>
          </cell>
          <cell r="L111">
            <v>468</v>
          </cell>
          <cell r="M111">
            <v>0</v>
          </cell>
          <cell r="N111" t="str"/>
          <cell r="O111" t="str"/>
          <cell r="P111" t="str">
            <v>X</v>
          </cell>
          <cell r="Q111" t="str"/>
          <cell r="R111" t="str"/>
        </row>
        <row r="112">
          <cell r="A112" t="str">
            <v>APDH2.03321 HR_MySuccessNetwork</v>
          </cell>
          <cell r="B112" t="str">
            <v>001 / Projekt</v>
          </cell>
          <cell r="C112" t="str">
            <v>001 / Development</v>
          </cell>
          <cell r="D112" t="str"/>
          <cell r="E112">
            <v>43629</v>
          </cell>
          <cell r="F112" t="str">
            <v>06/2019</v>
          </cell>
          <cell r="G112" t="str">
            <v>Koechling, Gabriele</v>
          </cell>
          <cell r="H112" t="str">
            <v>Z000DTQL</v>
          </cell>
          <cell r="I112" t="str"/>
          <cell r="J112" t="str">
            <v>SOP IT APD HRS C07</v>
          </cell>
          <cell r="K112">
            <v>3</v>
          </cell>
          <cell r="L112">
            <v>270</v>
          </cell>
          <cell r="M112">
            <v>0</v>
          </cell>
          <cell r="N112" t="str"/>
          <cell r="O112" t="str"/>
          <cell r="P112" t="str">
            <v>X</v>
          </cell>
          <cell r="Q112" t="str"/>
          <cell r="R112" t="str">
            <v xml:space="preserve">MySN Daily, ReTest MySN-176 Unteraufgaben aus Sprint 3, 1 Defect geöffnet
</v>
          </cell>
        </row>
        <row r="113">
          <cell r="A113" t="str">
            <v>APDH2.03321 HR_MySuccessNetwork</v>
          </cell>
          <cell r="B113" t="str">
            <v>001 / Projekt</v>
          </cell>
          <cell r="C113" t="str">
            <v>001 / Development</v>
          </cell>
          <cell r="D113" t="str"/>
          <cell r="E113">
            <v>43629</v>
          </cell>
          <cell r="F113" t="str">
            <v>06/2019</v>
          </cell>
          <cell r="G113" t="str">
            <v>Speicher, Dominik</v>
          </cell>
          <cell r="H113" t="str">
            <v>Z001PE3B</v>
          </cell>
          <cell r="I113" t="str"/>
          <cell r="J113" t="str">
            <v>SOP IT APD HRS C07</v>
          </cell>
          <cell r="K113">
            <v>0.5</v>
          </cell>
          <cell r="L113">
            <v>45</v>
          </cell>
          <cell r="M113">
            <v>0</v>
          </cell>
          <cell r="N113" t="str"/>
          <cell r="O113" t="str"/>
          <cell r="P113" t="str">
            <v>X</v>
          </cell>
          <cell r="Q113" t="str"/>
          <cell r="R113" t="str"/>
        </row>
        <row r="114">
          <cell r="A114" t="str">
            <v>APDH2.03321 HR_MySuccessNetwork</v>
          </cell>
          <cell r="B114" t="str">
            <v>001 / Projekt</v>
          </cell>
          <cell r="C114" t="str">
            <v>001 / Development</v>
          </cell>
          <cell r="D114" t="str"/>
          <cell r="E114">
            <v>43629</v>
          </cell>
          <cell r="F114" t="str">
            <v>06/2019</v>
          </cell>
          <cell r="G114" t="str">
            <v>Zak, Alexander</v>
          </cell>
          <cell r="H114" t="str">
            <v>Z001PMUV</v>
          </cell>
          <cell r="I114" t="str"/>
          <cell r="J114" t="str">
            <v>SOP IT APD HRS C06</v>
          </cell>
          <cell r="K114">
            <v>1</v>
          </cell>
          <cell r="L114">
            <v>105</v>
          </cell>
          <cell r="M114">
            <v>0</v>
          </cell>
          <cell r="N114" t="str"/>
          <cell r="O114" t="str"/>
          <cell r="P114" t="str">
            <v>X</v>
          </cell>
          <cell r="Q114" t="str"/>
          <cell r="R114" t="str"/>
        </row>
        <row r="115">
          <cell r="A115" t="str">
            <v>APDH2.03321 HR_MySuccessNetwork</v>
          </cell>
          <cell r="B115" t="str">
            <v>001 / Projekt</v>
          </cell>
          <cell r="C115" t="str">
            <v>001 / Development</v>
          </cell>
          <cell r="D115" t="str"/>
          <cell r="E115">
            <v>43629</v>
          </cell>
          <cell r="F115" t="str">
            <v>06/2019</v>
          </cell>
          <cell r="G115" t="str">
            <v>Bentfeld, Bastian</v>
          </cell>
          <cell r="H115" t="str">
            <v>Z0030UDK</v>
          </cell>
          <cell r="I115" t="str"/>
          <cell r="J115" t="str">
            <v>SOP IT APD HRS C07</v>
          </cell>
          <cell r="K115">
            <v>3</v>
          </cell>
          <cell r="L115">
            <v>270</v>
          </cell>
          <cell r="M115">
            <v>0</v>
          </cell>
          <cell r="N115" t="str"/>
          <cell r="O115" t="str"/>
          <cell r="P115" t="str">
            <v>X</v>
          </cell>
          <cell r="Q115" t="str"/>
          <cell r="R115" t="str"/>
        </row>
        <row r="116">
          <cell r="A116" t="str">
            <v>APDH2.03321 HR_MySuccessNetwork</v>
          </cell>
          <cell r="B116" t="str">
            <v>001 / Projekt</v>
          </cell>
          <cell r="C116" t="str">
            <v>001 / Development</v>
          </cell>
          <cell r="D116" t="str"/>
          <cell r="E116">
            <v>43629</v>
          </cell>
          <cell r="F116" t="str">
            <v>06/2019</v>
          </cell>
          <cell r="G116" t="str">
            <v>Koeller, Maximilian</v>
          </cell>
          <cell r="H116" t="str">
            <v>Z003DZ7J</v>
          </cell>
          <cell r="I116" t="str"/>
          <cell r="J116" t="str">
            <v>SOP IT APD HRS C07</v>
          </cell>
          <cell r="K116">
            <v>1.4</v>
          </cell>
          <cell r="L116">
            <v>91</v>
          </cell>
          <cell r="M116">
            <v>0</v>
          </cell>
          <cell r="N116" t="str"/>
          <cell r="O116" t="str"/>
          <cell r="P116" t="str">
            <v>X</v>
          </cell>
          <cell r="Q116" t="str"/>
          <cell r="R116" t="str"/>
        </row>
        <row r="117">
          <cell r="A117" t="str">
            <v>APDH2.03321 HR_MySuccessNetwork</v>
          </cell>
          <cell r="B117" t="str">
            <v>001 / Projekt</v>
          </cell>
          <cell r="C117" t="str">
            <v>001 / Development</v>
          </cell>
          <cell r="D117" t="str"/>
          <cell r="E117">
            <v>43630</v>
          </cell>
          <cell r="F117" t="str">
            <v>06/2019</v>
          </cell>
          <cell r="G117" t="str">
            <v>Koechling, Gabriele</v>
          </cell>
          <cell r="H117" t="str">
            <v>Z000DTQL</v>
          </cell>
          <cell r="I117" t="str"/>
          <cell r="J117" t="str">
            <v>SOP IT APD HRS C07</v>
          </cell>
          <cell r="K117">
            <v>2.42</v>
          </cell>
          <cell r="L117">
            <v>217.8</v>
          </cell>
          <cell r="M117">
            <v>0</v>
          </cell>
          <cell r="N117" t="str"/>
          <cell r="O117" t="str"/>
          <cell r="P117" t="str">
            <v>X</v>
          </cell>
          <cell r="Q117" t="str"/>
          <cell r="R117" t="str">
            <v xml:space="preserve">MySN Daily, Test von MySN-279 + MySN-43
</v>
          </cell>
        </row>
        <row r="118">
          <cell r="A118" t="str">
            <v>APDH2.03321 HR_MySuccessNetwork</v>
          </cell>
          <cell r="B118" t="str">
            <v>001 / Projekt</v>
          </cell>
          <cell r="C118" t="str">
            <v>001 / Development</v>
          </cell>
          <cell r="D118" t="str"/>
          <cell r="E118">
            <v>43630</v>
          </cell>
          <cell r="F118" t="str">
            <v>06/2019</v>
          </cell>
          <cell r="G118" t="str">
            <v>Zak, Alexander</v>
          </cell>
          <cell r="H118" t="str">
            <v>Z001PMUV</v>
          </cell>
          <cell r="I118" t="str"/>
          <cell r="J118" t="str">
            <v>SOP IT APD HRS C06</v>
          </cell>
          <cell r="K118">
            <v>1</v>
          </cell>
          <cell r="L118">
            <v>105</v>
          </cell>
          <cell r="M118">
            <v>0</v>
          </cell>
          <cell r="N118" t="str"/>
          <cell r="O118" t="str"/>
          <cell r="P118" t="str">
            <v>X</v>
          </cell>
          <cell r="Q118" t="str"/>
          <cell r="R118" t="str"/>
        </row>
        <row r="119">
          <cell r="A119" t="str">
            <v>APDH2.03321 HR_MySuccessNetwork</v>
          </cell>
          <cell r="B119" t="str">
            <v>001 / Projekt</v>
          </cell>
          <cell r="C119" t="str">
            <v>001 / Development</v>
          </cell>
          <cell r="D119" t="str"/>
          <cell r="E119">
            <v>43630</v>
          </cell>
          <cell r="F119" t="str">
            <v>06/2019</v>
          </cell>
          <cell r="G119" t="str">
            <v>Bentfeld, Bastian</v>
          </cell>
          <cell r="H119" t="str">
            <v>Z0030UDK</v>
          </cell>
          <cell r="I119" t="str"/>
          <cell r="J119" t="str">
            <v>SOP IT APD HRS C07</v>
          </cell>
          <cell r="K119">
            <v>6</v>
          </cell>
          <cell r="L119">
            <v>540</v>
          </cell>
          <cell r="M119">
            <v>0</v>
          </cell>
          <cell r="N119" t="str"/>
          <cell r="O119" t="str"/>
          <cell r="P119" t="str">
            <v>X</v>
          </cell>
          <cell r="Q119" t="str"/>
          <cell r="R119" t="str"/>
        </row>
        <row r="120">
          <cell r="A120" t="str">
            <v>APDH2.03321 HR_MySuccessNetwork</v>
          </cell>
          <cell r="B120" t="str">
            <v>001 / Projekt</v>
          </cell>
          <cell r="C120" t="str">
            <v>002 / CERT</v>
          </cell>
          <cell r="D120" t="str"/>
          <cell r="E120">
            <v>43633</v>
          </cell>
          <cell r="F120" t="str">
            <v>06/2019</v>
          </cell>
          <cell r="G120" t="str">
            <v>Bentfeld, Bastian</v>
          </cell>
          <cell r="H120" t="str">
            <v>Z0030UDK</v>
          </cell>
          <cell r="I120" t="str"/>
          <cell r="J120" t="str">
            <v>SOP IT APD HRS C07</v>
          </cell>
          <cell r="K120">
            <v>4</v>
          </cell>
          <cell r="L120">
            <v>360</v>
          </cell>
          <cell r="M120">
            <v>0</v>
          </cell>
          <cell r="N120" t="str"/>
          <cell r="O120" t="str"/>
          <cell r="P120" t="str">
            <v>X</v>
          </cell>
          <cell r="Q120" t="str"/>
          <cell r="R120" t="str"/>
        </row>
        <row r="121">
          <cell r="A121" t="str">
            <v>APDH2.03321 HR_MySuccessNetwork</v>
          </cell>
          <cell r="B121" t="str">
            <v>001 / Projekt</v>
          </cell>
          <cell r="C121" t="str">
            <v>001 / Development</v>
          </cell>
          <cell r="D121" t="str"/>
          <cell r="E121">
            <v>43633</v>
          </cell>
          <cell r="F121" t="str">
            <v>06/2019</v>
          </cell>
          <cell r="G121" t="str">
            <v>Zak, Alexander</v>
          </cell>
          <cell r="H121" t="str">
            <v>Z001PMUV</v>
          </cell>
          <cell r="I121" t="str"/>
          <cell r="J121" t="str">
            <v>SOP IT APD HRS C06</v>
          </cell>
          <cell r="K121">
            <v>1</v>
          </cell>
          <cell r="L121">
            <v>105</v>
          </cell>
          <cell r="M121">
            <v>0</v>
          </cell>
          <cell r="N121" t="str"/>
          <cell r="O121" t="str"/>
          <cell r="P121" t="str">
            <v>X</v>
          </cell>
          <cell r="Q121" t="str"/>
          <cell r="R121" t="str"/>
        </row>
        <row r="122">
          <cell r="A122" t="str">
            <v>APDH2.03321 HR_MySuccessNetwork</v>
          </cell>
          <cell r="B122" t="str">
            <v>001 / Projekt</v>
          </cell>
          <cell r="C122" t="str">
            <v>001 / Development</v>
          </cell>
          <cell r="D122" t="str"/>
          <cell r="E122">
            <v>43633</v>
          </cell>
          <cell r="F122" t="str">
            <v>06/2019</v>
          </cell>
          <cell r="G122" t="str">
            <v>Koeller, Maximilian</v>
          </cell>
          <cell r="H122" t="str">
            <v>Z003DZ7J</v>
          </cell>
          <cell r="I122" t="str"/>
          <cell r="J122" t="str">
            <v>SOP IT APD HRS C07</v>
          </cell>
          <cell r="K122">
            <v>3.35</v>
          </cell>
          <cell r="L122">
            <v>217.75</v>
          </cell>
          <cell r="M122">
            <v>0</v>
          </cell>
          <cell r="N122" t="str"/>
          <cell r="O122" t="str"/>
          <cell r="P122" t="str">
            <v>X</v>
          </cell>
          <cell r="Q122" t="str"/>
          <cell r="R122" t="str"/>
        </row>
        <row r="123">
          <cell r="A123" t="str">
            <v>APDH2.03321 HR_MySuccessNetwork</v>
          </cell>
          <cell r="B123" t="str">
            <v>001 / Projekt</v>
          </cell>
          <cell r="C123" t="str">
            <v>002 / CERT</v>
          </cell>
          <cell r="D123" t="str"/>
          <cell r="E123">
            <v>43634</v>
          </cell>
          <cell r="F123" t="str">
            <v>06/2019</v>
          </cell>
          <cell r="G123" t="str">
            <v>Bentfeld, Bastian</v>
          </cell>
          <cell r="H123" t="str">
            <v>Z0030UDK</v>
          </cell>
          <cell r="I123" t="str"/>
          <cell r="J123" t="str">
            <v>SOP IT APD HRS C07</v>
          </cell>
          <cell r="K123">
            <v>6</v>
          </cell>
          <cell r="L123">
            <v>540</v>
          </cell>
          <cell r="M123">
            <v>0</v>
          </cell>
          <cell r="N123" t="str"/>
          <cell r="O123" t="str"/>
          <cell r="P123" t="str">
            <v>X</v>
          </cell>
          <cell r="Q123" t="str"/>
          <cell r="R123" t="str"/>
        </row>
        <row r="124">
          <cell r="A124" t="str">
            <v>APDH2.03321 HR_MySuccessNetwork</v>
          </cell>
          <cell r="B124" t="str">
            <v>001 / Projekt</v>
          </cell>
          <cell r="C124" t="str">
            <v>001 / Development</v>
          </cell>
          <cell r="D124" t="str"/>
          <cell r="E124">
            <v>43634</v>
          </cell>
          <cell r="F124" t="str">
            <v>06/2019</v>
          </cell>
          <cell r="G124" t="str">
            <v>Koechling, Gabriele</v>
          </cell>
          <cell r="H124" t="str">
            <v>Z000DTQL</v>
          </cell>
          <cell r="I124" t="str"/>
          <cell r="J124" t="str">
            <v>SOP IT APD HRS C07</v>
          </cell>
          <cell r="K124">
            <v>1</v>
          </cell>
          <cell r="L124">
            <v>90</v>
          </cell>
          <cell r="M124">
            <v>0</v>
          </cell>
          <cell r="N124" t="str"/>
          <cell r="O124" t="str"/>
          <cell r="P124" t="str">
            <v>X</v>
          </cell>
          <cell r="Q124" t="str"/>
          <cell r="R124" t="str">
            <v xml:space="preserve">MySN-11: alle Unteraufgaben getestet und auf Done gesetzt
</v>
          </cell>
        </row>
        <row r="125">
          <cell r="A125" t="str">
            <v>APDH2.03321 HR_MySuccessNetwork</v>
          </cell>
          <cell r="B125" t="str">
            <v>001 / Projekt</v>
          </cell>
          <cell r="C125" t="str">
            <v>001 / Development</v>
          </cell>
          <cell r="D125" t="str"/>
          <cell r="E125">
            <v>43634</v>
          </cell>
          <cell r="F125" t="str">
            <v>06/2019</v>
          </cell>
          <cell r="G125" t="str">
            <v>Speicher, Dominik</v>
          </cell>
          <cell r="H125" t="str">
            <v>Z001PE3B</v>
          </cell>
          <cell r="I125" t="str"/>
          <cell r="J125" t="str">
            <v>SOP IT APD HRS C07</v>
          </cell>
          <cell r="K125">
            <v>2</v>
          </cell>
          <cell r="L125">
            <v>180</v>
          </cell>
          <cell r="M125">
            <v>0</v>
          </cell>
          <cell r="N125" t="str"/>
          <cell r="O125" t="str"/>
          <cell r="P125" t="str">
            <v>X</v>
          </cell>
          <cell r="Q125" t="str"/>
          <cell r="R125" t="str"/>
        </row>
        <row r="126">
          <cell r="A126" t="str">
            <v>APDH2.03321 HR_MySuccessNetwork</v>
          </cell>
          <cell r="B126" t="str">
            <v>001 / Projekt</v>
          </cell>
          <cell r="C126" t="str">
            <v>001 / Development</v>
          </cell>
          <cell r="D126" t="str"/>
          <cell r="E126">
            <v>43634</v>
          </cell>
          <cell r="F126" t="str">
            <v>06/2019</v>
          </cell>
          <cell r="G126" t="str">
            <v>Koeller, Maximilian</v>
          </cell>
          <cell r="H126" t="str">
            <v>Z003DZ7J</v>
          </cell>
          <cell r="I126" t="str"/>
          <cell r="J126" t="str">
            <v>SOP IT APD HRS C07</v>
          </cell>
          <cell r="K126">
            <v>6</v>
          </cell>
          <cell r="L126">
            <v>390</v>
          </cell>
          <cell r="M126">
            <v>0</v>
          </cell>
          <cell r="N126" t="str"/>
          <cell r="O126" t="str"/>
          <cell r="P126" t="str">
            <v>X</v>
          </cell>
          <cell r="Q126" t="str"/>
          <cell r="R126" t="str"/>
        </row>
        <row r="127">
          <cell r="A127" t="str">
            <v>APDH2.03321 HR_MySuccessNetwork</v>
          </cell>
          <cell r="B127" t="str">
            <v>001 / Projekt</v>
          </cell>
          <cell r="C127" t="str">
            <v>002 / CERT</v>
          </cell>
          <cell r="D127" t="str"/>
          <cell r="E127">
            <v>43635</v>
          </cell>
          <cell r="F127" t="str">
            <v>06/2019</v>
          </cell>
          <cell r="G127" t="str">
            <v>Bentfeld, Bastian</v>
          </cell>
          <cell r="H127" t="str">
            <v>Z0030UDK</v>
          </cell>
          <cell r="I127" t="str"/>
          <cell r="J127" t="str">
            <v>SOP IT APD HRS C07</v>
          </cell>
          <cell r="K127">
            <v>5</v>
          </cell>
          <cell r="L127">
            <v>450</v>
          </cell>
          <cell r="M127">
            <v>0</v>
          </cell>
          <cell r="N127" t="str"/>
          <cell r="O127" t="str"/>
          <cell r="P127" t="str">
            <v>X</v>
          </cell>
          <cell r="Q127" t="str"/>
          <cell r="R127" t="str"/>
        </row>
        <row r="128">
          <cell r="A128" t="str">
            <v>APDH2.03321 HR_MySuccessNetwork</v>
          </cell>
          <cell r="B128" t="str">
            <v>001 / Projekt</v>
          </cell>
          <cell r="C128" t="str">
            <v>001 / Development</v>
          </cell>
          <cell r="D128" t="str"/>
          <cell r="E128">
            <v>43635</v>
          </cell>
          <cell r="F128" t="str">
            <v>06/2019</v>
          </cell>
          <cell r="G128" t="str">
            <v>Koechling, Gabriele</v>
          </cell>
          <cell r="H128" t="str">
            <v>Z000DTQL</v>
          </cell>
          <cell r="I128" t="str"/>
          <cell r="J128" t="str">
            <v>SOP IT APD HRS C07</v>
          </cell>
          <cell r="K128">
            <v>0.33</v>
          </cell>
          <cell r="L128">
            <v>29.7</v>
          </cell>
          <cell r="M128">
            <v>0</v>
          </cell>
          <cell r="N128" t="str"/>
          <cell r="O128" t="str"/>
          <cell r="P128" t="str">
            <v>X</v>
          </cell>
          <cell r="Q128" t="str"/>
          <cell r="R128" t="str">
            <v>MySN Daily</v>
          </cell>
        </row>
        <row r="129">
          <cell r="A129" t="str">
            <v>APDH2.03321 HR_MySuccessNetwork</v>
          </cell>
          <cell r="B129" t="str">
            <v>001 / Projekt</v>
          </cell>
          <cell r="C129" t="str">
            <v>001 / Development</v>
          </cell>
          <cell r="D129" t="str"/>
          <cell r="E129">
            <v>43635</v>
          </cell>
          <cell r="F129" t="str">
            <v>06/2019</v>
          </cell>
          <cell r="G129" t="str">
            <v>Speicher, Dominik</v>
          </cell>
          <cell r="H129" t="str">
            <v>Z001PE3B</v>
          </cell>
          <cell r="I129" t="str"/>
          <cell r="J129" t="str">
            <v>SOP IT APD HRS C07</v>
          </cell>
          <cell r="K129">
            <v>4</v>
          </cell>
          <cell r="L129">
            <v>360</v>
          </cell>
          <cell r="M129">
            <v>0</v>
          </cell>
          <cell r="N129" t="str"/>
          <cell r="O129" t="str"/>
          <cell r="P129" t="str">
            <v>X</v>
          </cell>
          <cell r="Q129" t="str"/>
          <cell r="R129" t="str"/>
        </row>
        <row r="130">
          <cell r="A130" t="str">
            <v>APDH2.03321 HR_MySuccessNetwork</v>
          </cell>
          <cell r="B130" t="str">
            <v>001 / Projekt</v>
          </cell>
          <cell r="C130" t="str">
            <v>001 / Development</v>
          </cell>
          <cell r="D130" t="str"/>
          <cell r="E130">
            <v>43635</v>
          </cell>
          <cell r="F130" t="str">
            <v>06/2019</v>
          </cell>
          <cell r="G130" t="str">
            <v>Koeller, Maximilian</v>
          </cell>
          <cell r="H130" t="str">
            <v>Z003DZ7J</v>
          </cell>
          <cell r="I130" t="str"/>
          <cell r="J130" t="str">
            <v>SOP IT APD HRS C07</v>
          </cell>
          <cell r="K130">
            <v>2.0499999999999998</v>
          </cell>
          <cell r="L130">
            <v>133.25</v>
          </cell>
          <cell r="M130">
            <v>0</v>
          </cell>
          <cell r="N130" t="str"/>
          <cell r="O130" t="str"/>
          <cell r="P130" t="str">
            <v>X</v>
          </cell>
          <cell r="Q130" t="str"/>
          <cell r="R130" t="str"/>
        </row>
        <row r="131">
          <cell r="A131" t="str">
            <v>APDH2.03321 HR_MySuccessNetwork</v>
          </cell>
          <cell r="B131" t="str">
            <v>001 / Projekt</v>
          </cell>
          <cell r="C131" t="str">
            <v>001 / Development</v>
          </cell>
          <cell r="D131" t="str"/>
          <cell r="E131">
            <v>43640</v>
          </cell>
          <cell r="F131" t="str">
            <v>06/2019</v>
          </cell>
          <cell r="G131" t="str">
            <v>Koechling, Gabriele</v>
          </cell>
          <cell r="H131" t="str">
            <v>Z000DTQL</v>
          </cell>
          <cell r="I131" t="str"/>
          <cell r="J131" t="str">
            <v>SOP IT APD HRS C07</v>
          </cell>
          <cell r="K131">
            <v>1.25</v>
          </cell>
          <cell r="L131">
            <v>112.5</v>
          </cell>
          <cell r="M131">
            <v>0</v>
          </cell>
          <cell r="N131" t="str"/>
          <cell r="O131" t="str"/>
          <cell r="P131" t="str">
            <v>X</v>
          </cell>
          <cell r="Q131" t="str"/>
          <cell r="R131" t="str">
            <v xml:space="preserve">MySN Daily, Review und Retro
</v>
          </cell>
        </row>
        <row r="132">
          <cell r="A132" t="str">
            <v>APDH2.03321 HR_MySuccessNetwork</v>
          </cell>
          <cell r="B132" t="str">
            <v>001 / Projekt</v>
          </cell>
          <cell r="C132" t="str">
            <v>001 / Development</v>
          </cell>
          <cell r="D132" t="str"/>
          <cell r="E132">
            <v>43640</v>
          </cell>
          <cell r="F132" t="str">
            <v>06/2019</v>
          </cell>
          <cell r="G132" t="str">
            <v>Falke, Thomas</v>
          </cell>
          <cell r="H132" t="str">
            <v>Z000SW9C</v>
          </cell>
          <cell r="I132" t="str"/>
          <cell r="J132" t="str">
            <v>SOP IT APD HRS C07</v>
          </cell>
          <cell r="K132">
            <v>4</v>
          </cell>
          <cell r="L132">
            <v>360</v>
          </cell>
          <cell r="M132">
            <v>0</v>
          </cell>
          <cell r="N132" t="str"/>
          <cell r="O132" t="str"/>
          <cell r="P132" t="str">
            <v>X</v>
          </cell>
          <cell r="Q132" t="str"/>
          <cell r="R132" t="str">
            <v>Automigrator, protection concept, entitlement</v>
          </cell>
        </row>
        <row r="133">
          <cell r="A133" t="str">
            <v>APDH2.03321 HR_MySuccessNetwork</v>
          </cell>
          <cell r="B133" t="str">
            <v>001 / Projekt</v>
          </cell>
          <cell r="C133" t="str">
            <v>001 / Development</v>
          </cell>
          <cell r="D133" t="str"/>
          <cell r="E133">
            <v>43640</v>
          </cell>
          <cell r="F133" t="str">
            <v>06/2019</v>
          </cell>
          <cell r="G133" t="str">
            <v>Speicher, Dominik</v>
          </cell>
          <cell r="H133" t="str">
            <v>Z001PE3B</v>
          </cell>
          <cell r="I133" t="str"/>
          <cell r="J133" t="str">
            <v>SOP IT APD HRS C07</v>
          </cell>
          <cell r="K133">
            <v>5</v>
          </cell>
          <cell r="L133">
            <v>450</v>
          </cell>
          <cell r="M133">
            <v>0</v>
          </cell>
          <cell r="N133" t="str"/>
          <cell r="O133" t="str"/>
          <cell r="P133" t="str">
            <v>X</v>
          </cell>
          <cell r="Q133" t="str"/>
          <cell r="R133" t="str"/>
        </row>
        <row r="134">
          <cell r="A134" t="str">
            <v>APDH2.03321 HR_MySuccessNetwork</v>
          </cell>
          <cell r="B134" t="str">
            <v>001 / Projekt</v>
          </cell>
          <cell r="C134" t="str">
            <v>001 / Development</v>
          </cell>
          <cell r="D134" t="str"/>
          <cell r="E134">
            <v>43640</v>
          </cell>
          <cell r="F134" t="str">
            <v>06/2019</v>
          </cell>
          <cell r="G134" t="str">
            <v>Zak, Alexander</v>
          </cell>
          <cell r="H134" t="str">
            <v>Z001PMUV</v>
          </cell>
          <cell r="I134" t="str"/>
          <cell r="J134" t="str">
            <v>SOP IT APD HRS C06</v>
          </cell>
          <cell r="K134">
            <v>1</v>
          </cell>
          <cell r="L134">
            <v>105</v>
          </cell>
          <cell r="M134">
            <v>0</v>
          </cell>
          <cell r="N134" t="str"/>
          <cell r="O134" t="str"/>
          <cell r="P134" t="str">
            <v>X</v>
          </cell>
          <cell r="Q134" t="str"/>
          <cell r="R134" t="str"/>
        </row>
        <row r="135">
          <cell r="A135" t="str">
            <v>APDH2.03321 HR_MySuccessNetwork</v>
          </cell>
          <cell r="B135" t="str">
            <v>001 / Projekt</v>
          </cell>
          <cell r="C135" t="str">
            <v>001 / Development</v>
          </cell>
          <cell r="D135" t="str"/>
          <cell r="E135">
            <v>43640</v>
          </cell>
          <cell r="F135" t="str">
            <v>06/2019</v>
          </cell>
          <cell r="G135" t="str">
            <v>Bentfeld, Bastian</v>
          </cell>
          <cell r="H135" t="str">
            <v>Z0030UDK</v>
          </cell>
          <cell r="I135" t="str"/>
          <cell r="J135" t="str">
            <v>SOP IT APD HRS C07</v>
          </cell>
          <cell r="K135">
            <v>3</v>
          </cell>
          <cell r="L135">
            <v>270</v>
          </cell>
          <cell r="M135">
            <v>0</v>
          </cell>
          <cell r="N135" t="str"/>
          <cell r="O135" t="str"/>
          <cell r="P135" t="str">
            <v>X</v>
          </cell>
          <cell r="Q135" t="str"/>
          <cell r="R135" t="str"/>
        </row>
        <row r="136">
          <cell r="A136" t="str">
            <v>APDH2.03321 HR_MySuccessNetwork</v>
          </cell>
          <cell r="B136" t="str">
            <v>001 / Projekt</v>
          </cell>
          <cell r="C136" t="str">
            <v>001 / Development</v>
          </cell>
          <cell r="D136" t="str"/>
          <cell r="E136">
            <v>43641</v>
          </cell>
          <cell r="F136" t="str">
            <v>06/2019</v>
          </cell>
          <cell r="G136" t="str">
            <v>Zak, Alexander</v>
          </cell>
          <cell r="H136" t="str">
            <v>Z001PMUV</v>
          </cell>
          <cell r="I136" t="str"/>
          <cell r="J136" t="str">
            <v>SOP IT APD HRS C06</v>
          </cell>
          <cell r="K136">
            <v>1</v>
          </cell>
          <cell r="L136">
            <v>105</v>
          </cell>
          <cell r="M136">
            <v>0</v>
          </cell>
          <cell r="N136" t="str"/>
          <cell r="O136" t="str"/>
          <cell r="P136" t="str">
            <v>X</v>
          </cell>
          <cell r="Q136" t="str"/>
          <cell r="R136" t="str"/>
        </row>
        <row r="137">
          <cell r="A137" t="str">
            <v>APDH2.03321 HR_MySuccessNetwork</v>
          </cell>
          <cell r="B137" t="str">
            <v>001 / Projekt</v>
          </cell>
          <cell r="C137" t="str">
            <v>001 / Development</v>
          </cell>
          <cell r="D137" t="str"/>
          <cell r="E137">
            <v>43642</v>
          </cell>
          <cell r="F137" t="str">
            <v>06/2019</v>
          </cell>
          <cell r="G137" t="str">
            <v>Koechling, Gabriele</v>
          </cell>
          <cell r="H137" t="str">
            <v>Z000DTQL</v>
          </cell>
          <cell r="I137" t="str"/>
          <cell r="J137" t="str">
            <v>SOP IT APD HRS C07</v>
          </cell>
          <cell r="K137">
            <v>0.25</v>
          </cell>
          <cell r="L137">
            <v>22.5</v>
          </cell>
          <cell r="M137">
            <v>0</v>
          </cell>
          <cell r="N137" t="str"/>
          <cell r="O137" t="str"/>
          <cell r="P137" t="str">
            <v>X</v>
          </cell>
          <cell r="Q137" t="str"/>
          <cell r="R137" t="str">
            <v xml:space="preserve">MySN Daily
</v>
          </cell>
        </row>
        <row r="138">
          <cell r="A138" t="str">
            <v>APDH2.03321 HR_MySuccessNetwork</v>
          </cell>
          <cell r="B138" t="str">
            <v>001 / Projekt</v>
          </cell>
          <cell r="C138" t="str">
            <v>001 / Development</v>
          </cell>
          <cell r="D138" t="str"/>
          <cell r="E138">
            <v>43642</v>
          </cell>
          <cell r="F138" t="str">
            <v>06/2019</v>
          </cell>
          <cell r="G138" t="str">
            <v>Zak, Alexander</v>
          </cell>
          <cell r="H138" t="str">
            <v>Z001PMUV</v>
          </cell>
          <cell r="I138" t="str"/>
          <cell r="J138" t="str">
            <v>SOP IT APD HRS C06</v>
          </cell>
          <cell r="K138">
            <v>1</v>
          </cell>
          <cell r="L138">
            <v>105</v>
          </cell>
          <cell r="M138">
            <v>0</v>
          </cell>
          <cell r="N138" t="str"/>
          <cell r="O138" t="str"/>
          <cell r="P138" t="str">
            <v>X</v>
          </cell>
          <cell r="Q138" t="str"/>
          <cell r="R138" t="str"/>
        </row>
        <row r="139">
          <cell r="A139" t="str">
            <v>APDH2.03321 HR_MySuccessNetwork</v>
          </cell>
          <cell r="B139" t="str">
            <v>001 / Projekt</v>
          </cell>
          <cell r="C139" t="str">
            <v>001 / Development</v>
          </cell>
          <cell r="D139" t="str"/>
          <cell r="E139">
            <v>43642</v>
          </cell>
          <cell r="F139" t="str">
            <v>06/2019</v>
          </cell>
          <cell r="G139" t="str">
            <v>Bentfeld, Bastian</v>
          </cell>
          <cell r="H139" t="str">
            <v>Z0030UDK</v>
          </cell>
          <cell r="I139" t="str"/>
          <cell r="J139" t="str">
            <v>SOP IT APD HRS C07</v>
          </cell>
          <cell r="K139">
            <v>3</v>
          </cell>
          <cell r="L139">
            <v>270</v>
          </cell>
          <cell r="M139">
            <v>0</v>
          </cell>
          <cell r="N139" t="str"/>
          <cell r="O139" t="str"/>
          <cell r="P139" t="str">
            <v>X</v>
          </cell>
          <cell r="Q139" t="str"/>
          <cell r="R139" t="str"/>
        </row>
        <row r="140">
          <cell r="A140" t="str">
            <v>APDH2.03321 HR_MySuccessNetwork</v>
          </cell>
          <cell r="B140" t="str">
            <v>001 / Projekt</v>
          </cell>
          <cell r="C140" t="str">
            <v>001 / Development</v>
          </cell>
          <cell r="D140" t="str"/>
          <cell r="E140">
            <v>43643</v>
          </cell>
          <cell r="F140" t="str">
            <v>06/2019</v>
          </cell>
          <cell r="G140" t="str">
            <v>Koechling, Gabriele</v>
          </cell>
          <cell r="H140" t="str">
            <v>Z000DTQL</v>
          </cell>
          <cell r="I140" t="str"/>
          <cell r="J140" t="str">
            <v>SOP IT APD HRS C07</v>
          </cell>
          <cell r="K140">
            <v>1</v>
          </cell>
          <cell r="L140">
            <v>90</v>
          </cell>
          <cell r="M140">
            <v>0</v>
          </cell>
          <cell r="N140" t="str"/>
          <cell r="O140" t="str"/>
          <cell r="P140" t="str">
            <v>X</v>
          </cell>
          <cell r="Q140" t="str"/>
          <cell r="R140" t="str">
            <v xml:space="preserve">MySN Daily + mit dem Test von MySN-83 aus Sprint4 begonnen
</v>
          </cell>
        </row>
        <row r="141">
          <cell r="A141" t="str">
            <v>APDH2.03321 HR_MySuccessNetwork</v>
          </cell>
          <cell r="B141" t="str">
            <v>001 / Projekt</v>
          </cell>
          <cell r="C141" t="str">
            <v>001 / Development</v>
          </cell>
          <cell r="D141" t="str"/>
          <cell r="E141">
            <v>43643</v>
          </cell>
          <cell r="F141" t="str">
            <v>06/2019</v>
          </cell>
          <cell r="G141" t="str">
            <v>Speicher, Dominik</v>
          </cell>
          <cell r="H141" t="str">
            <v>Z001PE3B</v>
          </cell>
          <cell r="I141" t="str"/>
          <cell r="J141" t="str">
            <v>SOP IT APD HRS C07</v>
          </cell>
          <cell r="K141">
            <v>3.5</v>
          </cell>
          <cell r="L141">
            <v>315</v>
          </cell>
          <cell r="M141">
            <v>0</v>
          </cell>
          <cell r="N141" t="str"/>
          <cell r="O141" t="str"/>
          <cell r="P141" t="str">
            <v>X</v>
          </cell>
          <cell r="Q141" t="str"/>
          <cell r="R141" t="str"/>
        </row>
        <row r="142">
          <cell r="A142" t="str">
            <v>APDH2.03321 HR_MySuccessNetwork</v>
          </cell>
          <cell r="B142" t="str">
            <v>001 / Projekt</v>
          </cell>
          <cell r="C142" t="str">
            <v>001 / Development</v>
          </cell>
          <cell r="D142" t="str"/>
          <cell r="E142">
            <v>43643</v>
          </cell>
          <cell r="F142" t="str">
            <v>06/2019</v>
          </cell>
          <cell r="G142" t="str">
            <v>Zak, Alexander</v>
          </cell>
          <cell r="H142" t="str">
            <v>Z001PMUV</v>
          </cell>
          <cell r="I142" t="str"/>
          <cell r="J142" t="str">
            <v>SOP IT APD HRS C06</v>
          </cell>
          <cell r="K142">
            <v>1</v>
          </cell>
          <cell r="L142">
            <v>105</v>
          </cell>
          <cell r="M142">
            <v>0</v>
          </cell>
          <cell r="N142" t="str"/>
          <cell r="O142" t="str"/>
          <cell r="P142" t="str">
            <v>X</v>
          </cell>
          <cell r="Q142" t="str"/>
          <cell r="R142" t="str"/>
        </row>
        <row r="143">
          <cell r="A143" t="str">
            <v>APDH2.03321 HR_MySuccessNetwork</v>
          </cell>
          <cell r="B143" t="str">
            <v>001 / Projekt</v>
          </cell>
          <cell r="C143" t="str">
            <v>001 / Development</v>
          </cell>
          <cell r="D143" t="str"/>
          <cell r="E143">
            <v>43643</v>
          </cell>
          <cell r="F143" t="str">
            <v>06/2019</v>
          </cell>
          <cell r="G143" t="str">
            <v>Bentfeld, Bastian</v>
          </cell>
          <cell r="H143" t="str">
            <v>Z0030UDK</v>
          </cell>
          <cell r="I143" t="str"/>
          <cell r="J143" t="str">
            <v>SOP IT APD HRS C07</v>
          </cell>
          <cell r="K143">
            <v>6</v>
          </cell>
          <cell r="L143">
            <v>540</v>
          </cell>
          <cell r="M143">
            <v>0</v>
          </cell>
          <cell r="N143" t="str"/>
          <cell r="O143" t="str"/>
          <cell r="P143" t="str">
            <v>X</v>
          </cell>
          <cell r="Q143" t="str"/>
          <cell r="R143" t="str"/>
        </row>
        <row r="144">
          <cell r="A144" t="str">
            <v>APDH2.03321 HR_MySuccessNetwork</v>
          </cell>
          <cell r="B144" t="str">
            <v>001 / Projekt</v>
          </cell>
          <cell r="C144" t="str">
            <v>001 / Development</v>
          </cell>
          <cell r="D144" t="str"/>
          <cell r="E144">
            <v>43644</v>
          </cell>
          <cell r="F144" t="str">
            <v>06/2019</v>
          </cell>
          <cell r="G144" t="str">
            <v>Koechling, Gabriele</v>
          </cell>
          <cell r="H144" t="str">
            <v>Z000DTQL</v>
          </cell>
          <cell r="I144" t="str"/>
          <cell r="J144" t="str">
            <v>SOP IT APD HRS C07</v>
          </cell>
          <cell r="K144">
            <v>1</v>
          </cell>
          <cell r="L144">
            <v>90</v>
          </cell>
          <cell r="M144">
            <v>0</v>
          </cell>
          <cell r="N144" t="str"/>
          <cell r="O144" t="str"/>
          <cell r="P144" t="str">
            <v>X</v>
          </cell>
          <cell r="Q144" t="str"/>
          <cell r="R144" t="str">
            <v xml:space="preserve">MySN Daily + Test von MySN-83 aus Sprint4 erledigt
</v>
          </cell>
        </row>
        <row r="145">
          <cell r="A145" t="str">
            <v>APDH2.03321 HR_MySuccessNetwork</v>
          </cell>
          <cell r="B145" t="str">
            <v>001 / Projekt</v>
          </cell>
          <cell r="C145" t="str">
            <v>001 / Development</v>
          </cell>
          <cell r="D145" t="str"/>
          <cell r="E145">
            <v>43644</v>
          </cell>
          <cell r="F145" t="str">
            <v>06/2019</v>
          </cell>
          <cell r="G145" t="str">
            <v>Speicher, Dominik</v>
          </cell>
          <cell r="H145" t="str">
            <v>Z001PE3B</v>
          </cell>
          <cell r="I145" t="str"/>
          <cell r="J145" t="str">
            <v>SOP IT APD HRS C07</v>
          </cell>
          <cell r="K145">
            <v>6</v>
          </cell>
          <cell r="L145">
            <v>540</v>
          </cell>
          <cell r="M145">
            <v>0</v>
          </cell>
          <cell r="N145" t="str"/>
          <cell r="O145" t="str"/>
          <cell r="P145" t="str">
            <v>X</v>
          </cell>
          <cell r="Q145" t="str"/>
          <cell r="R145" t="str"/>
        </row>
        <row r="146">
          <cell r="A146" t="str">
            <v>APDH2.03321 HR_MySuccessNetwork</v>
          </cell>
          <cell r="B146" t="str">
            <v>001 / Projekt</v>
          </cell>
          <cell r="C146" t="str">
            <v>001 / Development</v>
          </cell>
          <cell r="D146" t="str"/>
          <cell r="E146">
            <v>43644</v>
          </cell>
          <cell r="F146" t="str">
            <v>06/2019</v>
          </cell>
          <cell r="G146" t="str">
            <v>Zak, Alexander</v>
          </cell>
          <cell r="H146" t="str">
            <v>Z001PMUV</v>
          </cell>
          <cell r="I146" t="str"/>
          <cell r="J146" t="str">
            <v>SOP IT APD HRS C06</v>
          </cell>
          <cell r="K146">
            <v>1</v>
          </cell>
          <cell r="L146">
            <v>105</v>
          </cell>
          <cell r="M146">
            <v>0</v>
          </cell>
          <cell r="N146" t="str"/>
          <cell r="O146" t="str"/>
          <cell r="P146" t="str">
            <v>X</v>
          </cell>
          <cell r="Q146" t="str"/>
          <cell r="R146" t="str"/>
        </row>
        <row r="147">
          <cell r="A147" t="str">
            <v>APDH2.03321 HR_MySuccessNetwork</v>
          </cell>
          <cell r="B147" t="str">
            <v>001 / Projekt</v>
          </cell>
          <cell r="C147" t="str">
            <v>001 / Development</v>
          </cell>
          <cell r="D147" t="str"/>
          <cell r="E147">
            <v>43644</v>
          </cell>
          <cell r="F147" t="str">
            <v>06/2019</v>
          </cell>
          <cell r="G147" t="str">
            <v>Bentfeld, Bastian</v>
          </cell>
          <cell r="H147" t="str">
            <v>Z0030UDK</v>
          </cell>
          <cell r="I147" t="str"/>
          <cell r="J147" t="str">
            <v>SOP IT APD HRS C07</v>
          </cell>
          <cell r="K147">
            <v>5</v>
          </cell>
          <cell r="L147">
            <v>450</v>
          </cell>
          <cell r="M147">
            <v>0</v>
          </cell>
          <cell r="N147" t="str"/>
          <cell r="O147" t="str"/>
          <cell r="P147" t="str">
            <v>X</v>
          </cell>
          <cell r="Q147" t="str"/>
          <cell r="R147" t="str"/>
        </row>
        <row r="148">
          <cell r="A148" t="str">
            <v>APDH2.03321 HR_MySuccessNetwork</v>
          </cell>
          <cell r="B148" t="str">
            <v>001 / Projekt</v>
          </cell>
          <cell r="C148" t="str">
            <v>001 / Development</v>
          </cell>
          <cell r="D148" t="str"/>
          <cell r="E148">
            <v>43645</v>
          </cell>
          <cell r="F148" t="str">
            <v>06/2019</v>
          </cell>
          <cell r="G148" t="str">
            <v>Steinfurth, Lars</v>
          </cell>
          <cell r="H148" t="str">
            <v>Z0007NAA</v>
          </cell>
          <cell r="I148" t="str"/>
          <cell r="J148" t="str">
            <v>SOP IT APD HRS C07</v>
          </cell>
          <cell r="K148">
            <v>0.5</v>
          </cell>
          <cell r="L148">
            <v>52.5</v>
          </cell>
          <cell r="M148">
            <v>0</v>
          </cell>
          <cell r="N148" t="str"/>
          <cell r="O148" t="str"/>
          <cell r="P148" t="str">
            <v>X</v>
          </cell>
          <cell r="Q148" t="str"/>
          <cell r="R148" t="str">
            <v>Nachb. 04.06
Mysn Kontextgenerierung / Analyse auto Migrator Problem</v>
          </cell>
        </row>
        <row r="149">
          <cell r="A149" t="str">
            <v>APDH2.03321 HR_MySuccessNetwork</v>
          </cell>
          <cell r="B149" t="str">
            <v>001 / Projekt</v>
          </cell>
          <cell r="C149" t="str">
            <v>001 / Development</v>
          </cell>
          <cell r="D149" t="str"/>
          <cell r="E149">
            <v>43646</v>
          </cell>
          <cell r="F149" t="str">
            <v>06/2019</v>
          </cell>
          <cell r="G149" t="str">
            <v>Steinfurth, Lars</v>
          </cell>
          <cell r="H149" t="str">
            <v>Z0007NAA</v>
          </cell>
          <cell r="I149" t="str"/>
          <cell r="J149" t="str">
            <v>SOP IT APD HRS C07</v>
          </cell>
          <cell r="K149">
            <v>0.5</v>
          </cell>
          <cell r="L149">
            <v>52.5</v>
          </cell>
          <cell r="M149">
            <v>0</v>
          </cell>
          <cell r="N149" t="str"/>
          <cell r="O149" t="str"/>
          <cell r="P149" t="str">
            <v>X</v>
          </cell>
          <cell r="Q149" t="str"/>
          <cell r="R149" t="str">
            <v>Nachb. 17.06
CES Konfiguration für MySuccessNetwork</v>
          </cell>
        </row>
        <row r="150">
          <cell r="A150" t="str">
            <v>APDH2.03321 HR_MySuccessNetwork</v>
          </cell>
          <cell r="B150" t="str">
            <v>001 / Projekt</v>
          </cell>
          <cell r="C150" t="str">
            <v>001 / Development</v>
          </cell>
          <cell r="D150" t="str"/>
          <cell r="E150">
            <v>43647</v>
          </cell>
          <cell r="F150" t="str">
            <v>07/2019</v>
          </cell>
          <cell r="G150" t="str">
            <v>Koechling, Gabriele</v>
          </cell>
          <cell r="H150" t="str">
            <v>Z000DTQL</v>
          </cell>
          <cell r="I150" t="str"/>
          <cell r="J150" t="str">
            <v>SOP IT APD HRS C07</v>
          </cell>
          <cell r="K150">
            <v>2.25</v>
          </cell>
          <cell r="L150">
            <v>202.5</v>
          </cell>
          <cell r="M150">
            <v>0</v>
          </cell>
          <cell r="N150" t="str"/>
          <cell r="O150" t="str"/>
          <cell r="P150" t="str">
            <v>X</v>
          </cell>
          <cell r="Q150" t="str"/>
          <cell r="R150" t="str">
            <v xml:space="preserve">MySN Daily + Test von MySN-347 aus Sprint5
</v>
          </cell>
        </row>
        <row r="151">
          <cell r="A151" t="str">
            <v>APDH2.03321 HR_MySuccessNetwork</v>
          </cell>
          <cell r="B151" t="str">
            <v>001 / Projekt</v>
          </cell>
          <cell r="C151" t="str">
            <v>001 / Development</v>
          </cell>
          <cell r="D151" t="str"/>
          <cell r="E151">
            <v>43647</v>
          </cell>
          <cell r="F151" t="str">
            <v>07/2019</v>
          </cell>
          <cell r="G151" t="str">
            <v>Zak, Alexander</v>
          </cell>
          <cell r="H151" t="str">
            <v>Z001PMUV</v>
          </cell>
          <cell r="I151" t="str"/>
          <cell r="J151" t="str">
            <v>SOP IT APD HRS C06</v>
          </cell>
          <cell r="K151">
            <v>1</v>
          </cell>
          <cell r="L151">
            <v>105</v>
          </cell>
          <cell r="M151">
            <v>0</v>
          </cell>
          <cell r="N151" t="str"/>
          <cell r="O151" t="str"/>
          <cell r="P151" t="str">
            <v>X</v>
          </cell>
          <cell r="Q151" t="str"/>
          <cell r="R151" t="str"/>
        </row>
        <row r="152">
          <cell r="A152" t="str">
            <v>APDH2.03321 HR_MySuccessNetwork</v>
          </cell>
          <cell r="B152" t="str">
            <v>001 / Projekt</v>
          </cell>
          <cell r="C152" t="str">
            <v>001 / Development</v>
          </cell>
          <cell r="D152" t="str"/>
          <cell r="E152">
            <v>43647</v>
          </cell>
          <cell r="F152" t="str">
            <v>07/2019</v>
          </cell>
          <cell r="G152" t="str">
            <v>Bentfeld, Bastian</v>
          </cell>
          <cell r="H152" t="str">
            <v>Z0030UDK</v>
          </cell>
          <cell r="I152" t="str"/>
          <cell r="J152" t="str">
            <v>SOP IT APD HRS C07</v>
          </cell>
          <cell r="K152">
            <v>6</v>
          </cell>
          <cell r="L152">
            <v>540</v>
          </cell>
          <cell r="M152">
            <v>0</v>
          </cell>
          <cell r="N152" t="str"/>
          <cell r="O152" t="str"/>
          <cell r="P152" t="str">
            <v>X</v>
          </cell>
          <cell r="Q152" t="str"/>
          <cell r="R152" t="str"/>
        </row>
        <row r="153">
          <cell r="A153" t="str">
            <v>APDH2.03321 HR_MySuccessNetwork</v>
          </cell>
          <cell r="B153" t="str">
            <v>001 / Projekt</v>
          </cell>
          <cell r="C153" t="str">
            <v>001 / Development</v>
          </cell>
          <cell r="D153" t="str"/>
          <cell r="E153">
            <v>43648</v>
          </cell>
          <cell r="F153" t="str">
            <v>07/2019</v>
          </cell>
          <cell r="G153" t="str">
            <v>Koechling, Gabriele</v>
          </cell>
          <cell r="H153" t="str">
            <v>Z000DTQL</v>
          </cell>
          <cell r="I153" t="str"/>
          <cell r="J153" t="str">
            <v>SOP IT APD HRS C07</v>
          </cell>
          <cell r="K153">
            <v>3</v>
          </cell>
          <cell r="L153">
            <v>270</v>
          </cell>
          <cell r="M153">
            <v>0</v>
          </cell>
          <cell r="N153" t="str"/>
          <cell r="O153" t="str"/>
          <cell r="P153" t="str">
            <v>X</v>
          </cell>
          <cell r="Q153" t="str"/>
          <cell r="R153" t="str">
            <v xml:space="preserve">MySN Daily + Test von MySN-346, -274 + -275 aus Sprint5 getestet und auf Done gesetzt
</v>
          </cell>
        </row>
        <row r="154">
          <cell r="A154" t="str">
            <v>APDH2.03321 HR_MySuccessNetwork</v>
          </cell>
          <cell r="B154" t="str">
            <v>001 / Projekt</v>
          </cell>
          <cell r="C154" t="str">
            <v>001 / Development</v>
          </cell>
          <cell r="D154" t="str"/>
          <cell r="E154">
            <v>43648</v>
          </cell>
          <cell r="F154" t="str">
            <v>07/2019</v>
          </cell>
          <cell r="G154" t="str">
            <v>Speicher, Dominik</v>
          </cell>
          <cell r="H154" t="str">
            <v>Z001PE3B</v>
          </cell>
          <cell r="I154" t="str"/>
          <cell r="J154" t="str">
            <v>SOP IT APD HRS C07</v>
          </cell>
          <cell r="K154">
            <v>3</v>
          </cell>
          <cell r="L154">
            <v>270</v>
          </cell>
          <cell r="M154">
            <v>0</v>
          </cell>
          <cell r="N154" t="str"/>
          <cell r="O154" t="str"/>
          <cell r="P154" t="str">
            <v>X</v>
          </cell>
          <cell r="Q154" t="str"/>
          <cell r="R154" t="str"/>
        </row>
        <row r="155">
          <cell r="A155" t="str">
            <v>APDH2.03321 HR_MySuccessNetwork</v>
          </cell>
          <cell r="B155" t="str">
            <v>001 / Projekt</v>
          </cell>
          <cell r="C155" t="str">
            <v>001 / Development</v>
          </cell>
          <cell r="D155" t="str"/>
          <cell r="E155">
            <v>43648</v>
          </cell>
          <cell r="F155" t="str">
            <v>07/2019</v>
          </cell>
          <cell r="G155" t="str">
            <v>Zak, Alexander</v>
          </cell>
          <cell r="H155" t="str">
            <v>Z001PMUV</v>
          </cell>
          <cell r="I155" t="str"/>
          <cell r="J155" t="str">
            <v>SOP IT APD HRS C06</v>
          </cell>
          <cell r="K155">
            <v>1</v>
          </cell>
          <cell r="L155">
            <v>105</v>
          </cell>
          <cell r="M155">
            <v>0</v>
          </cell>
          <cell r="N155" t="str"/>
          <cell r="O155" t="str"/>
          <cell r="P155" t="str">
            <v>X</v>
          </cell>
          <cell r="Q155" t="str"/>
          <cell r="R155" t="str"/>
        </row>
        <row r="156">
          <cell r="A156" t="str">
            <v>APDH2.03321 HR_MySuccessNetwork</v>
          </cell>
          <cell r="B156" t="str">
            <v>001 / Projekt</v>
          </cell>
          <cell r="C156" t="str">
            <v>001 / Development</v>
          </cell>
          <cell r="D156" t="str"/>
          <cell r="E156">
            <v>43648</v>
          </cell>
          <cell r="F156" t="str">
            <v>07/2019</v>
          </cell>
          <cell r="G156" t="str">
            <v>Bentfeld, Bastian</v>
          </cell>
          <cell r="H156" t="str">
            <v>Z0030UDK</v>
          </cell>
          <cell r="I156" t="str"/>
          <cell r="J156" t="str">
            <v>SOP IT APD HRS C07</v>
          </cell>
          <cell r="K156">
            <v>4</v>
          </cell>
          <cell r="L156">
            <v>360</v>
          </cell>
          <cell r="M156">
            <v>0</v>
          </cell>
          <cell r="N156" t="str"/>
          <cell r="O156" t="str"/>
          <cell r="P156" t="str">
            <v>X</v>
          </cell>
          <cell r="Q156" t="str"/>
          <cell r="R156" t="str"/>
        </row>
        <row r="157">
          <cell r="A157" t="str">
            <v>APDH2.03321 HR_MySuccessNetwork</v>
          </cell>
          <cell r="B157" t="str">
            <v>001 / Projekt</v>
          </cell>
          <cell r="C157" t="str">
            <v>001 / Development</v>
          </cell>
          <cell r="D157" t="str"/>
          <cell r="E157">
            <v>43648</v>
          </cell>
          <cell r="F157" t="str">
            <v>07/2019</v>
          </cell>
          <cell r="G157" t="str">
            <v>Koeller, Maximilian</v>
          </cell>
          <cell r="H157" t="str">
            <v>Z003DZ7J</v>
          </cell>
          <cell r="I157" t="str"/>
          <cell r="J157" t="str">
            <v>SOP IT APD HRS C07</v>
          </cell>
          <cell r="K157">
            <v>6</v>
          </cell>
          <cell r="L157">
            <v>390</v>
          </cell>
          <cell r="M157">
            <v>0</v>
          </cell>
          <cell r="N157" t="str"/>
          <cell r="O157" t="str"/>
          <cell r="P157" t="str">
            <v>X</v>
          </cell>
          <cell r="Q157" t="str"/>
          <cell r="R157" t="str"/>
        </row>
        <row r="158">
          <cell r="A158" t="str">
            <v>APDH2.03321 HR_MySuccessNetwork</v>
          </cell>
          <cell r="B158" t="str">
            <v>001 / Projekt</v>
          </cell>
          <cell r="C158" t="str">
            <v>001 / Development</v>
          </cell>
          <cell r="D158" t="str"/>
          <cell r="E158">
            <v>43649</v>
          </cell>
          <cell r="F158" t="str">
            <v>07/2019</v>
          </cell>
          <cell r="G158" t="str">
            <v>Koechling, Gabriele</v>
          </cell>
          <cell r="H158" t="str">
            <v>Z000DTQL</v>
          </cell>
          <cell r="I158" t="str"/>
          <cell r="J158" t="str">
            <v>SOP IT APD HRS C07</v>
          </cell>
          <cell r="K158">
            <v>0.25</v>
          </cell>
          <cell r="L158">
            <v>22.5</v>
          </cell>
          <cell r="M158">
            <v>0</v>
          </cell>
          <cell r="N158" t="str"/>
          <cell r="O158" t="str"/>
          <cell r="P158" t="str">
            <v>X</v>
          </cell>
          <cell r="Q158" t="str"/>
          <cell r="R158" t="str">
            <v xml:space="preserve">MySN Daily 
</v>
          </cell>
        </row>
        <row r="159">
          <cell r="A159" t="str">
            <v>APDH2.03321 HR_MySuccessNetwork</v>
          </cell>
          <cell r="B159" t="str">
            <v>001 / Projekt</v>
          </cell>
          <cell r="C159" t="str">
            <v>001 / Development</v>
          </cell>
          <cell r="D159" t="str"/>
          <cell r="E159">
            <v>43649</v>
          </cell>
          <cell r="F159" t="str">
            <v>07/2019</v>
          </cell>
          <cell r="G159" t="str">
            <v>Speicher, Dominik</v>
          </cell>
          <cell r="H159" t="str">
            <v>Z001PE3B</v>
          </cell>
          <cell r="I159" t="str"/>
          <cell r="J159" t="str">
            <v>SOP IT APD HRS C07</v>
          </cell>
          <cell r="K159">
            <v>2.5</v>
          </cell>
          <cell r="L159">
            <v>225</v>
          </cell>
          <cell r="M159">
            <v>0</v>
          </cell>
          <cell r="N159" t="str"/>
          <cell r="O159" t="str"/>
          <cell r="P159" t="str">
            <v>X</v>
          </cell>
          <cell r="Q159" t="str"/>
          <cell r="R159" t="str"/>
        </row>
        <row r="160">
          <cell r="A160" t="str">
            <v>APDH2.03321 HR_MySuccessNetwork</v>
          </cell>
          <cell r="B160" t="str">
            <v>001 / Projekt</v>
          </cell>
          <cell r="C160" t="str">
            <v>001 / Development</v>
          </cell>
          <cell r="D160" t="str"/>
          <cell r="E160">
            <v>43649</v>
          </cell>
          <cell r="F160" t="str">
            <v>07/2019</v>
          </cell>
          <cell r="G160" t="str">
            <v>Zak, Alexander</v>
          </cell>
          <cell r="H160" t="str">
            <v>Z001PMUV</v>
          </cell>
          <cell r="I160" t="str"/>
          <cell r="J160" t="str">
            <v>SOP IT APD HRS C06</v>
          </cell>
          <cell r="K160">
            <v>1</v>
          </cell>
          <cell r="L160">
            <v>105</v>
          </cell>
          <cell r="M160">
            <v>0</v>
          </cell>
          <cell r="N160" t="str"/>
          <cell r="O160" t="str"/>
          <cell r="P160" t="str">
            <v>X</v>
          </cell>
          <cell r="Q160" t="str"/>
          <cell r="R160" t="str"/>
        </row>
        <row r="161">
          <cell r="A161" t="str">
            <v>APDH2.03321 HR_MySuccessNetwork</v>
          </cell>
          <cell r="B161" t="str">
            <v>001 / Projekt</v>
          </cell>
          <cell r="C161" t="str">
            <v>001 / Development</v>
          </cell>
          <cell r="D161" t="str"/>
          <cell r="E161">
            <v>43649</v>
          </cell>
          <cell r="F161" t="str">
            <v>07/2019</v>
          </cell>
          <cell r="G161" t="str">
            <v>Bentfeld, Bastian</v>
          </cell>
          <cell r="H161" t="str">
            <v>Z0030UDK</v>
          </cell>
          <cell r="I161" t="str"/>
          <cell r="J161" t="str">
            <v>SOP IT APD HRS C07</v>
          </cell>
          <cell r="K161">
            <v>6</v>
          </cell>
          <cell r="L161">
            <v>540</v>
          </cell>
          <cell r="M161">
            <v>0</v>
          </cell>
          <cell r="N161" t="str"/>
          <cell r="O161" t="str"/>
          <cell r="P161" t="str">
            <v>X</v>
          </cell>
          <cell r="Q161" t="str"/>
          <cell r="R161" t="str"/>
        </row>
        <row r="162">
          <cell r="A162" t="str">
            <v>APDH2.03321 HR_MySuccessNetwork</v>
          </cell>
          <cell r="B162" t="str">
            <v>001 / Projekt</v>
          </cell>
          <cell r="C162" t="str">
            <v>001 / Development</v>
          </cell>
          <cell r="D162" t="str"/>
          <cell r="E162">
            <v>43649</v>
          </cell>
          <cell r="F162" t="str">
            <v>07/2019</v>
          </cell>
          <cell r="G162" t="str">
            <v>Koeller, Maximilian</v>
          </cell>
          <cell r="H162" t="str">
            <v>Z003DZ7J</v>
          </cell>
          <cell r="I162" t="str"/>
          <cell r="J162" t="str">
            <v>SOP IT APD HRS C07</v>
          </cell>
          <cell r="K162">
            <v>6</v>
          </cell>
          <cell r="L162">
            <v>390</v>
          </cell>
          <cell r="M162">
            <v>0</v>
          </cell>
          <cell r="N162" t="str"/>
          <cell r="O162" t="str"/>
          <cell r="P162" t="str">
            <v>X</v>
          </cell>
          <cell r="Q162" t="str"/>
          <cell r="R162" t="str"/>
        </row>
        <row r="163">
          <cell r="A163" t="str">
            <v>APDH2.03321 HR_MySuccessNetwork</v>
          </cell>
          <cell r="B163" t="str">
            <v>001 / Projekt</v>
          </cell>
          <cell r="C163" t="str">
            <v>001 / Development</v>
          </cell>
          <cell r="D163" t="str"/>
          <cell r="E163">
            <v>43650</v>
          </cell>
          <cell r="F163" t="str">
            <v>07/2019</v>
          </cell>
          <cell r="G163" t="str">
            <v>Koechling, Gabriele</v>
          </cell>
          <cell r="H163" t="str">
            <v>Z000DTQL</v>
          </cell>
          <cell r="I163" t="str"/>
          <cell r="J163" t="str">
            <v>SOP IT APD HRS C07</v>
          </cell>
          <cell r="K163">
            <v>0.75</v>
          </cell>
          <cell r="L163">
            <v>67.5</v>
          </cell>
          <cell r="M163">
            <v>0</v>
          </cell>
          <cell r="N163" t="str"/>
          <cell r="O163" t="str"/>
          <cell r="P163" t="str">
            <v>X</v>
          </cell>
          <cell r="Q163" t="str"/>
          <cell r="R163" t="str">
            <v xml:space="preserve">MySN Daily + Review
</v>
          </cell>
        </row>
        <row r="164">
          <cell r="A164" t="str">
            <v>APDH2.03321 HR_MySuccessNetwork</v>
          </cell>
          <cell r="B164" t="str">
            <v>001 / Projekt</v>
          </cell>
          <cell r="C164" t="str">
            <v>001 / Development</v>
          </cell>
          <cell r="D164" t="str"/>
          <cell r="E164">
            <v>43650</v>
          </cell>
          <cell r="F164" t="str">
            <v>07/2019</v>
          </cell>
          <cell r="G164" t="str">
            <v>Speicher, Dominik</v>
          </cell>
          <cell r="H164" t="str">
            <v>Z001PE3B</v>
          </cell>
          <cell r="I164" t="str"/>
          <cell r="J164" t="str">
            <v>SOP IT APD HRS C07</v>
          </cell>
          <cell r="K164">
            <v>0.5</v>
          </cell>
          <cell r="L164">
            <v>45</v>
          </cell>
          <cell r="M164">
            <v>0</v>
          </cell>
          <cell r="N164" t="str"/>
          <cell r="O164" t="str"/>
          <cell r="P164" t="str">
            <v>X</v>
          </cell>
          <cell r="Q164" t="str"/>
          <cell r="R164" t="str"/>
        </row>
        <row r="165">
          <cell r="A165" t="str">
            <v>APDH2.03321 HR_MySuccessNetwork</v>
          </cell>
          <cell r="B165" t="str">
            <v>001 / Projekt</v>
          </cell>
          <cell r="C165" t="str">
            <v>001 / Development</v>
          </cell>
          <cell r="D165" t="str"/>
          <cell r="E165">
            <v>43650</v>
          </cell>
          <cell r="F165" t="str">
            <v>07/2019</v>
          </cell>
          <cell r="G165" t="str">
            <v>Zak, Alexander</v>
          </cell>
          <cell r="H165" t="str">
            <v>Z001PMUV</v>
          </cell>
          <cell r="I165" t="str"/>
          <cell r="J165" t="str">
            <v>SOP IT APD HRS C06</v>
          </cell>
          <cell r="K165">
            <v>1</v>
          </cell>
          <cell r="L165">
            <v>105</v>
          </cell>
          <cell r="M165">
            <v>0</v>
          </cell>
          <cell r="N165" t="str"/>
          <cell r="O165" t="str"/>
          <cell r="P165" t="str">
            <v>X</v>
          </cell>
          <cell r="Q165" t="str"/>
          <cell r="R165" t="str"/>
        </row>
        <row r="166">
          <cell r="A166" t="str">
            <v>APDH2.03321 HR_MySuccessNetwork</v>
          </cell>
          <cell r="B166" t="str">
            <v>001 / Projekt</v>
          </cell>
          <cell r="C166" t="str">
            <v>001 / Development</v>
          </cell>
          <cell r="D166" t="str"/>
          <cell r="E166">
            <v>43650</v>
          </cell>
          <cell r="F166" t="str">
            <v>07/2019</v>
          </cell>
          <cell r="G166" t="str">
            <v>Bentfeld, Bastian</v>
          </cell>
          <cell r="H166" t="str">
            <v>Z0030UDK</v>
          </cell>
          <cell r="I166" t="str"/>
          <cell r="J166" t="str">
            <v>SOP IT APD HRS C07</v>
          </cell>
          <cell r="K166">
            <v>5</v>
          </cell>
          <cell r="L166">
            <v>450</v>
          </cell>
          <cell r="M166">
            <v>0</v>
          </cell>
          <cell r="N166" t="str"/>
          <cell r="O166" t="str"/>
          <cell r="P166" t="str">
            <v>X</v>
          </cell>
          <cell r="Q166" t="str"/>
          <cell r="R166" t="str"/>
        </row>
        <row r="167">
          <cell r="A167" t="str">
            <v>APDH2.03321 HR_MySuccessNetwork</v>
          </cell>
          <cell r="B167" t="str">
            <v>001 / Projekt</v>
          </cell>
          <cell r="C167" t="str">
            <v>001 / Development</v>
          </cell>
          <cell r="D167" t="str"/>
          <cell r="E167">
            <v>43650</v>
          </cell>
          <cell r="F167" t="str">
            <v>07/2019</v>
          </cell>
          <cell r="G167" t="str">
            <v>Koeller, Maximilian</v>
          </cell>
          <cell r="H167" t="str">
            <v>Z003DZ7J</v>
          </cell>
          <cell r="I167" t="str"/>
          <cell r="J167" t="str">
            <v>SOP IT APD HRS C07</v>
          </cell>
          <cell r="K167">
            <v>8.5</v>
          </cell>
          <cell r="L167">
            <v>552.5</v>
          </cell>
          <cell r="M167">
            <v>0</v>
          </cell>
          <cell r="N167" t="str"/>
          <cell r="O167" t="str"/>
          <cell r="P167" t="str">
            <v>X</v>
          </cell>
          <cell r="Q167" t="str"/>
          <cell r="R167" t="str"/>
        </row>
        <row r="168">
          <cell r="A168" t="str">
            <v>APDH2.03321 HR_MySuccessNetwork</v>
          </cell>
          <cell r="B168" t="str">
            <v>001 / Projekt</v>
          </cell>
          <cell r="C168" t="str">
            <v>001 / Development</v>
          </cell>
          <cell r="D168" t="str"/>
          <cell r="E168">
            <v>43651</v>
          </cell>
          <cell r="F168" t="str">
            <v>07/2019</v>
          </cell>
          <cell r="G168" t="str">
            <v>Koechling, Gabriele</v>
          </cell>
          <cell r="H168" t="str">
            <v>Z000DTQL</v>
          </cell>
          <cell r="I168" t="str"/>
          <cell r="J168" t="str">
            <v>SOP IT APD HRS C07</v>
          </cell>
          <cell r="K168">
            <v>2.5</v>
          </cell>
          <cell r="L168">
            <v>225</v>
          </cell>
          <cell r="M168">
            <v>0</v>
          </cell>
          <cell r="N168" t="str"/>
          <cell r="O168" t="str"/>
          <cell r="P168" t="str">
            <v>X</v>
          </cell>
          <cell r="Q168" t="str"/>
          <cell r="R168" t="str">
            <v xml:space="preserve">MySN Sprint 5 zu Ende getestet, Soft-PKI-User installiert, Rückspr. mit Entwicklern
</v>
          </cell>
        </row>
        <row r="169">
          <cell r="A169" t="str">
            <v>APDH2.03321 HR_MySuccessNetwork</v>
          </cell>
          <cell r="B169" t="str">
            <v>001 / Projekt</v>
          </cell>
          <cell r="C169" t="str">
            <v>001 / Development</v>
          </cell>
          <cell r="D169" t="str"/>
          <cell r="E169">
            <v>43651</v>
          </cell>
          <cell r="F169" t="str">
            <v>07/2019</v>
          </cell>
          <cell r="G169" t="str">
            <v>Speicher, Dominik</v>
          </cell>
          <cell r="H169" t="str">
            <v>Z001PE3B</v>
          </cell>
          <cell r="I169" t="str"/>
          <cell r="J169" t="str">
            <v>SOP IT APD HRS C07</v>
          </cell>
          <cell r="K169">
            <v>2</v>
          </cell>
          <cell r="L169">
            <v>180</v>
          </cell>
          <cell r="M169">
            <v>0</v>
          </cell>
          <cell r="N169" t="str"/>
          <cell r="O169" t="str"/>
          <cell r="P169" t="str">
            <v>X</v>
          </cell>
          <cell r="Q169" t="str"/>
          <cell r="R169" t="str"/>
        </row>
        <row r="170">
          <cell r="A170" t="str">
            <v>APDH2.03321 HR_MySuccessNetwork</v>
          </cell>
          <cell r="B170" t="str">
            <v>001 / Projekt</v>
          </cell>
          <cell r="C170" t="str">
            <v>001 / Development</v>
          </cell>
          <cell r="D170" t="str"/>
          <cell r="E170">
            <v>43651</v>
          </cell>
          <cell r="F170" t="str">
            <v>07/2019</v>
          </cell>
          <cell r="G170" t="str">
            <v>Zak, Alexander</v>
          </cell>
          <cell r="H170" t="str">
            <v>Z001PMUV</v>
          </cell>
          <cell r="I170" t="str"/>
          <cell r="J170" t="str">
            <v>SOP IT APD HRS C06</v>
          </cell>
          <cell r="K170">
            <v>1</v>
          </cell>
          <cell r="L170">
            <v>105</v>
          </cell>
          <cell r="M170">
            <v>0</v>
          </cell>
          <cell r="N170" t="str"/>
          <cell r="O170" t="str"/>
          <cell r="P170" t="str">
            <v>X</v>
          </cell>
          <cell r="Q170" t="str"/>
          <cell r="R170" t="str"/>
        </row>
        <row r="171">
          <cell r="A171" t="str">
            <v>APDH2.03321 HR_MySuccessNetwork</v>
          </cell>
          <cell r="B171" t="str">
            <v>001 / Projekt</v>
          </cell>
          <cell r="C171" t="str">
            <v>001 / Development</v>
          </cell>
          <cell r="D171" t="str"/>
          <cell r="E171">
            <v>43651</v>
          </cell>
          <cell r="F171" t="str">
            <v>07/2019</v>
          </cell>
          <cell r="G171" t="str">
            <v>Bentfeld, Bastian</v>
          </cell>
          <cell r="H171" t="str">
            <v>Z0030UDK</v>
          </cell>
          <cell r="I171" t="str"/>
          <cell r="J171" t="str">
            <v>SOP IT APD HRS C07</v>
          </cell>
          <cell r="K171">
            <v>6</v>
          </cell>
          <cell r="L171">
            <v>540</v>
          </cell>
          <cell r="M171">
            <v>0</v>
          </cell>
          <cell r="N171" t="str"/>
          <cell r="O171" t="str"/>
          <cell r="P171" t="str">
            <v>X</v>
          </cell>
          <cell r="Q171" t="str"/>
          <cell r="R171" t="str"/>
        </row>
        <row r="172">
          <cell r="A172" t="str">
            <v>APDH2.03321 HR_MySuccessNetwork</v>
          </cell>
          <cell r="B172" t="str">
            <v>001 / Projekt</v>
          </cell>
          <cell r="C172" t="str">
            <v>001 / Development</v>
          </cell>
          <cell r="D172" t="str"/>
          <cell r="E172">
            <v>43654</v>
          </cell>
          <cell r="F172" t="str">
            <v>07/2019</v>
          </cell>
          <cell r="G172" t="str">
            <v>Koechling, Gabriele</v>
          </cell>
          <cell r="H172" t="str">
            <v>Z000DTQL</v>
          </cell>
          <cell r="I172" t="str"/>
          <cell r="J172" t="str">
            <v>SOP IT APD HRS C07</v>
          </cell>
          <cell r="K172">
            <v>0.5</v>
          </cell>
          <cell r="L172">
            <v>45</v>
          </cell>
          <cell r="M172">
            <v>0</v>
          </cell>
          <cell r="N172" t="str"/>
          <cell r="O172" t="str"/>
          <cell r="P172" t="str">
            <v>X</v>
          </cell>
          <cell r="Q172" t="str"/>
          <cell r="R172" t="str">
            <v xml:space="preserve">MySN Daily, ToDos für Sprint 6 angeschaut
</v>
          </cell>
        </row>
        <row r="173">
          <cell r="A173" t="str">
            <v>APDH2.03321 HR_MySuccessNetwork</v>
          </cell>
          <cell r="B173" t="str">
            <v>001 / Projekt</v>
          </cell>
          <cell r="C173" t="str">
            <v>001 / Development</v>
          </cell>
          <cell r="D173" t="str"/>
          <cell r="E173">
            <v>43654</v>
          </cell>
          <cell r="F173" t="str">
            <v>07/2019</v>
          </cell>
          <cell r="G173" t="str">
            <v>Zak, Alexander</v>
          </cell>
          <cell r="H173" t="str">
            <v>Z001PMUV</v>
          </cell>
          <cell r="I173" t="str"/>
          <cell r="J173" t="str">
            <v>SOP IT APD HRS C06</v>
          </cell>
          <cell r="K173">
            <v>1</v>
          </cell>
          <cell r="L173">
            <v>105</v>
          </cell>
          <cell r="M173">
            <v>0</v>
          </cell>
          <cell r="N173" t="str"/>
          <cell r="O173" t="str"/>
          <cell r="P173" t="str">
            <v>X</v>
          </cell>
          <cell r="Q173" t="str"/>
          <cell r="R173" t="str"/>
        </row>
        <row r="174">
          <cell r="A174" t="str">
            <v>APDH2.03321 HR_MySuccessNetwork</v>
          </cell>
          <cell r="B174" t="str">
            <v>001 / Projekt</v>
          </cell>
          <cell r="C174" t="str">
            <v>001 / Development</v>
          </cell>
          <cell r="D174" t="str"/>
          <cell r="E174">
            <v>43654</v>
          </cell>
          <cell r="F174" t="str">
            <v>07/2019</v>
          </cell>
          <cell r="G174" t="str">
            <v>Bentfeld, Bastian</v>
          </cell>
          <cell r="H174" t="str">
            <v>Z0030UDK</v>
          </cell>
          <cell r="I174" t="str"/>
          <cell r="J174" t="str">
            <v>SOP IT APD HRS C07</v>
          </cell>
          <cell r="K174">
            <v>3</v>
          </cell>
          <cell r="L174">
            <v>270</v>
          </cell>
          <cell r="M174">
            <v>0</v>
          </cell>
          <cell r="N174" t="str"/>
          <cell r="O174" t="str"/>
          <cell r="P174" t="str">
            <v>X</v>
          </cell>
          <cell r="Q174" t="str"/>
          <cell r="R174" t="str"/>
        </row>
        <row r="175">
          <cell r="A175" t="str">
            <v>APDH2.03321 HR_MySuccessNetwork</v>
          </cell>
          <cell r="B175" t="str">
            <v>001 / Projekt</v>
          </cell>
          <cell r="C175" t="str">
            <v>001 / Development</v>
          </cell>
          <cell r="D175" t="str"/>
          <cell r="E175">
            <v>43654</v>
          </cell>
          <cell r="F175" t="str">
            <v>07/2019</v>
          </cell>
          <cell r="G175" t="str">
            <v>Koeller, Maximilian</v>
          </cell>
          <cell r="H175" t="str">
            <v>Z003DZ7J</v>
          </cell>
          <cell r="I175" t="str"/>
          <cell r="J175" t="str">
            <v>SOP IT APD HRS C07</v>
          </cell>
          <cell r="K175">
            <v>7.2</v>
          </cell>
          <cell r="L175">
            <v>468</v>
          </cell>
          <cell r="M175">
            <v>0</v>
          </cell>
          <cell r="N175" t="str"/>
          <cell r="O175" t="str"/>
          <cell r="P175" t="str">
            <v>X</v>
          </cell>
          <cell r="Q175" t="str"/>
          <cell r="R175" t="str"/>
        </row>
        <row r="176">
          <cell r="A176" t="str">
            <v>APDH2.03321 HR_MySuccessNetwork</v>
          </cell>
          <cell r="B176" t="str">
            <v>001 / Projekt</v>
          </cell>
          <cell r="C176" t="str">
            <v>001 / Development</v>
          </cell>
          <cell r="D176" t="str"/>
          <cell r="E176">
            <v>43655</v>
          </cell>
          <cell r="F176" t="str">
            <v>07/2019</v>
          </cell>
          <cell r="G176" t="str">
            <v>Koechling, Gabriele</v>
          </cell>
          <cell r="H176" t="str">
            <v>Z000DTQL</v>
          </cell>
          <cell r="I176" t="str"/>
          <cell r="J176" t="str">
            <v>SOP IT APD HRS C07</v>
          </cell>
          <cell r="K176">
            <v>0.5</v>
          </cell>
          <cell r="L176">
            <v>45</v>
          </cell>
          <cell r="M176">
            <v>0</v>
          </cell>
          <cell r="N176" t="str"/>
          <cell r="O176" t="str"/>
          <cell r="P176" t="str">
            <v>X</v>
          </cell>
          <cell r="Q176" t="str"/>
          <cell r="R176" t="str">
            <v xml:space="preserve">MySN Daily, Prüfung von Ingos Fehler mit fehlendem Edit-Button
</v>
          </cell>
        </row>
        <row r="177">
          <cell r="A177" t="str">
            <v>APDH2.03321 HR_MySuccessNetwork</v>
          </cell>
          <cell r="B177" t="str">
            <v>001 / Projekt</v>
          </cell>
          <cell r="C177" t="str">
            <v>001 / Development</v>
          </cell>
          <cell r="D177" t="str"/>
          <cell r="E177">
            <v>43655</v>
          </cell>
          <cell r="F177" t="str">
            <v>07/2019</v>
          </cell>
          <cell r="G177" t="str">
            <v>Zak, Alexander</v>
          </cell>
          <cell r="H177" t="str">
            <v>Z001PMUV</v>
          </cell>
          <cell r="I177" t="str"/>
          <cell r="J177" t="str">
            <v>SOP IT APD HRS C06</v>
          </cell>
          <cell r="K177">
            <v>1</v>
          </cell>
          <cell r="L177">
            <v>105</v>
          </cell>
          <cell r="M177">
            <v>0</v>
          </cell>
          <cell r="N177" t="str"/>
          <cell r="O177" t="str"/>
          <cell r="P177" t="str">
            <v>X</v>
          </cell>
          <cell r="Q177" t="str"/>
          <cell r="R177" t="str"/>
        </row>
        <row r="178">
          <cell r="A178" t="str">
            <v>APDH2.03321 HR_MySuccessNetwork</v>
          </cell>
          <cell r="B178" t="str">
            <v>001 / Projekt</v>
          </cell>
          <cell r="C178" t="str">
            <v>001 / Development</v>
          </cell>
          <cell r="D178" t="str"/>
          <cell r="E178">
            <v>43655</v>
          </cell>
          <cell r="F178" t="str">
            <v>07/2019</v>
          </cell>
          <cell r="G178" t="str">
            <v>Bentfeld, Bastian</v>
          </cell>
          <cell r="H178" t="str">
            <v>Z0030UDK</v>
          </cell>
          <cell r="I178" t="str"/>
          <cell r="J178" t="str">
            <v>SOP IT APD HRS C07</v>
          </cell>
          <cell r="K178">
            <v>3</v>
          </cell>
          <cell r="L178">
            <v>270</v>
          </cell>
          <cell r="M178">
            <v>0</v>
          </cell>
          <cell r="N178" t="str"/>
          <cell r="O178" t="str"/>
          <cell r="P178" t="str">
            <v>X</v>
          </cell>
          <cell r="Q178" t="str"/>
          <cell r="R178" t="str"/>
        </row>
        <row r="179">
          <cell r="A179" t="str">
            <v>APDH2.03321 HR_MySuccessNetwork</v>
          </cell>
          <cell r="B179" t="str">
            <v>001 / Projekt</v>
          </cell>
          <cell r="C179" t="str">
            <v>001 / Development</v>
          </cell>
          <cell r="D179" t="str"/>
          <cell r="E179">
            <v>43656</v>
          </cell>
          <cell r="F179" t="str">
            <v>07/2019</v>
          </cell>
          <cell r="G179" t="str">
            <v>Zak, Alexander</v>
          </cell>
          <cell r="H179" t="str">
            <v>Z001PMUV</v>
          </cell>
          <cell r="I179" t="str"/>
          <cell r="J179" t="str">
            <v>SOP IT APD HRS C06</v>
          </cell>
          <cell r="K179">
            <v>1</v>
          </cell>
          <cell r="L179">
            <v>105</v>
          </cell>
          <cell r="M179">
            <v>0</v>
          </cell>
          <cell r="N179" t="str"/>
          <cell r="O179" t="str"/>
          <cell r="P179" t="str">
            <v>X</v>
          </cell>
          <cell r="Q179" t="str"/>
          <cell r="R179" t="str"/>
        </row>
        <row r="180">
          <cell r="A180" t="str">
            <v>APDH2.03321 HR_MySuccessNetwork</v>
          </cell>
          <cell r="B180" t="str">
            <v>001 / Projekt</v>
          </cell>
          <cell r="C180" t="str">
            <v>001 / Development</v>
          </cell>
          <cell r="D180" t="str"/>
          <cell r="E180">
            <v>43656</v>
          </cell>
          <cell r="F180" t="str">
            <v>07/2019</v>
          </cell>
          <cell r="G180" t="str">
            <v>Bentfeld, Bastian</v>
          </cell>
          <cell r="H180" t="str">
            <v>Z0030UDK</v>
          </cell>
          <cell r="I180" t="str"/>
          <cell r="J180" t="str">
            <v>SOP IT APD HRS C07</v>
          </cell>
          <cell r="K180">
            <v>3</v>
          </cell>
          <cell r="L180">
            <v>270</v>
          </cell>
          <cell r="M180">
            <v>0</v>
          </cell>
          <cell r="N180" t="str"/>
          <cell r="O180" t="str"/>
          <cell r="P180" t="str">
            <v>X</v>
          </cell>
          <cell r="Q180" t="str"/>
          <cell r="R180" t="str"/>
        </row>
        <row r="181">
          <cell r="A181" t="str">
            <v>APDH2.03321 HR_MySuccessNetwork</v>
          </cell>
          <cell r="B181" t="str">
            <v>001 / Projekt</v>
          </cell>
          <cell r="C181" t="str">
            <v>001 / Development</v>
          </cell>
          <cell r="D181" t="str"/>
          <cell r="E181">
            <v>43656</v>
          </cell>
          <cell r="F181" t="str">
            <v>07/2019</v>
          </cell>
          <cell r="G181" t="str">
            <v>Koeller, Maximilian</v>
          </cell>
          <cell r="H181" t="str">
            <v>Z003DZ7J</v>
          </cell>
          <cell r="I181" t="str"/>
          <cell r="J181" t="str">
            <v>SOP IT APD HRS C07</v>
          </cell>
          <cell r="K181">
            <v>7.1</v>
          </cell>
          <cell r="L181">
            <v>461.5</v>
          </cell>
          <cell r="M181">
            <v>0</v>
          </cell>
          <cell r="N181" t="str"/>
          <cell r="O181" t="str"/>
          <cell r="P181" t="str">
            <v>X</v>
          </cell>
          <cell r="Q181" t="str"/>
          <cell r="R181" t="str"/>
        </row>
        <row r="182">
          <cell r="A182" t="str">
            <v>APDH2.03321 HR_MySuccessNetwork</v>
          </cell>
          <cell r="B182" t="str">
            <v>001 / Projekt</v>
          </cell>
          <cell r="C182" t="str">
            <v>001 / Development</v>
          </cell>
          <cell r="D182" t="str"/>
          <cell r="E182">
            <v>43657</v>
          </cell>
          <cell r="F182" t="str">
            <v>07/2019</v>
          </cell>
          <cell r="G182" t="str">
            <v>Speicher, Dominik</v>
          </cell>
          <cell r="H182" t="str">
            <v>Z001PE3B</v>
          </cell>
          <cell r="I182" t="str"/>
          <cell r="J182" t="str">
            <v>SOP IT APD HRS C07</v>
          </cell>
          <cell r="K182">
            <v>4</v>
          </cell>
          <cell r="L182">
            <v>360</v>
          </cell>
          <cell r="M182">
            <v>0</v>
          </cell>
          <cell r="N182" t="str"/>
          <cell r="O182" t="str"/>
          <cell r="P182" t="str">
            <v>X</v>
          </cell>
          <cell r="Q182" t="str"/>
          <cell r="R182" t="str"/>
        </row>
        <row r="183">
          <cell r="A183" t="str">
            <v>APDH2.03321 HR_MySuccessNetwork</v>
          </cell>
          <cell r="B183" t="str">
            <v>001 / Projekt</v>
          </cell>
          <cell r="C183" t="str">
            <v>001 / Development</v>
          </cell>
          <cell r="D183" t="str"/>
          <cell r="E183">
            <v>43657</v>
          </cell>
          <cell r="F183" t="str">
            <v>07/2019</v>
          </cell>
          <cell r="G183" t="str">
            <v>Zak, Alexander</v>
          </cell>
          <cell r="H183" t="str">
            <v>Z001PMUV</v>
          </cell>
          <cell r="I183" t="str"/>
          <cell r="J183" t="str">
            <v>SOP IT APD HRS C06</v>
          </cell>
          <cell r="K183">
            <v>1</v>
          </cell>
          <cell r="L183">
            <v>105</v>
          </cell>
          <cell r="M183">
            <v>0</v>
          </cell>
          <cell r="N183" t="str"/>
          <cell r="O183" t="str"/>
          <cell r="P183" t="str">
            <v>X</v>
          </cell>
          <cell r="Q183" t="str"/>
          <cell r="R183" t="str"/>
        </row>
        <row r="184">
          <cell r="A184" t="str">
            <v>APDH2.03321 HR_MySuccessNetwork</v>
          </cell>
          <cell r="B184" t="str">
            <v>001 / Projekt</v>
          </cell>
          <cell r="C184" t="str">
            <v>001 / Development</v>
          </cell>
          <cell r="D184" t="str"/>
          <cell r="E184">
            <v>43657</v>
          </cell>
          <cell r="F184" t="str">
            <v>07/2019</v>
          </cell>
          <cell r="G184" t="str">
            <v>Bentfeld, Bastian</v>
          </cell>
          <cell r="H184" t="str">
            <v>Z0030UDK</v>
          </cell>
          <cell r="I184" t="str"/>
          <cell r="J184" t="str">
            <v>SOP IT APD HRS C07</v>
          </cell>
          <cell r="K184">
            <v>4</v>
          </cell>
          <cell r="L184">
            <v>360</v>
          </cell>
          <cell r="M184">
            <v>0</v>
          </cell>
          <cell r="N184" t="str"/>
          <cell r="O184" t="str"/>
          <cell r="P184" t="str">
            <v>X</v>
          </cell>
          <cell r="Q184" t="str"/>
          <cell r="R184" t="str"/>
        </row>
        <row r="185">
          <cell r="A185" t="str">
            <v>APDH2.03321 HR_MySuccessNetwork</v>
          </cell>
          <cell r="B185" t="str">
            <v>001 / Projekt</v>
          </cell>
          <cell r="C185" t="str">
            <v>001 / Development</v>
          </cell>
          <cell r="D185" t="str"/>
          <cell r="E185">
            <v>43658</v>
          </cell>
          <cell r="F185" t="str">
            <v>07/2019</v>
          </cell>
          <cell r="G185" t="str">
            <v>Speicher, Dominik</v>
          </cell>
          <cell r="H185" t="str">
            <v>Z001PE3B</v>
          </cell>
          <cell r="I185" t="str"/>
          <cell r="J185" t="str">
            <v>SOP IT APD HRS C07</v>
          </cell>
          <cell r="K185">
            <v>4</v>
          </cell>
          <cell r="L185">
            <v>360</v>
          </cell>
          <cell r="M185">
            <v>0</v>
          </cell>
          <cell r="N185" t="str"/>
          <cell r="O185" t="str"/>
          <cell r="P185" t="str">
            <v>X</v>
          </cell>
          <cell r="Q185" t="str"/>
          <cell r="R185" t="str"/>
        </row>
        <row r="186">
          <cell r="A186" t="str">
            <v>APDH2.03321 HR_MySuccessNetwork</v>
          </cell>
          <cell r="B186" t="str">
            <v>001 / Projekt</v>
          </cell>
          <cell r="C186" t="str">
            <v>001 / Development</v>
          </cell>
          <cell r="D186" t="str"/>
          <cell r="E186">
            <v>43658</v>
          </cell>
          <cell r="F186" t="str">
            <v>07/2019</v>
          </cell>
          <cell r="G186" t="str">
            <v>Zak, Alexander</v>
          </cell>
          <cell r="H186" t="str">
            <v>Z001PMUV</v>
          </cell>
          <cell r="I186" t="str"/>
          <cell r="J186" t="str">
            <v>SOP IT APD HRS C06</v>
          </cell>
          <cell r="K186">
            <v>1</v>
          </cell>
          <cell r="L186">
            <v>105</v>
          </cell>
          <cell r="M186">
            <v>0</v>
          </cell>
          <cell r="N186" t="str"/>
          <cell r="O186" t="str"/>
          <cell r="P186" t="str">
            <v>X</v>
          </cell>
          <cell r="Q186" t="str"/>
          <cell r="R186" t="str"/>
        </row>
        <row r="187">
          <cell r="A187" t="str">
            <v>APDH2.03321 HR_MySuccessNetwork</v>
          </cell>
          <cell r="B187" t="str">
            <v>001 / Projekt</v>
          </cell>
          <cell r="C187" t="str">
            <v>001 / Development</v>
          </cell>
          <cell r="D187" t="str"/>
          <cell r="E187">
            <v>43658</v>
          </cell>
          <cell r="F187" t="str">
            <v>07/2019</v>
          </cell>
          <cell r="G187" t="str">
            <v>Bentfeld, Bastian</v>
          </cell>
          <cell r="H187" t="str">
            <v>Z0030UDK</v>
          </cell>
          <cell r="I187" t="str"/>
          <cell r="J187" t="str">
            <v>SOP IT APD HRS C07</v>
          </cell>
          <cell r="K187">
            <v>5</v>
          </cell>
          <cell r="L187">
            <v>450</v>
          </cell>
          <cell r="M187">
            <v>0</v>
          </cell>
          <cell r="N187" t="str"/>
          <cell r="O187" t="str"/>
          <cell r="P187" t="str">
            <v>X</v>
          </cell>
          <cell r="Q187" t="str"/>
          <cell r="R187" t="str"/>
        </row>
        <row r="188">
          <cell r="A188" t="str">
            <v>APDH2.03321 HR_MySuccessNetwork</v>
          </cell>
          <cell r="B188" t="str">
            <v>001 / Projekt</v>
          </cell>
          <cell r="C188" t="str">
            <v>001 / Development</v>
          </cell>
          <cell r="D188" t="str"/>
          <cell r="E188">
            <v>43658</v>
          </cell>
          <cell r="F188" t="str">
            <v>07/2019</v>
          </cell>
          <cell r="G188" t="str">
            <v>Koeller, Maximilian</v>
          </cell>
          <cell r="H188" t="str">
            <v>Z003DZ7J</v>
          </cell>
          <cell r="I188" t="str"/>
          <cell r="J188" t="str">
            <v>SOP IT APD HRS C07</v>
          </cell>
          <cell r="K188">
            <v>8.35</v>
          </cell>
          <cell r="L188">
            <v>542.75</v>
          </cell>
          <cell r="M188">
            <v>0</v>
          </cell>
          <cell r="N188" t="str"/>
          <cell r="O188" t="str"/>
          <cell r="P188" t="str">
            <v>X</v>
          </cell>
          <cell r="Q188" t="str"/>
          <cell r="R188" t="str"/>
        </row>
        <row r="189">
          <cell r="A189" t="str">
            <v>APDH2.03321 HR_MySuccessNetwork</v>
          </cell>
          <cell r="B189" t="str">
            <v>001 / Projekt</v>
          </cell>
          <cell r="C189" t="str">
            <v>001 / Development</v>
          </cell>
          <cell r="D189" t="str"/>
          <cell r="E189">
            <v>43661</v>
          </cell>
          <cell r="F189" t="str">
            <v>07/2019</v>
          </cell>
          <cell r="G189" t="str">
            <v>Zak, Alexander</v>
          </cell>
          <cell r="H189" t="str">
            <v>Z001PMUV</v>
          </cell>
          <cell r="I189" t="str"/>
          <cell r="J189" t="str">
            <v>SOP IT APD HRS C06</v>
          </cell>
          <cell r="K189">
            <v>1</v>
          </cell>
          <cell r="L189">
            <v>105</v>
          </cell>
          <cell r="M189">
            <v>0</v>
          </cell>
          <cell r="N189" t="str"/>
          <cell r="O189" t="str"/>
          <cell r="P189" t="str">
            <v>X</v>
          </cell>
          <cell r="Q189" t="str"/>
          <cell r="R189" t="str"/>
        </row>
        <row r="190">
          <cell r="A190" t="str">
            <v>APDH2.03321 HR_MySuccessNetwork</v>
          </cell>
          <cell r="B190" t="str">
            <v>001 / Projekt</v>
          </cell>
          <cell r="C190" t="str">
            <v>001 / Development</v>
          </cell>
          <cell r="D190" t="str"/>
          <cell r="E190">
            <v>43661</v>
          </cell>
          <cell r="F190" t="str">
            <v>07/2019</v>
          </cell>
          <cell r="G190" t="str">
            <v>Bentfeld, Bastian</v>
          </cell>
          <cell r="H190" t="str">
            <v>Z0030UDK</v>
          </cell>
          <cell r="I190" t="str"/>
          <cell r="J190" t="str">
            <v>SOP IT APD HRS C07</v>
          </cell>
          <cell r="K190">
            <v>4</v>
          </cell>
          <cell r="L190">
            <v>360</v>
          </cell>
          <cell r="M190">
            <v>0</v>
          </cell>
          <cell r="N190" t="str"/>
          <cell r="O190" t="str"/>
          <cell r="P190" t="str">
            <v>X</v>
          </cell>
          <cell r="Q190" t="str"/>
          <cell r="R190" t="str"/>
        </row>
        <row r="191">
          <cell r="A191" t="str">
            <v>APDH2.03321 HR_MySuccessNetwork</v>
          </cell>
          <cell r="B191" t="str">
            <v>001 / Projekt</v>
          </cell>
          <cell r="C191" t="str">
            <v>001 / Development</v>
          </cell>
          <cell r="D191" t="str"/>
          <cell r="E191">
            <v>43661</v>
          </cell>
          <cell r="F191" t="str">
            <v>07/2019</v>
          </cell>
          <cell r="G191" t="str">
            <v>Koeller, Maximilian</v>
          </cell>
          <cell r="H191" t="str">
            <v>Z003DZ7J</v>
          </cell>
          <cell r="I191" t="str"/>
          <cell r="J191" t="str">
            <v>SOP IT APD HRS C07</v>
          </cell>
          <cell r="K191">
            <v>8.25</v>
          </cell>
          <cell r="L191">
            <v>536.25</v>
          </cell>
          <cell r="M191">
            <v>0</v>
          </cell>
          <cell r="N191" t="str"/>
          <cell r="O191" t="str"/>
          <cell r="P191" t="str">
            <v>X</v>
          </cell>
          <cell r="Q191" t="str"/>
          <cell r="R191" t="str"/>
        </row>
        <row r="192">
          <cell r="A192" t="str">
            <v>APDH2.03321 HR_MySuccessNetwork</v>
          </cell>
          <cell r="B192" t="str">
            <v>001 / Projekt</v>
          </cell>
          <cell r="C192" t="str">
            <v>001 / Development</v>
          </cell>
          <cell r="D192" t="str"/>
          <cell r="E192">
            <v>43662</v>
          </cell>
          <cell r="F192" t="str">
            <v>07/2019</v>
          </cell>
          <cell r="G192" t="str">
            <v>Speicher, Dominik</v>
          </cell>
          <cell r="H192" t="str">
            <v>Z001PE3B</v>
          </cell>
          <cell r="I192" t="str"/>
          <cell r="J192" t="str">
            <v>SOP IT APD HRS C07</v>
          </cell>
          <cell r="K192">
            <v>3</v>
          </cell>
          <cell r="L192">
            <v>270</v>
          </cell>
          <cell r="M192">
            <v>0</v>
          </cell>
          <cell r="N192" t="str"/>
          <cell r="O192" t="str"/>
          <cell r="P192" t="str">
            <v>X</v>
          </cell>
          <cell r="Q192" t="str"/>
          <cell r="R192" t="str"/>
        </row>
        <row r="193">
          <cell r="A193" t="str">
            <v>APDH2.03321 HR_MySuccessNetwork</v>
          </cell>
          <cell r="B193" t="str">
            <v>001 / Projekt</v>
          </cell>
          <cell r="C193" t="str">
            <v>001 / Development</v>
          </cell>
          <cell r="D193" t="str"/>
          <cell r="E193">
            <v>43662</v>
          </cell>
          <cell r="F193" t="str">
            <v>07/2019</v>
          </cell>
          <cell r="G193" t="str">
            <v>Zak, Alexander</v>
          </cell>
          <cell r="H193" t="str">
            <v>Z001PMUV</v>
          </cell>
          <cell r="I193" t="str"/>
          <cell r="J193" t="str">
            <v>SOP IT APD HRS C06</v>
          </cell>
          <cell r="K193">
            <v>1</v>
          </cell>
          <cell r="L193">
            <v>105</v>
          </cell>
          <cell r="M193">
            <v>0</v>
          </cell>
          <cell r="N193" t="str"/>
          <cell r="O193" t="str"/>
          <cell r="P193" t="str">
            <v>X</v>
          </cell>
          <cell r="Q193" t="str"/>
          <cell r="R193" t="str"/>
        </row>
        <row r="194">
          <cell r="A194" t="str">
            <v>APDH2.03321 HR_MySuccessNetwork</v>
          </cell>
          <cell r="B194" t="str">
            <v>001 / Projekt</v>
          </cell>
          <cell r="C194" t="str">
            <v>001 / Development</v>
          </cell>
          <cell r="D194" t="str"/>
          <cell r="E194">
            <v>43662</v>
          </cell>
          <cell r="F194" t="str">
            <v>07/2019</v>
          </cell>
          <cell r="G194" t="str">
            <v>Bentfeld, Bastian</v>
          </cell>
          <cell r="H194" t="str">
            <v>Z0030UDK</v>
          </cell>
          <cell r="I194" t="str"/>
          <cell r="J194" t="str">
            <v>SOP IT APD HRS C07</v>
          </cell>
          <cell r="K194">
            <v>3</v>
          </cell>
          <cell r="L194">
            <v>270</v>
          </cell>
          <cell r="M194">
            <v>0</v>
          </cell>
          <cell r="N194" t="str"/>
          <cell r="O194" t="str"/>
          <cell r="P194" t="str">
            <v>X</v>
          </cell>
          <cell r="Q194" t="str"/>
          <cell r="R194" t="str"/>
        </row>
        <row r="195">
          <cell r="A195" t="str">
            <v>APDH2.03321 HR_MySuccessNetwork</v>
          </cell>
          <cell r="B195" t="str">
            <v>001 / Projekt</v>
          </cell>
          <cell r="C195" t="str">
            <v>001 / Development</v>
          </cell>
          <cell r="D195" t="str"/>
          <cell r="E195">
            <v>43662</v>
          </cell>
          <cell r="F195" t="str">
            <v>07/2019</v>
          </cell>
          <cell r="G195" t="str">
            <v>Koeller, Maximilian</v>
          </cell>
          <cell r="H195" t="str">
            <v>Z003DZ7J</v>
          </cell>
          <cell r="I195" t="str"/>
          <cell r="J195" t="str">
            <v>SOP IT APD HRS C07</v>
          </cell>
          <cell r="K195">
            <v>7.5</v>
          </cell>
          <cell r="L195">
            <v>487.5</v>
          </cell>
          <cell r="M195">
            <v>0</v>
          </cell>
          <cell r="N195" t="str"/>
          <cell r="O195" t="str"/>
          <cell r="P195" t="str">
            <v>X</v>
          </cell>
          <cell r="Q195" t="str"/>
          <cell r="R195" t="str"/>
        </row>
        <row r="196">
          <cell r="A196" t="str">
            <v>APDH2.03321 HR_MySuccessNetwork</v>
          </cell>
          <cell r="B196" t="str">
            <v>001 / Projekt</v>
          </cell>
          <cell r="C196" t="str">
            <v>001 / Development</v>
          </cell>
          <cell r="D196" t="str"/>
          <cell r="E196">
            <v>43663</v>
          </cell>
          <cell r="F196" t="str">
            <v>07/2019</v>
          </cell>
          <cell r="G196" t="str">
            <v>Speicher, Dominik</v>
          </cell>
          <cell r="H196" t="str">
            <v>Z001PE3B</v>
          </cell>
          <cell r="I196" t="str"/>
          <cell r="J196" t="str">
            <v>SOP IT APD HRS C07</v>
          </cell>
          <cell r="K196">
            <v>3</v>
          </cell>
          <cell r="L196">
            <v>270</v>
          </cell>
          <cell r="M196">
            <v>0</v>
          </cell>
          <cell r="N196" t="str"/>
          <cell r="O196" t="str"/>
          <cell r="P196" t="str">
            <v>X</v>
          </cell>
          <cell r="Q196" t="str"/>
          <cell r="R196" t="str"/>
        </row>
        <row r="197">
          <cell r="A197" t="str">
            <v>APDH2.03321 HR_MySuccessNetwork</v>
          </cell>
          <cell r="B197" t="str">
            <v>001 / Projekt</v>
          </cell>
          <cell r="C197" t="str">
            <v>001 / Development</v>
          </cell>
          <cell r="D197" t="str"/>
          <cell r="E197">
            <v>43663</v>
          </cell>
          <cell r="F197" t="str">
            <v>07/2019</v>
          </cell>
          <cell r="G197" t="str">
            <v>Zak, Alexander</v>
          </cell>
          <cell r="H197" t="str">
            <v>Z001PMUV</v>
          </cell>
          <cell r="I197" t="str"/>
          <cell r="J197" t="str">
            <v>SOP IT APD HRS C06</v>
          </cell>
          <cell r="K197">
            <v>1</v>
          </cell>
          <cell r="L197">
            <v>105</v>
          </cell>
          <cell r="M197">
            <v>0</v>
          </cell>
          <cell r="N197" t="str"/>
          <cell r="O197" t="str"/>
          <cell r="P197" t="str">
            <v>X</v>
          </cell>
          <cell r="Q197" t="str"/>
          <cell r="R197" t="str"/>
        </row>
        <row r="198">
          <cell r="A198" t="str">
            <v>APDH2.03321 HR_MySuccessNetwork</v>
          </cell>
          <cell r="B198" t="str">
            <v>001 / Projekt</v>
          </cell>
          <cell r="C198" t="str">
            <v>001 / Development</v>
          </cell>
          <cell r="D198" t="str"/>
          <cell r="E198">
            <v>43663</v>
          </cell>
          <cell r="F198" t="str">
            <v>07/2019</v>
          </cell>
          <cell r="G198" t="str">
            <v>Bentfeld, Bastian</v>
          </cell>
          <cell r="H198" t="str">
            <v>Z0030UDK</v>
          </cell>
          <cell r="I198" t="str"/>
          <cell r="J198" t="str">
            <v>SOP IT APD HRS C07</v>
          </cell>
          <cell r="K198">
            <v>6</v>
          </cell>
          <cell r="L198">
            <v>540</v>
          </cell>
          <cell r="M198">
            <v>0</v>
          </cell>
          <cell r="N198" t="str"/>
          <cell r="O198" t="str"/>
          <cell r="P198" t="str">
            <v>X</v>
          </cell>
          <cell r="Q198" t="str"/>
          <cell r="R198" t="str"/>
        </row>
        <row r="199">
          <cell r="A199" t="str">
            <v>APDH2.03321 HR_MySuccessNetwork</v>
          </cell>
          <cell r="B199" t="str">
            <v>001 / Projekt</v>
          </cell>
          <cell r="C199" t="str">
            <v>001 / Development</v>
          </cell>
          <cell r="D199" t="str"/>
          <cell r="E199">
            <v>43663</v>
          </cell>
          <cell r="F199" t="str">
            <v>07/2019</v>
          </cell>
          <cell r="G199" t="str">
            <v>Koeller, Maximilian</v>
          </cell>
          <cell r="H199" t="str">
            <v>Z003DZ7J</v>
          </cell>
          <cell r="I199" t="str"/>
          <cell r="J199" t="str">
            <v>SOP IT APD HRS C07</v>
          </cell>
          <cell r="K199">
            <v>7.5</v>
          </cell>
          <cell r="L199">
            <v>487.5</v>
          </cell>
          <cell r="M199">
            <v>0</v>
          </cell>
          <cell r="N199" t="str"/>
          <cell r="O199" t="str"/>
          <cell r="P199" t="str">
            <v>X</v>
          </cell>
          <cell r="Q199" t="str"/>
          <cell r="R199" t="str"/>
        </row>
        <row r="200">
          <cell r="A200" t="str">
            <v>APDH2.03321 HR_MySuccessNetwork</v>
          </cell>
          <cell r="B200" t="str">
            <v>001 / Projekt</v>
          </cell>
          <cell r="C200" t="str">
            <v>001 / Development</v>
          </cell>
          <cell r="D200" t="str"/>
          <cell r="E200">
            <v>43664</v>
          </cell>
          <cell r="F200" t="str">
            <v>07/2019</v>
          </cell>
          <cell r="G200" t="str">
            <v>Speicher, Dominik</v>
          </cell>
          <cell r="H200" t="str">
            <v>Z001PE3B</v>
          </cell>
          <cell r="I200" t="str"/>
          <cell r="J200" t="str">
            <v>SOP IT APD HRS C07</v>
          </cell>
          <cell r="K200">
            <v>2</v>
          </cell>
          <cell r="L200">
            <v>180</v>
          </cell>
          <cell r="M200">
            <v>0</v>
          </cell>
          <cell r="N200" t="str"/>
          <cell r="O200" t="str"/>
          <cell r="P200" t="str">
            <v>X</v>
          </cell>
          <cell r="Q200" t="str"/>
          <cell r="R200" t="str"/>
        </row>
        <row r="201">
          <cell r="A201" t="str">
            <v>APDH2.03321 HR_MySuccessNetwork</v>
          </cell>
          <cell r="B201" t="str">
            <v>001 / Projekt</v>
          </cell>
          <cell r="C201" t="str">
            <v>001 / Development</v>
          </cell>
          <cell r="D201" t="str"/>
          <cell r="E201">
            <v>43664</v>
          </cell>
          <cell r="F201" t="str">
            <v>07/2019</v>
          </cell>
          <cell r="G201" t="str">
            <v>Zak, Alexander</v>
          </cell>
          <cell r="H201" t="str">
            <v>Z001PMUV</v>
          </cell>
          <cell r="I201" t="str"/>
          <cell r="J201" t="str">
            <v>SOP IT APD HRS C06</v>
          </cell>
          <cell r="K201">
            <v>1</v>
          </cell>
          <cell r="L201">
            <v>105</v>
          </cell>
          <cell r="M201">
            <v>0</v>
          </cell>
          <cell r="N201" t="str"/>
          <cell r="O201" t="str"/>
          <cell r="P201" t="str">
            <v>X</v>
          </cell>
          <cell r="Q201" t="str"/>
          <cell r="R201" t="str"/>
        </row>
        <row r="202">
          <cell r="A202" t="str">
            <v>APDH2.03321 HR_MySuccessNetwork</v>
          </cell>
          <cell r="B202" t="str">
            <v>001 / Projekt</v>
          </cell>
          <cell r="C202" t="str">
            <v>001 / Development</v>
          </cell>
          <cell r="D202" t="str"/>
          <cell r="E202">
            <v>43664</v>
          </cell>
          <cell r="F202" t="str">
            <v>07/2019</v>
          </cell>
          <cell r="G202" t="str">
            <v>Bentfeld, Bastian</v>
          </cell>
          <cell r="H202" t="str">
            <v>Z0030UDK</v>
          </cell>
          <cell r="I202" t="str"/>
          <cell r="J202" t="str">
            <v>SOP IT APD HRS C07</v>
          </cell>
          <cell r="K202">
            <v>7</v>
          </cell>
          <cell r="L202">
            <v>630</v>
          </cell>
          <cell r="M202">
            <v>0</v>
          </cell>
          <cell r="N202" t="str"/>
          <cell r="O202" t="str"/>
          <cell r="P202" t="str">
            <v>X</v>
          </cell>
          <cell r="Q202" t="str"/>
          <cell r="R202" t="str"/>
        </row>
        <row r="203">
          <cell r="A203" t="str">
            <v>APDH2.03321 HR_MySuccessNetwork</v>
          </cell>
          <cell r="B203" t="str">
            <v>001 / Projekt</v>
          </cell>
          <cell r="C203" t="str">
            <v>001 / Development</v>
          </cell>
          <cell r="D203" t="str"/>
          <cell r="E203">
            <v>43664</v>
          </cell>
          <cell r="F203" t="str">
            <v>07/2019</v>
          </cell>
          <cell r="G203" t="str">
            <v>Koeller, Maximilian</v>
          </cell>
          <cell r="H203" t="str">
            <v>Z003DZ7J</v>
          </cell>
          <cell r="I203" t="str"/>
          <cell r="J203" t="str">
            <v>SOP IT APD HRS C07</v>
          </cell>
          <cell r="K203">
            <v>7.5</v>
          </cell>
          <cell r="L203">
            <v>487.5</v>
          </cell>
          <cell r="M203">
            <v>0</v>
          </cell>
          <cell r="N203" t="str"/>
          <cell r="O203" t="str"/>
          <cell r="P203" t="str">
            <v>X</v>
          </cell>
          <cell r="Q203" t="str"/>
          <cell r="R203" t="str"/>
        </row>
        <row r="204">
          <cell r="A204" t="str">
            <v>APDH2.03321 HR_MySuccessNetwork</v>
          </cell>
          <cell r="B204" t="str">
            <v>001 / Projekt</v>
          </cell>
          <cell r="C204" t="str">
            <v>001 / Development</v>
          </cell>
          <cell r="D204" t="str"/>
          <cell r="E204">
            <v>43665</v>
          </cell>
          <cell r="F204" t="str">
            <v>07/2019</v>
          </cell>
          <cell r="G204" t="str">
            <v>Speicher, Dominik</v>
          </cell>
          <cell r="H204" t="str">
            <v>Z001PE3B</v>
          </cell>
          <cell r="I204" t="str"/>
          <cell r="J204" t="str">
            <v>SOP IT APD HRS C07</v>
          </cell>
          <cell r="K204">
            <v>2.5</v>
          </cell>
          <cell r="L204">
            <v>225</v>
          </cell>
          <cell r="M204">
            <v>0</v>
          </cell>
          <cell r="N204" t="str"/>
          <cell r="O204" t="str"/>
          <cell r="P204" t="str">
            <v>X</v>
          </cell>
          <cell r="Q204" t="str"/>
          <cell r="R204" t="str"/>
        </row>
        <row r="205">
          <cell r="A205" t="str">
            <v>APDH2.03321 HR_MySuccessNetwork</v>
          </cell>
          <cell r="B205" t="str">
            <v>001 / Projekt</v>
          </cell>
          <cell r="C205" t="str">
            <v>001 / Development</v>
          </cell>
          <cell r="D205" t="str"/>
          <cell r="E205">
            <v>43665</v>
          </cell>
          <cell r="F205" t="str">
            <v>07/2019</v>
          </cell>
          <cell r="G205" t="str">
            <v>Zak, Alexander</v>
          </cell>
          <cell r="H205" t="str">
            <v>Z001PMUV</v>
          </cell>
          <cell r="I205" t="str"/>
          <cell r="J205" t="str">
            <v>SOP IT APD HRS C06</v>
          </cell>
          <cell r="K205">
            <v>1</v>
          </cell>
          <cell r="L205">
            <v>105</v>
          </cell>
          <cell r="M205">
            <v>0</v>
          </cell>
          <cell r="N205" t="str"/>
          <cell r="O205" t="str"/>
          <cell r="P205" t="str">
            <v>X</v>
          </cell>
          <cell r="Q205" t="str"/>
          <cell r="R205" t="str"/>
        </row>
        <row r="206">
          <cell r="A206" t="str">
            <v>APDH2.03321 HR_MySuccessNetwork</v>
          </cell>
          <cell r="B206" t="str">
            <v>001 / Projekt</v>
          </cell>
          <cell r="C206" t="str">
            <v>001 / Development</v>
          </cell>
          <cell r="D206" t="str"/>
          <cell r="E206">
            <v>43665</v>
          </cell>
          <cell r="F206" t="str">
            <v>07/2019</v>
          </cell>
          <cell r="G206" t="str">
            <v>Koeller, Maximilian</v>
          </cell>
          <cell r="H206" t="str">
            <v>Z003DZ7J</v>
          </cell>
          <cell r="I206" t="str"/>
          <cell r="J206" t="str">
            <v>SOP IT APD HRS C07</v>
          </cell>
          <cell r="K206">
            <v>7.2</v>
          </cell>
          <cell r="L206">
            <v>468</v>
          </cell>
          <cell r="M206">
            <v>0</v>
          </cell>
          <cell r="N206" t="str"/>
          <cell r="O206" t="str"/>
          <cell r="P206" t="str">
            <v>X</v>
          </cell>
          <cell r="Q206" t="str"/>
          <cell r="R206" t="str"/>
        </row>
        <row r="207">
          <cell r="A207" t="str">
            <v>APDH2.03321 HR_MySuccessNetwork</v>
          </cell>
          <cell r="B207" t="str">
            <v>001 / Projekt</v>
          </cell>
          <cell r="C207" t="str">
            <v>001 / Development</v>
          </cell>
          <cell r="D207" t="str"/>
          <cell r="E207">
            <v>43668</v>
          </cell>
          <cell r="F207" t="str">
            <v>07/2019</v>
          </cell>
          <cell r="G207" t="str">
            <v>Speicher, Dominik</v>
          </cell>
          <cell r="H207" t="str">
            <v>Z001PE3B</v>
          </cell>
          <cell r="I207" t="str"/>
          <cell r="J207" t="str">
            <v>SOP IT APD HRS C07</v>
          </cell>
          <cell r="K207">
            <v>2.75</v>
          </cell>
          <cell r="L207">
            <v>247.5</v>
          </cell>
          <cell r="M207">
            <v>0</v>
          </cell>
          <cell r="N207" t="str"/>
          <cell r="O207" t="str"/>
          <cell r="P207" t="str">
            <v>X</v>
          </cell>
          <cell r="Q207" t="str"/>
          <cell r="R207" t="str"/>
        </row>
        <row r="208">
          <cell r="A208" t="str">
            <v>APDH2.03321 HR_MySuccessNetwork</v>
          </cell>
          <cell r="B208" t="str">
            <v>001 / Projekt</v>
          </cell>
          <cell r="C208" t="str">
            <v>001 / Development</v>
          </cell>
          <cell r="D208" t="str"/>
          <cell r="E208">
            <v>43668</v>
          </cell>
          <cell r="F208" t="str">
            <v>07/2019</v>
          </cell>
          <cell r="G208" t="str">
            <v>Zak, Alexander</v>
          </cell>
          <cell r="H208" t="str">
            <v>Z001PMUV</v>
          </cell>
          <cell r="I208" t="str"/>
          <cell r="J208" t="str">
            <v>SOP IT APD HRS C06</v>
          </cell>
          <cell r="K208">
            <v>1</v>
          </cell>
          <cell r="L208">
            <v>105</v>
          </cell>
          <cell r="M208">
            <v>0</v>
          </cell>
          <cell r="N208" t="str"/>
          <cell r="O208" t="str"/>
          <cell r="P208" t="str">
            <v>X</v>
          </cell>
          <cell r="Q208" t="str"/>
          <cell r="R208" t="str"/>
        </row>
        <row r="209">
          <cell r="A209" t="str">
            <v>APDH2.03321 HR_MySuccessNetwork</v>
          </cell>
          <cell r="B209" t="str">
            <v>001 / Projekt</v>
          </cell>
          <cell r="C209" t="str">
            <v>001 / Development</v>
          </cell>
          <cell r="D209" t="str"/>
          <cell r="E209">
            <v>43668</v>
          </cell>
          <cell r="F209" t="str">
            <v>07/2019</v>
          </cell>
          <cell r="G209" t="str">
            <v>Bentfeld, Bastian</v>
          </cell>
          <cell r="H209" t="str">
            <v>Z0030UDK</v>
          </cell>
          <cell r="I209" t="str"/>
          <cell r="J209" t="str">
            <v>SOP IT APD HRS C07</v>
          </cell>
          <cell r="K209">
            <v>3</v>
          </cell>
          <cell r="L209">
            <v>270</v>
          </cell>
          <cell r="M209">
            <v>0</v>
          </cell>
          <cell r="N209" t="str"/>
          <cell r="O209" t="str"/>
          <cell r="P209" t="str">
            <v>X</v>
          </cell>
          <cell r="Q209" t="str"/>
          <cell r="R209" t="str"/>
        </row>
        <row r="210">
          <cell r="A210" t="str">
            <v>APDH2.03321 HR_MySuccessNetwork</v>
          </cell>
          <cell r="B210" t="str">
            <v>001 / Projekt</v>
          </cell>
          <cell r="C210" t="str">
            <v>001 / Development</v>
          </cell>
          <cell r="D210" t="str"/>
          <cell r="E210">
            <v>43668</v>
          </cell>
          <cell r="F210" t="str">
            <v>07/2019</v>
          </cell>
          <cell r="G210" t="str">
            <v>Koeller, Maximilian</v>
          </cell>
          <cell r="H210" t="str">
            <v>Z003DZ7J</v>
          </cell>
          <cell r="I210" t="str"/>
          <cell r="J210" t="str">
            <v>SOP IT APD HRS C07</v>
          </cell>
          <cell r="K210">
            <v>7.35</v>
          </cell>
          <cell r="L210">
            <v>477.75</v>
          </cell>
          <cell r="M210">
            <v>0</v>
          </cell>
          <cell r="N210" t="str"/>
          <cell r="O210" t="str"/>
          <cell r="P210" t="str">
            <v>X</v>
          </cell>
          <cell r="Q210" t="str"/>
          <cell r="R210" t="str"/>
        </row>
        <row r="211">
          <cell r="A211" t="str">
            <v>APDH2.03321 HR_MySuccessNetwork</v>
          </cell>
          <cell r="B211" t="str">
            <v>001 / Projekt</v>
          </cell>
          <cell r="C211" t="str">
            <v>001 / Development</v>
          </cell>
          <cell r="D211" t="str"/>
          <cell r="E211">
            <v>43669</v>
          </cell>
          <cell r="F211" t="str">
            <v>07/2019</v>
          </cell>
          <cell r="G211" t="str">
            <v>Speicher, Dominik</v>
          </cell>
          <cell r="H211" t="str">
            <v>Z001PE3B</v>
          </cell>
          <cell r="I211" t="str"/>
          <cell r="J211" t="str">
            <v>SOP IT APD HRS C07</v>
          </cell>
          <cell r="K211">
            <v>3</v>
          </cell>
          <cell r="L211">
            <v>270</v>
          </cell>
          <cell r="M211">
            <v>0</v>
          </cell>
          <cell r="N211" t="str"/>
          <cell r="O211" t="str"/>
          <cell r="P211" t="str">
            <v>X</v>
          </cell>
          <cell r="Q211" t="str"/>
          <cell r="R211" t="str"/>
        </row>
        <row r="212">
          <cell r="A212" t="str">
            <v>APDH2.03321 HR_MySuccessNetwork</v>
          </cell>
          <cell r="B212" t="str">
            <v>001 / Projekt</v>
          </cell>
          <cell r="C212" t="str">
            <v>001 / Development</v>
          </cell>
          <cell r="D212" t="str"/>
          <cell r="E212">
            <v>43669</v>
          </cell>
          <cell r="F212" t="str">
            <v>07/2019</v>
          </cell>
          <cell r="G212" t="str">
            <v>Zak, Alexander</v>
          </cell>
          <cell r="H212" t="str">
            <v>Z001PMUV</v>
          </cell>
          <cell r="I212" t="str"/>
          <cell r="J212" t="str">
            <v>SOP IT APD HRS C06</v>
          </cell>
          <cell r="K212">
            <v>1</v>
          </cell>
          <cell r="L212">
            <v>105</v>
          </cell>
          <cell r="M212">
            <v>0</v>
          </cell>
          <cell r="N212" t="str"/>
          <cell r="O212" t="str"/>
          <cell r="P212" t="str">
            <v>X</v>
          </cell>
          <cell r="Q212" t="str"/>
          <cell r="R212" t="str"/>
        </row>
        <row r="213">
          <cell r="A213" t="str">
            <v>APDH2.03321 HR_MySuccessNetwork</v>
          </cell>
          <cell r="B213" t="str">
            <v>001 / Projekt</v>
          </cell>
          <cell r="C213" t="str">
            <v>001 / Development</v>
          </cell>
          <cell r="D213" t="str"/>
          <cell r="E213">
            <v>43669</v>
          </cell>
          <cell r="F213" t="str">
            <v>07/2019</v>
          </cell>
          <cell r="G213" t="str">
            <v>Bentfeld, Bastian</v>
          </cell>
          <cell r="H213" t="str">
            <v>Z0030UDK</v>
          </cell>
          <cell r="I213" t="str"/>
          <cell r="J213" t="str">
            <v>SOP IT APD HRS C07</v>
          </cell>
          <cell r="K213">
            <v>1.5</v>
          </cell>
          <cell r="L213">
            <v>135</v>
          </cell>
          <cell r="M213">
            <v>0</v>
          </cell>
          <cell r="N213" t="str"/>
          <cell r="O213" t="str"/>
          <cell r="P213" t="str">
            <v>X</v>
          </cell>
          <cell r="Q213" t="str"/>
          <cell r="R213" t="str"/>
        </row>
        <row r="214">
          <cell r="A214" t="str">
            <v>APDH2.03321 HR_MySuccessNetwork</v>
          </cell>
          <cell r="B214" t="str">
            <v>001 / Projekt</v>
          </cell>
          <cell r="C214" t="str">
            <v>001 / Development</v>
          </cell>
          <cell r="D214" t="str"/>
          <cell r="E214">
            <v>43669</v>
          </cell>
          <cell r="F214" t="str">
            <v>07/2019</v>
          </cell>
          <cell r="G214" t="str">
            <v>Koeller, Maximilian</v>
          </cell>
          <cell r="H214" t="str">
            <v>Z003DZ7J</v>
          </cell>
          <cell r="I214" t="str"/>
          <cell r="J214" t="str">
            <v>SOP IT APD HRS C07</v>
          </cell>
          <cell r="K214">
            <v>8.1</v>
          </cell>
          <cell r="L214">
            <v>526.5</v>
          </cell>
          <cell r="M214">
            <v>0</v>
          </cell>
          <cell r="N214" t="str"/>
          <cell r="O214" t="str"/>
          <cell r="P214" t="str">
            <v>X</v>
          </cell>
          <cell r="Q214" t="str"/>
          <cell r="R214" t="str"/>
        </row>
        <row r="215">
          <cell r="A215" t="str">
            <v>APDH2.03321 HR_MySuccessNetwork</v>
          </cell>
          <cell r="B215" t="str">
            <v>001 / Projekt</v>
          </cell>
          <cell r="C215" t="str">
            <v>001 / Development</v>
          </cell>
          <cell r="D215" t="str"/>
          <cell r="E215">
            <v>43670</v>
          </cell>
          <cell r="F215" t="str">
            <v>07/2019</v>
          </cell>
          <cell r="G215" t="str">
            <v>Speicher, Dominik</v>
          </cell>
          <cell r="H215" t="str">
            <v>Z001PE3B</v>
          </cell>
          <cell r="I215" t="str"/>
          <cell r="J215" t="str">
            <v>SOP IT APD HRS C07</v>
          </cell>
          <cell r="K215">
            <v>3.5</v>
          </cell>
          <cell r="L215">
            <v>315</v>
          </cell>
          <cell r="M215">
            <v>0</v>
          </cell>
          <cell r="N215" t="str"/>
          <cell r="O215" t="str"/>
          <cell r="P215" t="str">
            <v>X</v>
          </cell>
          <cell r="Q215" t="str"/>
          <cell r="R215" t="str"/>
        </row>
        <row r="216">
          <cell r="A216" t="str">
            <v>APDH2.03321 HR_MySuccessNetwork</v>
          </cell>
          <cell r="B216" t="str">
            <v>001 / Projekt</v>
          </cell>
          <cell r="C216" t="str">
            <v>001 / Development</v>
          </cell>
          <cell r="D216" t="str"/>
          <cell r="E216">
            <v>43670</v>
          </cell>
          <cell r="F216" t="str">
            <v>07/2019</v>
          </cell>
          <cell r="G216" t="str">
            <v>Zak, Alexander</v>
          </cell>
          <cell r="H216" t="str">
            <v>Z001PMUV</v>
          </cell>
          <cell r="I216" t="str"/>
          <cell r="J216" t="str">
            <v>SOP IT APD HRS C06</v>
          </cell>
          <cell r="K216">
            <v>1</v>
          </cell>
          <cell r="L216">
            <v>105</v>
          </cell>
          <cell r="M216">
            <v>0</v>
          </cell>
          <cell r="N216" t="str"/>
          <cell r="O216" t="str"/>
          <cell r="P216" t="str">
            <v>X</v>
          </cell>
          <cell r="Q216" t="str"/>
          <cell r="R216" t="str"/>
        </row>
        <row r="217">
          <cell r="A217" t="str">
            <v>APDH2.03321 HR_MySuccessNetwork</v>
          </cell>
          <cell r="B217" t="str">
            <v>001 / Projekt</v>
          </cell>
          <cell r="C217" t="str">
            <v>001 / Development</v>
          </cell>
          <cell r="D217" t="str"/>
          <cell r="E217">
            <v>43670</v>
          </cell>
          <cell r="F217" t="str">
            <v>07/2019</v>
          </cell>
          <cell r="G217" t="str">
            <v>Koeller, Maximilian</v>
          </cell>
          <cell r="H217" t="str">
            <v>Z003DZ7J</v>
          </cell>
          <cell r="I217" t="str"/>
          <cell r="J217" t="str">
            <v>SOP IT APD HRS C07</v>
          </cell>
          <cell r="K217">
            <v>8.25</v>
          </cell>
          <cell r="L217">
            <v>536.25</v>
          </cell>
          <cell r="M217">
            <v>0</v>
          </cell>
          <cell r="N217" t="str"/>
          <cell r="O217" t="str"/>
          <cell r="P217" t="str">
            <v>X</v>
          </cell>
          <cell r="Q217" t="str"/>
          <cell r="R217" t="str"/>
        </row>
        <row r="218">
          <cell r="A218" t="str">
            <v>APDH2.03321 HR_MySuccessNetwork</v>
          </cell>
          <cell r="B218" t="str">
            <v>001 / Projekt</v>
          </cell>
          <cell r="C218" t="str">
            <v>001 / Development</v>
          </cell>
          <cell r="D218" t="str"/>
          <cell r="E218">
            <v>43671</v>
          </cell>
          <cell r="F218" t="str">
            <v>07/2019</v>
          </cell>
          <cell r="G218" t="str">
            <v>Speicher, Dominik</v>
          </cell>
          <cell r="H218" t="str">
            <v>Z001PE3B</v>
          </cell>
          <cell r="I218" t="str"/>
          <cell r="J218" t="str">
            <v>SOP IT APD HRS C07</v>
          </cell>
          <cell r="K218">
            <v>6</v>
          </cell>
          <cell r="L218">
            <v>540</v>
          </cell>
          <cell r="M218">
            <v>0</v>
          </cell>
          <cell r="N218" t="str"/>
          <cell r="O218" t="str"/>
          <cell r="P218" t="str">
            <v>X</v>
          </cell>
          <cell r="Q218" t="str"/>
          <cell r="R218" t="str"/>
        </row>
        <row r="219">
          <cell r="A219" t="str">
            <v>APDH2.03321 HR_MySuccessNetwork</v>
          </cell>
          <cell r="B219" t="str">
            <v>001 / Projekt</v>
          </cell>
          <cell r="C219" t="str">
            <v>001 / Development</v>
          </cell>
          <cell r="D219" t="str"/>
          <cell r="E219">
            <v>43671</v>
          </cell>
          <cell r="F219" t="str">
            <v>07/2019</v>
          </cell>
          <cell r="G219" t="str">
            <v>Zak, Alexander</v>
          </cell>
          <cell r="H219" t="str">
            <v>Z001PMUV</v>
          </cell>
          <cell r="I219" t="str"/>
          <cell r="J219" t="str">
            <v>SOP IT APD HRS C06</v>
          </cell>
          <cell r="K219">
            <v>1</v>
          </cell>
          <cell r="L219">
            <v>105</v>
          </cell>
          <cell r="M219">
            <v>0</v>
          </cell>
          <cell r="N219" t="str"/>
          <cell r="O219" t="str"/>
          <cell r="P219" t="str">
            <v>X</v>
          </cell>
          <cell r="Q219" t="str"/>
          <cell r="R219" t="str"/>
        </row>
        <row r="220">
          <cell r="A220" t="str">
            <v>APDH2.03321 HR_MySuccessNetwork</v>
          </cell>
          <cell r="B220" t="str">
            <v>001 / Projekt</v>
          </cell>
          <cell r="C220" t="str">
            <v>001 / Development</v>
          </cell>
          <cell r="D220" t="str"/>
          <cell r="E220">
            <v>43671</v>
          </cell>
          <cell r="F220" t="str">
            <v>07/2019</v>
          </cell>
          <cell r="G220" t="str">
            <v>Koeller, Maximilian</v>
          </cell>
          <cell r="H220" t="str">
            <v>Z003DZ7J</v>
          </cell>
          <cell r="I220" t="str"/>
          <cell r="J220" t="str">
            <v>SOP IT APD HRS C07</v>
          </cell>
          <cell r="K220">
            <v>7.55</v>
          </cell>
          <cell r="L220">
            <v>490.75</v>
          </cell>
          <cell r="M220">
            <v>0</v>
          </cell>
          <cell r="N220" t="str"/>
          <cell r="O220" t="str"/>
          <cell r="P220" t="str">
            <v>X</v>
          </cell>
          <cell r="Q220" t="str"/>
          <cell r="R220" t="str"/>
        </row>
        <row r="221">
          <cell r="A221" t="str">
            <v>APDH2.03321 HR_MySuccessNetwork</v>
          </cell>
          <cell r="B221" t="str">
            <v>001 / Projekt</v>
          </cell>
          <cell r="C221" t="str">
            <v>001 / Development</v>
          </cell>
          <cell r="D221" t="str"/>
          <cell r="E221">
            <v>43671</v>
          </cell>
          <cell r="F221" t="str">
            <v>07/2019</v>
          </cell>
          <cell r="G221" t="str">
            <v>Nordmann, Philip</v>
          </cell>
          <cell r="H221" t="str">
            <v>Z003DZ7K</v>
          </cell>
          <cell r="I221" t="str"/>
          <cell r="J221" t="str">
            <v>SOP IT APD HRS C07</v>
          </cell>
          <cell r="K221">
            <v>5</v>
          </cell>
          <cell r="L221">
            <v>225</v>
          </cell>
          <cell r="M221">
            <v>0</v>
          </cell>
          <cell r="N221" t="str"/>
          <cell r="O221" t="str"/>
          <cell r="P221" t="str">
            <v>X</v>
          </cell>
          <cell r="Q221" t="str"/>
          <cell r="R221" t="str"/>
        </row>
        <row r="222">
          <cell r="A222" t="str">
            <v>APDH2.03321 HR_MySuccessNetwork</v>
          </cell>
          <cell r="B222" t="str">
            <v>001 / Projekt</v>
          </cell>
          <cell r="C222" t="str">
            <v>001 / Development</v>
          </cell>
          <cell r="D222" t="str"/>
          <cell r="E222">
            <v>43672</v>
          </cell>
          <cell r="F222" t="str">
            <v>07/2019</v>
          </cell>
          <cell r="G222" t="str">
            <v>Speicher, Dominik</v>
          </cell>
          <cell r="H222" t="str">
            <v>Z001PE3B</v>
          </cell>
          <cell r="I222" t="str"/>
          <cell r="J222" t="str">
            <v>SOP IT APD HRS C07</v>
          </cell>
          <cell r="K222">
            <v>4.5</v>
          </cell>
          <cell r="L222">
            <v>405</v>
          </cell>
          <cell r="M222">
            <v>0</v>
          </cell>
          <cell r="N222" t="str"/>
          <cell r="O222" t="str"/>
          <cell r="P222" t="str">
            <v>X</v>
          </cell>
          <cell r="Q222" t="str"/>
          <cell r="R222" t="str"/>
        </row>
        <row r="223">
          <cell r="A223" t="str">
            <v>APDH2.03321 HR_MySuccessNetwork</v>
          </cell>
          <cell r="B223" t="str">
            <v>001 / Projekt</v>
          </cell>
          <cell r="C223" t="str">
            <v>001 / Development</v>
          </cell>
          <cell r="D223" t="str"/>
          <cell r="E223">
            <v>43672</v>
          </cell>
          <cell r="F223" t="str">
            <v>07/2019</v>
          </cell>
          <cell r="G223" t="str">
            <v>Zak, Alexander</v>
          </cell>
          <cell r="H223" t="str">
            <v>Z001PMUV</v>
          </cell>
          <cell r="I223" t="str"/>
          <cell r="J223" t="str">
            <v>SOP IT APD HRS C06</v>
          </cell>
          <cell r="K223">
            <v>1</v>
          </cell>
          <cell r="L223">
            <v>105</v>
          </cell>
          <cell r="M223">
            <v>0</v>
          </cell>
          <cell r="N223" t="str"/>
          <cell r="O223" t="str"/>
          <cell r="P223" t="str">
            <v>X</v>
          </cell>
          <cell r="Q223" t="str"/>
          <cell r="R223" t="str"/>
        </row>
        <row r="224">
          <cell r="A224" t="str">
            <v>APDH2.03321 HR_MySuccessNetwork</v>
          </cell>
          <cell r="B224" t="str">
            <v>001 / Projekt</v>
          </cell>
          <cell r="C224" t="str">
            <v>001 / Development</v>
          </cell>
          <cell r="D224" t="str"/>
          <cell r="E224">
            <v>43672</v>
          </cell>
          <cell r="F224" t="str">
            <v>07/2019</v>
          </cell>
          <cell r="G224" t="str">
            <v>Koeller, Maximilian</v>
          </cell>
          <cell r="H224" t="str">
            <v>Z003DZ7J</v>
          </cell>
          <cell r="I224" t="str"/>
          <cell r="J224" t="str">
            <v>SOP IT APD HRS C07</v>
          </cell>
          <cell r="K224">
            <v>8.5</v>
          </cell>
          <cell r="L224">
            <v>552.5</v>
          </cell>
          <cell r="M224">
            <v>0</v>
          </cell>
          <cell r="N224" t="str"/>
          <cell r="O224" t="str"/>
          <cell r="P224" t="str">
            <v>X</v>
          </cell>
          <cell r="Q224" t="str"/>
          <cell r="R224" t="str"/>
        </row>
        <row r="225">
          <cell r="A225" t="str">
            <v>APDH2.03321 HR_MySuccessNetwork</v>
          </cell>
          <cell r="B225" t="str">
            <v>001 / Projekt</v>
          </cell>
          <cell r="C225" t="str">
            <v>001 / Development</v>
          </cell>
          <cell r="D225" t="str"/>
          <cell r="E225">
            <v>43675</v>
          </cell>
          <cell r="F225" t="str">
            <v>07/2019</v>
          </cell>
          <cell r="G225" t="str">
            <v>Zak, Alexander</v>
          </cell>
          <cell r="H225" t="str">
            <v>Z001PMUV</v>
          </cell>
          <cell r="I225" t="str"/>
          <cell r="J225" t="str">
            <v>SOP IT APD HRS C06</v>
          </cell>
          <cell r="K225">
            <v>1</v>
          </cell>
          <cell r="L225">
            <v>105</v>
          </cell>
          <cell r="M225">
            <v>0</v>
          </cell>
          <cell r="N225" t="str"/>
          <cell r="O225" t="str"/>
          <cell r="P225" t="str">
            <v>X</v>
          </cell>
          <cell r="Q225" t="str"/>
          <cell r="R225" t="str"/>
        </row>
        <row r="226">
          <cell r="A226" t="str">
            <v>APDH2.03321 HR_MySuccessNetwork</v>
          </cell>
          <cell r="B226" t="str">
            <v>001 / Projekt</v>
          </cell>
          <cell r="C226" t="str">
            <v>001 / Development</v>
          </cell>
          <cell r="D226" t="str"/>
          <cell r="E226">
            <v>43675</v>
          </cell>
          <cell r="F226" t="str">
            <v>07/2019</v>
          </cell>
          <cell r="G226" t="str">
            <v>Bentfeld, Bastian</v>
          </cell>
          <cell r="H226" t="str">
            <v>Z0030UDK</v>
          </cell>
          <cell r="I226" t="str"/>
          <cell r="J226" t="str">
            <v>SOP IT APD HRS C07</v>
          </cell>
          <cell r="K226">
            <v>2</v>
          </cell>
          <cell r="L226">
            <v>180</v>
          </cell>
          <cell r="M226">
            <v>0</v>
          </cell>
          <cell r="N226" t="str"/>
          <cell r="O226" t="str"/>
          <cell r="P226" t="str">
            <v>X</v>
          </cell>
          <cell r="Q226" t="str"/>
          <cell r="R226" t="str"/>
        </row>
        <row r="227">
          <cell r="A227" t="str">
            <v>APDH2.03321 HR_MySuccessNetwork</v>
          </cell>
          <cell r="B227" t="str">
            <v>001 / Projekt</v>
          </cell>
          <cell r="C227" t="str">
            <v>001 / Development</v>
          </cell>
          <cell r="D227" t="str"/>
          <cell r="E227">
            <v>43675</v>
          </cell>
          <cell r="F227" t="str">
            <v>07/2019</v>
          </cell>
          <cell r="G227" t="str">
            <v>Nordmann, Philip</v>
          </cell>
          <cell r="H227" t="str">
            <v>Z003DZ7K</v>
          </cell>
          <cell r="I227" t="str"/>
          <cell r="J227" t="str">
            <v>SOP IT APD HRS C07</v>
          </cell>
          <cell r="K227">
            <v>2</v>
          </cell>
          <cell r="L227">
            <v>90</v>
          </cell>
          <cell r="M227">
            <v>0</v>
          </cell>
          <cell r="N227" t="str"/>
          <cell r="O227" t="str"/>
          <cell r="P227" t="str">
            <v>X</v>
          </cell>
          <cell r="Q227" t="str"/>
          <cell r="R227" t="str"/>
        </row>
        <row r="228">
          <cell r="A228" t="str">
            <v>APDH2.03321 HR_MySuccessNetwork</v>
          </cell>
          <cell r="B228" t="str">
            <v>001 / Projekt</v>
          </cell>
          <cell r="C228" t="str">
            <v>001 / Development</v>
          </cell>
          <cell r="D228" t="str"/>
          <cell r="E228">
            <v>43676</v>
          </cell>
          <cell r="F228" t="str">
            <v>07/2019</v>
          </cell>
          <cell r="G228" t="str">
            <v>Steinfurth, Lars</v>
          </cell>
          <cell r="H228" t="str">
            <v>Z0007NAA</v>
          </cell>
          <cell r="I228" t="str"/>
          <cell r="J228" t="str">
            <v>SOP IT APD HRS C07</v>
          </cell>
          <cell r="K228">
            <v>0.5</v>
          </cell>
          <cell r="L228">
            <v>52.5</v>
          </cell>
          <cell r="M228">
            <v>0</v>
          </cell>
          <cell r="N228" t="str"/>
          <cell r="O228" t="str"/>
          <cell r="P228" t="str">
            <v>X</v>
          </cell>
          <cell r="Q228" t="str"/>
          <cell r="R228" t="str">
            <v>ISEC Abstimmung Snapshare SSO webtoken</v>
          </cell>
        </row>
        <row r="229">
          <cell r="A229" t="str">
            <v>APDH2.03321 HR_MySuccessNetwork</v>
          </cell>
          <cell r="B229" t="str">
            <v>001 / Projekt</v>
          </cell>
          <cell r="C229" t="str">
            <v>001 / Development</v>
          </cell>
          <cell r="D229" t="str"/>
          <cell r="E229">
            <v>43676</v>
          </cell>
          <cell r="F229" t="str">
            <v>07/2019</v>
          </cell>
          <cell r="G229" t="str">
            <v>Zak, Alexander</v>
          </cell>
          <cell r="H229" t="str">
            <v>Z001PMUV</v>
          </cell>
          <cell r="I229" t="str"/>
          <cell r="J229" t="str">
            <v>SOP IT APD HRS C06</v>
          </cell>
          <cell r="K229">
            <v>1</v>
          </cell>
          <cell r="L229">
            <v>105</v>
          </cell>
          <cell r="M229">
            <v>0</v>
          </cell>
          <cell r="N229" t="str"/>
          <cell r="O229" t="str"/>
          <cell r="P229" t="str">
            <v>X</v>
          </cell>
          <cell r="Q229" t="str"/>
          <cell r="R229" t="str"/>
        </row>
        <row r="230">
          <cell r="A230" t="str">
            <v>APDH2.03321 HR_MySuccessNetwork</v>
          </cell>
          <cell r="B230" t="str">
            <v>001 / Projekt</v>
          </cell>
          <cell r="C230" t="str">
            <v>001 / Development</v>
          </cell>
          <cell r="D230" t="str"/>
          <cell r="E230">
            <v>43676</v>
          </cell>
          <cell r="F230" t="str">
            <v>07/2019</v>
          </cell>
          <cell r="G230" t="str">
            <v>Bentfeld, Bastian</v>
          </cell>
          <cell r="H230" t="str">
            <v>Z0030UDK</v>
          </cell>
          <cell r="I230" t="str"/>
          <cell r="J230" t="str">
            <v>SOP IT APD HRS C07</v>
          </cell>
          <cell r="K230">
            <v>4.5</v>
          </cell>
          <cell r="L230">
            <v>405</v>
          </cell>
          <cell r="M230">
            <v>0</v>
          </cell>
          <cell r="N230" t="str"/>
          <cell r="O230" t="str"/>
          <cell r="P230" t="str">
            <v>X</v>
          </cell>
          <cell r="Q230" t="str"/>
          <cell r="R230" t="str"/>
        </row>
        <row r="231">
          <cell r="A231" t="str">
            <v>APDH2.03321 HR_MySuccessNetwork</v>
          </cell>
          <cell r="B231" t="str">
            <v>001 / Projekt</v>
          </cell>
          <cell r="C231" t="str">
            <v>001 / Development</v>
          </cell>
          <cell r="D231" t="str"/>
          <cell r="E231">
            <v>43676</v>
          </cell>
          <cell r="F231" t="str">
            <v>07/2019</v>
          </cell>
          <cell r="G231" t="str">
            <v>Koeller, Maximilian</v>
          </cell>
          <cell r="H231" t="str">
            <v>Z003DZ7J</v>
          </cell>
          <cell r="I231" t="str"/>
          <cell r="J231" t="str">
            <v>SOP IT APD HRS C07</v>
          </cell>
          <cell r="K231">
            <v>8</v>
          </cell>
          <cell r="L231">
            <v>520</v>
          </cell>
          <cell r="M231">
            <v>0</v>
          </cell>
          <cell r="N231" t="str"/>
          <cell r="O231" t="str"/>
          <cell r="P231" t="str">
            <v>X</v>
          </cell>
          <cell r="Q231" t="str"/>
          <cell r="R231" t="str"/>
        </row>
        <row r="232">
          <cell r="A232" t="str">
            <v>APDH2.03321 HR_MySuccessNetwork</v>
          </cell>
          <cell r="B232" t="str">
            <v>001 / Projekt</v>
          </cell>
          <cell r="C232" t="str">
            <v>001 / Development</v>
          </cell>
          <cell r="D232" t="str"/>
          <cell r="E232">
            <v>43676</v>
          </cell>
          <cell r="F232" t="str">
            <v>07/2019</v>
          </cell>
          <cell r="G232" t="str">
            <v>Nordmann, Philip</v>
          </cell>
          <cell r="H232" t="str">
            <v>Z003DZ7K</v>
          </cell>
          <cell r="I232" t="str"/>
          <cell r="J232" t="str">
            <v>SOP IT APD HRS C07</v>
          </cell>
          <cell r="K232">
            <v>2</v>
          </cell>
          <cell r="L232">
            <v>90</v>
          </cell>
          <cell r="M232">
            <v>0</v>
          </cell>
          <cell r="N232" t="str"/>
          <cell r="O232" t="str"/>
          <cell r="P232" t="str">
            <v>X</v>
          </cell>
          <cell r="Q232" t="str"/>
          <cell r="R232" t="str"/>
        </row>
        <row r="233">
          <cell r="A233" t="str">
            <v>APDH2.03321 HR_MySuccessNetwork</v>
          </cell>
          <cell r="B233" t="str">
            <v>001 / Projekt</v>
          </cell>
          <cell r="C233" t="str">
            <v>001 / Development</v>
          </cell>
          <cell r="D233" t="str"/>
          <cell r="E233">
            <v>43677</v>
          </cell>
          <cell r="F233" t="str">
            <v>07/2019</v>
          </cell>
          <cell r="G233" t="str">
            <v>Zak, Alexander</v>
          </cell>
          <cell r="H233" t="str">
            <v>Z001PMUV</v>
          </cell>
          <cell r="I233" t="str"/>
          <cell r="J233" t="str">
            <v>SOP IT APD HRS C06</v>
          </cell>
          <cell r="K233">
            <v>1</v>
          </cell>
          <cell r="L233">
            <v>105</v>
          </cell>
          <cell r="M233">
            <v>0</v>
          </cell>
          <cell r="N233" t="str"/>
          <cell r="O233" t="str"/>
          <cell r="P233" t="str">
            <v>X</v>
          </cell>
          <cell r="Q233" t="str"/>
          <cell r="R233" t="str"/>
        </row>
        <row r="234">
          <cell r="A234" t="str">
            <v>APDH2.03321 HR_MySuccessNetwork</v>
          </cell>
          <cell r="B234" t="str">
            <v>001 / Projekt</v>
          </cell>
          <cell r="C234" t="str">
            <v>001 / Development</v>
          </cell>
          <cell r="D234" t="str"/>
          <cell r="E234">
            <v>43677</v>
          </cell>
          <cell r="F234" t="str">
            <v>07/2019</v>
          </cell>
          <cell r="G234" t="str">
            <v>Bentfeld, Bastian</v>
          </cell>
          <cell r="H234" t="str">
            <v>Z0030UDK</v>
          </cell>
          <cell r="I234" t="str"/>
          <cell r="J234" t="str">
            <v>SOP IT APD HRS C07</v>
          </cell>
          <cell r="K234">
            <v>6.5</v>
          </cell>
          <cell r="L234">
            <v>585</v>
          </cell>
          <cell r="M234">
            <v>0</v>
          </cell>
          <cell r="N234" t="str"/>
          <cell r="O234" t="str"/>
          <cell r="P234" t="str">
            <v>X</v>
          </cell>
          <cell r="Q234" t="str"/>
          <cell r="R234" t="str"/>
        </row>
        <row r="235">
          <cell r="A235" t="str">
            <v>APDH2.03321 HR_MySuccessNetwork</v>
          </cell>
          <cell r="B235" t="str">
            <v>001 / Projekt</v>
          </cell>
          <cell r="C235" t="str">
            <v>001 / Development</v>
          </cell>
          <cell r="D235" t="str"/>
          <cell r="E235">
            <v>43677</v>
          </cell>
          <cell r="F235" t="str">
            <v>07/2019</v>
          </cell>
          <cell r="G235" t="str">
            <v>Koeller, Maximilian</v>
          </cell>
          <cell r="H235" t="str">
            <v>Z003DZ7J</v>
          </cell>
          <cell r="I235" t="str"/>
          <cell r="J235" t="str">
            <v>SOP IT APD HRS C07</v>
          </cell>
          <cell r="K235">
            <v>7</v>
          </cell>
          <cell r="L235">
            <v>455</v>
          </cell>
          <cell r="M235">
            <v>0</v>
          </cell>
          <cell r="N235" t="str"/>
          <cell r="O235" t="str"/>
          <cell r="P235" t="str">
            <v>X</v>
          </cell>
          <cell r="Q235" t="str"/>
          <cell r="R235" t="str"/>
        </row>
        <row r="236">
          <cell r="A236" t="str">
            <v>APDH2.03321 HR_MySuccessNetwork</v>
          </cell>
          <cell r="B236" t="str">
            <v>001 / Projekt</v>
          </cell>
          <cell r="C236" t="str">
            <v>001 / Development</v>
          </cell>
          <cell r="D236" t="str"/>
          <cell r="E236">
            <v>43678</v>
          </cell>
          <cell r="F236" t="str">
            <v>08/2019</v>
          </cell>
          <cell r="G236" t="str">
            <v>Koechling, Gabriele</v>
          </cell>
          <cell r="H236" t="str">
            <v>Z000DTQL</v>
          </cell>
          <cell r="I236" t="str"/>
          <cell r="J236" t="str">
            <v>SOP IT APD HRS C07</v>
          </cell>
          <cell r="K236">
            <v>1.5</v>
          </cell>
          <cell r="L236">
            <v>135</v>
          </cell>
          <cell r="M236">
            <v>0</v>
          </cell>
          <cell r="N236" t="str"/>
          <cell r="O236" t="str"/>
          <cell r="P236" t="str">
            <v>X</v>
          </cell>
          <cell r="Q236" t="str"/>
          <cell r="R236" t="str">
            <v>MySN Daily inkl. Sprint Review wg. Sprint Abschluss</v>
          </cell>
        </row>
        <row r="237">
          <cell r="A237" t="str">
            <v>APDH2.03321 HR_MySuccessNetwork</v>
          </cell>
          <cell r="B237" t="str">
            <v>001 / Projekt</v>
          </cell>
          <cell r="C237" t="str">
            <v>001 / Development</v>
          </cell>
          <cell r="D237" t="str"/>
          <cell r="E237">
            <v>43678</v>
          </cell>
          <cell r="F237" t="str">
            <v>08/2019</v>
          </cell>
          <cell r="G237" t="str">
            <v>Koeller, Maximilian</v>
          </cell>
          <cell r="H237" t="str">
            <v>Z003DZ7J</v>
          </cell>
          <cell r="I237" t="str"/>
          <cell r="J237" t="str">
            <v>SOP IT APD HRS C07</v>
          </cell>
          <cell r="K237">
            <v>9.1</v>
          </cell>
          <cell r="L237">
            <v>591.5</v>
          </cell>
          <cell r="M237">
            <v>0</v>
          </cell>
          <cell r="N237" t="str"/>
          <cell r="O237" t="str"/>
          <cell r="P237" t="str">
            <v>X</v>
          </cell>
          <cell r="Q237" t="str"/>
          <cell r="R237" t="str"/>
        </row>
        <row r="238">
          <cell r="A238" t="str">
            <v>APDH2.03321 HR_MySuccessNetwork</v>
          </cell>
          <cell r="B238" t="str">
            <v>001 / Projekt</v>
          </cell>
          <cell r="C238" t="str">
            <v>001 / Development</v>
          </cell>
          <cell r="D238" t="str"/>
          <cell r="E238">
            <v>43679</v>
          </cell>
          <cell r="F238" t="str">
            <v>08/2019</v>
          </cell>
          <cell r="G238" t="str">
            <v>Koechling, Gabriele</v>
          </cell>
          <cell r="H238" t="str">
            <v>Z000DTQL</v>
          </cell>
          <cell r="I238" t="str"/>
          <cell r="J238" t="str">
            <v>SOP IT APD HRS C07</v>
          </cell>
          <cell r="K238">
            <v>0.5</v>
          </cell>
          <cell r="L238">
            <v>45</v>
          </cell>
          <cell r="M238">
            <v>0</v>
          </cell>
          <cell r="N238" t="str"/>
          <cell r="O238" t="str"/>
          <cell r="P238" t="str">
            <v>X</v>
          </cell>
          <cell r="Q238" t="str"/>
          <cell r="R238" t="str">
            <v xml:space="preserve">MySN Daily
</v>
          </cell>
        </row>
        <row r="239">
          <cell r="A239" t="str">
            <v>APDH2.03321 HR_MySuccessNetwork</v>
          </cell>
          <cell r="B239" t="str">
            <v>001 / Projekt</v>
          </cell>
          <cell r="C239" t="str">
            <v>001 / Development</v>
          </cell>
          <cell r="D239" t="str"/>
          <cell r="E239">
            <v>43679</v>
          </cell>
          <cell r="F239" t="str">
            <v>08/2019</v>
          </cell>
          <cell r="G239" t="str">
            <v>Koeller, Maximilian</v>
          </cell>
          <cell r="H239" t="str">
            <v>Z003DZ7J</v>
          </cell>
          <cell r="I239" t="str"/>
          <cell r="J239" t="str">
            <v>SOP IT APD HRS C07</v>
          </cell>
          <cell r="K239">
            <v>4.1500000000000004</v>
          </cell>
          <cell r="L239">
            <v>269.75</v>
          </cell>
          <cell r="M239">
            <v>0</v>
          </cell>
          <cell r="N239" t="str"/>
          <cell r="O239" t="str"/>
          <cell r="P239" t="str">
            <v>X</v>
          </cell>
          <cell r="Q239" t="str"/>
          <cell r="R239" t="str"/>
        </row>
        <row r="240">
          <cell r="A240" t="str">
            <v>APDH2.03321 HR_MySuccessNetwork</v>
          </cell>
          <cell r="B240" t="str">
            <v>001 / Projekt</v>
          </cell>
          <cell r="C240" t="str">
            <v>001 / Development</v>
          </cell>
          <cell r="D240" t="str"/>
          <cell r="E240">
            <v>43680</v>
          </cell>
          <cell r="F240" t="str">
            <v>08/2019</v>
          </cell>
          <cell r="G240" t="str">
            <v>Koechling, Gabriele</v>
          </cell>
          <cell r="H240" t="str">
            <v>Z000DTQL</v>
          </cell>
          <cell r="I240" t="str"/>
          <cell r="J240" t="str">
            <v>SOP IT APD HRS C07</v>
          </cell>
          <cell r="K240">
            <v>0.5</v>
          </cell>
          <cell r="L240">
            <v>45</v>
          </cell>
          <cell r="M240">
            <v>0</v>
          </cell>
          <cell r="N240" t="str"/>
          <cell r="O240" t="str"/>
          <cell r="P240" t="str">
            <v>X</v>
          </cell>
          <cell r="Q240" t="str"/>
          <cell r="R240" t="str">
            <v>Nachkontierung f. 30.07.: MySN Daily inkl. Sprint Review</v>
          </cell>
        </row>
        <row r="241">
          <cell r="A241" t="str">
            <v>APDH2.03321 HR_MySuccessNetwork</v>
          </cell>
          <cell r="B241" t="str">
            <v>001 / Projekt</v>
          </cell>
          <cell r="C241" t="str">
            <v>001 / Development</v>
          </cell>
          <cell r="D241" t="str"/>
          <cell r="E241">
            <v>43683</v>
          </cell>
          <cell r="F241" t="str">
            <v>08/2019</v>
          </cell>
          <cell r="G241" t="str">
            <v>Koechling, Gabriele</v>
          </cell>
          <cell r="H241" t="str">
            <v>Z000DTQL</v>
          </cell>
          <cell r="I241" t="str"/>
          <cell r="J241" t="str">
            <v>SOP IT APD HRS C07</v>
          </cell>
          <cell r="K241">
            <v>1.5</v>
          </cell>
          <cell r="L241">
            <v>135</v>
          </cell>
          <cell r="M241">
            <v>0</v>
          </cell>
          <cell r="N241" t="str"/>
          <cell r="O241" t="str"/>
          <cell r="P241" t="str">
            <v>X</v>
          </cell>
          <cell r="Q241" t="str"/>
          <cell r="R241" t="str">
            <v xml:space="preserve">MySN Daily, tasks v. Sprint 8 begonnen zu testen
</v>
          </cell>
        </row>
        <row r="242">
          <cell r="A242" t="str">
            <v>APDH2.03321 HR_MySuccessNetwork</v>
          </cell>
          <cell r="B242" t="str">
            <v>001 / Projekt</v>
          </cell>
          <cell r="C242" t="str">
            <v>001 / Development</v>
          </cell>
          <cell r="D242" t="str"/>
          <cell r="E242">
            <v>43683</v>
          </cell>
          <cell r="F242" t="str">
            <v>08/2019</v>
          </cell>
          <cell r="G242" t="str">
            <v>Koeller, Maximilian</v>
          </cell>
          <cell r="H242" t="str">
            <v>Z003DZ7J</v>
          </cell>
          <cell r="I242" t="str"/>
          <cell r="J242" t="str">
            <v>SOP IT APD HRS C07</v>
          </cell>
          <cell r="K242">
            <v>2</v>
          </cell>
          <cell r="L242">
            <v>130</v>
          </cell>
          <cell r="M242">
            <v>0</v>
          </cell>
          <cell r="N242" t="str"/>
          <cell r="O242" t="str"/>
          <cell r="P242" t="str">
            <v>X</v>
          </cell>
          <cell r="Q242" t="str"/>
          <cell r="R242" t="str"/>
        </row>
        <row r="243">
          <cell r="A243" t="str">
            <v>APDH2.03321 HR_MySuccessNetwork</v>
          </cell>
          <cell r="B243" t="str">
            <v>001 / Projekt</v>
          </cell>
          <cell r="C243" t="str">
            <v>001 / Development</v>
          </cell>
          <cell r="D243" t="str"/>
          <cell r="E243">
            <v>43684</v>
          </cell>
          <cell r="F243" t="str">
            <v>08/2019</v>
          </cell>
          <cell r="G243" t="str">
            <v>Steinfurth, Lars</v>
          </cell>
          <cell r="H243" t="str">
            <v>Z0007NAA</v>
          </cell>
          <cell r="I243" t="str"/>
          <cell r="J243" t="str">
            <v>SOP IT APD HRS C07</v>
          </cell>
          <cell r="K243">
            <v>0.5</v>
          </cell>
          <cell r="L243">
            <v>52.5</v>
          </cell>
          <cell r="M243">
            <v>0</v>
          </cell>
          <cell r="N243" t="str"/>
          <cell r="O243" t="str"/>
          <cell r="P243" t="str">
            <v>X</v>
          </cell>
          <cell r="Q243" t="str"/>
          <cell r="R243" t="str">
            <v>ISEC Snapshare Freigabe</v>
          </cell>
        </row>
        <row r="244">
          <cell r="A244" t="str">
            <v>APDH2.03321 HR_MySuccessNetwork</v>
          </cell>
          <cell r="B244" t="str">
            <v>001 / Projekt</v>
          </cell>
          <cell r="C244" t="str">
            <v>001 / Development</v>
          </cell>
          <cell r="D244" t="str"/>
          <cell r="E244">
            <v>43684</v>
          </cell>
          <cell r="F244" t="str">
            <v>08/2019</v>
          </cell>
          <cell r="G244" t="str">
            <v>Koechling, Gabriele</v>
          </cell>
          <cell r="H244" t="str">
            <v>Z000DTQL</v>
          </cell>
          <cell r="I244" t="str"/>
          <cell r="J244" t="str">
            <v>SOP IT APD HRS C07</v>
          </cell>
          <cell r="K244">
            <v>0.5</v>
          </cell>
          <cell r="L244">
            <v>45</v>
          </cell>
          <cell r="M244">
            <v>0</v>
          </cell>
          <cell r="N244" t="str"/>
          <cell r="O244" t="str"/>
          <cell r="P244" t="str">
            <v>X</v>
          </cell>
          <cell r="Q244" t="str"/>
          <cell r="R244" t="str">
            <v xml:space="preserve">MySN Daily, Fragen notiert hinsichtl. Testing-Tasks
</v>
          </cell>
        </row>
        <row r="245">
          <cell r="A245" t="str">
            <v>APDH2.03321 HR_MySuccessNetwork</v>
          </cell>
          <cell r="B245" t="str">
            <v>001 / Projekt</v>
          </cell>
          <cell r="C245" t="str">
            <v>001 / Development</v>
          </cell>
          <cell r="D245" t="str"/>
          <cell r="E245">
            <v>43684</v>
          </cell>
          <cell r="F245" t="str">
            <v>08/2019</v>
          </cell>
          <cell r="G245" t="str">
            <v>Falke, Thomas</v>
          </cell>
          <cell r="H245" t="str">
            <v>Z000SW9C</v>
          </cell>
          <cell r="I245" t="str"/>
          <cell r="J245" t="str">
            <v>SOP IT APD HRS C07</v>
          </cell>
          <cell r="K245">
            <v>2</v>
          </cell>
          <cell r="L245">
            <v>180</v>
          </cell>
          <cell r="M245">
            <v>0</v>
          </cell>
          <cell r="N245" t="str"/>
          <cell r="O245" t="str"/>
          <cell r="P245" t="str">
            <v>X</v>
          </cell>
          <cell r="Q245" t="str"/>
          <cell r="R245" t="str">
            <v>splunk http event collector for client impl</v>
          </cell>
        </row>
        <row r="246">
          <cell r="A246" t="str">
            <v>APDH2.03321 HR_MySuccessNetwork</v>
          </cell>
          <cell r="B246" t="str">
            <v>001 / Projekt</v>
          </cell>
          <cell r="C246" t="str">
            <v>001 / Development</v>
          </cell>
          <cell r="D246" t="str"/>
          <cell r="E246">
            <v>43684</v>
          </cell>
          <cell r="F246" t="str">
            <v>08/2019</v>
          </cell>
          <cell r="G246" t="str">
            <v>Heldwein, Christian</v>
          </cell>
          <cell r="H246" t="str">
            <v>Z002385E</v>
          </cell>
          <cell r="I246" t="str">
            <v>X</v>
          </cell>
          <cell r="J246" t="str">
            <v>GULP Consulting Services GmbH (1000022841)</v>
          </cell>
          <cell r="K246">
            <v>1</v>
          </cell>
          <cell r="L246">
            <v>105</v>
          </cell>
          <cell r="M246">
            <v>0</v>
          </cell>
          <cell r="N246" t="str"/>
          <cell r="O246" t="str"/>
          <cell r="P246" t="str">
            <v>X</v>
          </cell>
          <cell r="Q246" t="str"/>
          <cell r="R246" t="str">
            <v>Klärung Anforderungen</v>
          </cell>
        </row>
        <row r="247">
          <cell r="A247" t="str">
            <v>APDH2.03321 HR_MySuccessNetwork</v>
          </cell>
          <cell r="B247" t="str">
            <v>001 / Projekt</v>
          </cell>
          <cell r="C247" t="str">
            <v>001 / Development</v>
          </cell>
          <cell r="D247" t="str"/>
          <cell r="E247">
            <v>43684</v>
          </cell>
          <cell r="F247" t="str">
            <v>08/2019</v>
          </cell>
          <cell r="G247" t="str">
            <v>Koeller, Maximilian</v>
          </cell>
          <cell r="H247" t="str">
            <v>Z003DZ7J</v>
          </cell>
          <cell r="I247" t="str"/>
          <cell r="J247" t="str">
            <v>SOP IT APD HRS C07</v>
          </cell>
          <cell r="K247">
            <v>8</v>
          </cell>
          <cell r="L247">
            <v>520</v>
          </cell>
          <cell r="M247">
            <v>0</v>
          </cell>
          <cell r="N247" t="str"/>
          <cell r="O247" t="str"/>
          <cell r="P247" t="str">
            <v>X</v>
          </cell>
          <cell r="Q247" t="str"/>
          <cell r="R247" t="str"/>
        </row>
        <row r="248">
          <cell r="A248" t="str">
            <v>APDH2.03321 HR_MySuccessNetwork</v>
          </cell>
          <cell r="B248" t="str">
            <v>001 / Projekt</v>
          </cell>
          <cell r="C248" t="str">
            <v>001 / Development</v>
          </cell>
          <cell r="D248" t="str"/>
          <cell r="E248">
            <v>43685</v>
          </cell>
          <cell r="F248" t="str">
            <v>08/2019</v>
          </cell>
          <cell r="G248" t="str">
            <v>Steinfurth, Lars</v>
          </cell>
          <cell r="H248" t="str">
            <v>Z0007NAA</v>
          </cell>
          <cell r="I248" t="str"/>
          <cell r="J248" t="str">
            <v>SOP IT APD HRS C07</v>
          </cell>
          <cell r="K248">
            <v>0.5</v>
          </cell>
          <cell r="L248">
            <v>52.5</v>
          </cell>
          <cell r="M248">
            <v>0</v>
          </cell>
          <cell r="N248" t="str"/>
          <cell r="O248" t="str"/>
          <cell r="P248" t="str">
            <v>X</v>
          </cell>
          <cell r="Q248" t="str"/>
          <cell r="R248" t="str">
            <v>ISEC Abstimmung Snapshare</v>
          </cell>
        </row>
        <row r="249">
          <cell r="A249" t="str">
            <v>APDH2.03321 HR_MySuccessNetwork</v>
          </cell>
          <cell r="B249" t="str">
            <v>001 / Projekt</v>
          </cell>
          <cell r="C249" t="str">
            <v>001 / Development</v>
          </cell>
          <cell r="D249" t="str"/>
          <cell r="E249">
            <v>43685</v>
          </cell>
          <cell r="F249" t="str">
            <v>08/2019</v>
          </cell>
          <cell r="G249" t="str">
            <v>Koechling, Gabriele</v>
          </cell>
          <cell r="H249" t="str">
            <v>Z000DTQL</v>
          </cell>
          <cell r="I249" t="str"/>
          <cell r="J249" t="str">
            <v>SOP IT APD HRS C07</v>
          </cell>
          <cell r="K249">
            <v>2.5</v>
          </cell>
          <cell r="L249">
            <v>225</v>
          </cell>
          <cell r="M249">
            <v>0</v>
          </cell>
          <cell r="N249" t="str"/>
          <cell r="O249" t="str"/>
          <cell r="P249" t="str">
            <v>X</v>
          </cell>
          <cell r="Q249" t="str"/>
          <cell r="R249" t="str">
            <v xml:space="preserve">MySN Daily, Klärung Zugriffe und Task mit Bastian, Testing der implem. Tasks, Installieren v. Workspace für Snapshot app ua. + Snapshot eingerichtet, Tests mit App
</v>
          </cell>
        </row>
        <row r="250">
          <cell r="A250" t="str">
            <v>APDH2.03321 HR_MySuccessNetwork</v>
          </cell>
          <cell r="B250" t="str">
            <v>001 / Projekt</v>
          </cell>
          <cell r="C250" t="str">
            <v>001 / Development</v>
          </cell>
          <cell r="D250" t="str"/>
          <cell r="E250">
            <v>43685</v>
          </cell>
          <cell r="F250" t="str">
            <v>08/2019</v>
          </cell>
          <cell r="G250" t="str">
            <v>Heldwein, Christian</v>
          </cell>
          <cell r="H250" t="str">
            <v>Z002385E</v>
          </cell>
          <cell r="I250" t="str">
            <v>X</v>
          </cell>
          <cell r="J250" t="str">
            <v>GULP Consulting Services GmbH (1000022841)</v>
          </cell>
          <cell r="K250">
            <v>1</v>
          </cell>
          <cell r="L250">
            <v>105</v>
          </cell>
          <cell r="M250">
            <v>0</v>
          </cell>
          <cell r="N250" t="str"/>
          <cell r="O250" t="str"/>
          <cell r="P250" t="str">
            <v>X</v>
          </cell>
          <cell r="Q250" t="str"/>
          <cell r="R250" t="str">
            <v>Klärung Anforderungen</v>
          </cell>
        </row>
        <row r="251">
          <cell r="A251" t="str">
            <v>APDH2.03321 HR_MySuccessNetwork</v>
          </cell>
          <cell r="B251" t="str">
            <v>001 / Projekt</v>
          </cell>
          <cell r="C251" t="str">
            <v>001 / Development</v>
          </cell>
          <cell r="D251" t="str"/>
          <cell r="E251">
            <v>43686</v>
          </cell>
          <cell r="F251" t="str">
            <v>08/2019</v>
          </cell>
          <cell r="G251" t="str">
            <v>Koechling, Gabriele</v>
          </cell>
          <cell r="H251" t="str">
            <v>Z000DTQL</v>
          </cell>
          <cell r="I251" t="str"/>
          <cell r="J251" t="str">
            <v>SOP IT APD HRS C07</v>
          </cell>
          <cell r="K251">
            <v>2.5</v>
          </cell>
          <cell r="L251">
            <v>225</v>
          </cell>
          <cell r="M251">
            <v>0</v>
          </cell>
          <cell r="N251" t="str"/>
          <cell r="O251" t="str"/>
          <cell r="P251" t="str">
            <v>X</v>
          </cell>
          <cell r="Q251" t="str"/>
          <cell r="R251" t="str">
            <v xml:space="preserve">MySN Daily, Klärung leere Kontaktliste mit Bastian und Welcome Seite, Testing der noch offenen Tasks
</v>
          </cell>
        </row>
        <row r="252">
          <cell r="A252" t="str">
            <v>APDH2.03321 HR_MySuccessNetwork</v>
          </cell>
          <cell r="B252" t="str">
            <v>001 / Projekt</v>
          </cell>
          <cell r="C252" t="str">
            <v>001 / Development</v>
          </cell>
          <cell r="D252" t="str"/>
          <cell r="E252">
            <v>43690</v>
          </cell>
          <cell r="F252" t="str">
            <v>08/2019</v>
          </cell>
          <cell r="G252" t="str">
            <v>Koechling, Gabriele</v>
          </cell>
          <cell r="H252" t="str">
            <v>Z000DTQL</v>
          </cell>
          <cell r="I252" t="str"/>
          <cell r="J252" t="str">
            <v>SOP IT APD HRS C07</v>
          </cell>
          <cell r="K252">
            <v>0.75</v>
          </cell>
          <cell r="L252">
            <v>67.5</v>
          </cell>
          <cell r="M252">
            <v>0</v>
          </cell>
          <cell r="N252" t="str"/>
          <cell r="O252" t="str"/>
          <cell r="P252" t="str">
            <v>X</v>
          </cell>
          <cell r="Q252" t="str"/>
          <cell r="R252" t="str">
            <v xml:space="preserve">MySN Daily, Klärung offene Tasks, vor allem zusätzliches Joint Sharing bzw. Collaborate soll nun ein neuer Button mit dem Namen "Envite" ergänzt werden. 
</v>
          </cell>
        </row>
        <row r="253">
          <cell r="A253" t="str">
            <v>APDH2.03321 HR_MySuccessNetwork</v>
          </cell>
          <cell r="B253" t="str">
            <v>001 / Projekt</v>
          </cell>
          <cell r="C253" t="str">
            <v>001 / Development</v>
          </cell>
          <cell r="D253" t="str"/>
          <cell r="E253">
            <v>43690</v>
          </cell>
          <cell r="F253" t="str">
            <v>08/2019</v>
          </cell>
          <cell r="G253" t="str">
            <v>Nordmann, Philip</v>
          </cell>
          <cell r="H253" t="str">
            <v>Z003DZ7K</v>
          </cell>
          <cell r="I253" t="str"/>
          <cell r="J253" t="str">
            <v>SOP IT APD HRS C07</v>
          </cell>
          <cell r="K253">
            <v>2</v>
          </cell>
          <cell r="L253">
            <v>90</v>
          </cell>
          <cell r="M253">
            <v>0</v>
          </cell>
          <cell r="N253" t="str"/>
          <cell r="O253" t="str"/>
          <cell r="P253" t="str">
            <v>X</v>
          </cell>
          <cell r="Q253" t="str"/>
          <cell r="R253" t="str">
            <v xml:space="preserve">Internetzone Setup
</v>
          </cell>
        </row>
        <row r="254">
          <cell r="A254" t="str">
            <v>APDH2.03321 HR_MySuccessNetwork</v>
          </cell>
          <cell r="B254" t="str">
            <v>001 / Projekt</v>
          </cell>
          <cell r="C254" t="str">
            <v>001 / Development</v>
          </cell>
          <cell r="D254" t="str"/>
          <cell r="E254">
            <v>43691</v>
          </cell>
          <cell r="F254" t="str">
            <v>08/2019</v>
          </cell>
          <cell r="G254" t="str">
            <v>Koechling, Gabriele</v>
          </cell>
          <cell r="H254" t="str">
            <v>Z000DTQL</v>
          </cell>
          <cell r="I254" t="str"/>
          <cell r="J254" t="str">
            <v>SOP IT APD HRS C07</v>
          </cell>
          <cell r="K254">
            <v>0.5</v>
          </cell>
          <cell r="L254">
            <v>45</v>
          </cell>
          <cell r="M254">
            <v>0</v>
          </cell>
          <cell r="N254" t="str"/>
          <cell r="O254" t="str"/>
          <cell r="P254" t="str">
            <v>X</v>
          </cell>
          <cell r="Q254" t="str"/>
          <cell r="R254" t="str">
            <v xml:space="preserve">MySN Daily
</v>
          </cell>
        </row>
        <row r="255">
          <cell r="A255" t="str">
            <v>APDH2.03321 HR_MySuccessNetwork</v>
          </cell>
          <cell r="B255" t="str">
            <v>001 / Projekt</v>
          </cell>
          <cell r="C255" t="str">
            <v>001 / Development</v>
          </cell>
          <cell r="D255" t="str"/>
          <cell r="E255">
            <v>43691</v>
          </cell>
          <cell r="F255" t="str">
            <v>08/2019</v>
          </cell>
          <cell r="G255" t="str">
            <v>Nordmann, Philip</v>
          </cell>
          <cell r="H255" t="str">
            <v>Z003DZ7K</v>
          </cell>
          <cell r="I255" t="str"/>
          <cell r="J255" t="str">
            <v>SOP IT APD HRS C07</v>
          </cell>
          <cell r="K255">
            <v>2</v>
          </cell>
          <cell r="L255">
            <v>90</v>
          </cell>
          <cell r="M255">
            <v>0</v>
          </cell>
          <cell r="N255" t="str"/>
          <cell r="O255" t="str"/>
          <cell r="P255" t="str">
            <v>X</v>
          </cell>
          <cell r="Q255" t="str"/>
          <cell r="R255" t="str">
            <v xml:space="preserve">Internetzone Setup
</v>
          </cell>
        </row>
        <row r="256">
          <cell r="A256" t="str">
            <v>APDH2.03321 HR_MySuccessNetwork</v>
          </cell>
          <cell r="B256" t="str">
            <v>001 / Projekt</v>
          </cell>
          <cell r="C256" t="str">
            <v>001 / Development</v>
          </cell>
          <cell r="D256" t="str"/>
          <cell r="E256">
            <v>43692</v>
          </cell>
          <cell r="F256" t="str">
            <v>08/2019</v>
          </cell>
          <cell r="G256" t="str">
            <v>Koechling, Gabriele</v>
          </cell>
          <cell r="H256" t="str">
            <v>Z000DTQL</v>
          </cell>
          <cell r="I256" t="str"/>
          <cell r="J256" t="str">
            <v>SOP IT APD HRS C07</v>
          </cell>
          <cell r="K256">
            <v>2</v>
          </cell>
          <cell r="L256">
            <v>180</v>
          </cell>
          <cell r="M256">
            <v>0</v>
          </cell>
          <cell r="N256" t="str"/>
          <cell r="O256" t="str"/>
          <cell r="P256" t="str">
            <v>X</v>
          </cell>
          <cell r="Q256" t="str"/>
          <cell r="R256" t="str">
            <v xml:space="preserve">MySN Review Sprint 8, Planning Sprint 9, Test backend switch in app
</v>
          </cell>
        </row>
        <row r="257">
          <cell r="A257" t="str">
            <v>APDH2.03321 HR_MySuccessNetwork</v>
          </cell>
          <cell r="B257" t="str">
            <v>001 / Projekt</v>
          </cell>
          <cell r="C257" t="str">
            <v>001 / Development</v>
          </cell>
          <cell r="D257" t="str"/>
          <cell r="E257">
            <v>43696</v>
          </cell>
          <cell r="F257" t="str">
            <v>08/2019</v>
          </cell>
          <cell r="G257" t="str">
            <v>Koechling, Gabriele</v>
          </cell>
          <cell r="H257" t="str">
            <v>Z000DTQL</v>
          </cell>
          <cell r="I257" t="str"/>
          <cell r="J257" t="str">
            <v>SOP IT APD HRS C07</v>
          </cell>
          <cell r="K257">
            <v>0.25</v>
          </cell>
          <cell r="L257">
            <v>22.5</v>
          </cell>
          <cell r="M257">
            <v>0</v>
          </cell>
          <cell r="N257" t="str"/>
          <cell r="O257" t="str"/>
          <cell r="P257" t="str">
            <v>X</v>
          </cell>
          <cell r="Q257" t="str"/>
          <cell r="R257" t="str">
            <v xml:space="preserve">MySN Daily / Abstimmung 
</v>
          </cell>
        </row>
        <row r="258">
          <cell r="A258" t="str">
            <v>APDH2.03321 HR_MySuccessNetwork</v>
          </cell>
          <cell r="B258" t="str">
            <v>001 / Projekt</v>
          </cell>
          <cell r="C258" t="str">
            <v>001 / Development</v>
          </cell>
          <cell r="D258" t="str"/>
          <cell r="E258">
            <v>43697</v>
          </cell>
          <cell r="F258" t="str">
            <v>08/2019</v>
          </cell>
          <cell r="G258" t="str">
            <v>Koechling, Gabriele</v>
          </cell>
          <cell r="H258" t="str">
            <v>Z000DTQL</v>
          </cell>
          <cell r="I258" t="str"/>
          <cell r="J258" t="str">
            <v>SOP IT APD HRS C07</v>
          </cell>
          <cell r="K258">
            <v>0.25</v>
          </cell>
          <cell r="L258">
            <v>22.5</v>
          </cell>
          <cell r="M258">
            <v>0</v>
          </cell>
          <cell r="N258" t="str"/>
          <cell r="O258" t="str"/>
          <cell r="P258" t="str">
            <v>X</v>
          </cell>
          <cell r="Q258" t="str"/>
          <cell r="R258" t="str">
            <v xml:space="preserve">MySN Daily / Abstimmung 
</v>
          </cell>
        </row>
        <row r="259">
          <cell r="A259" t="str">
            <v>APDH2.03321 HR_MySuccessNetwork</v>
          </cell>
          <cell r="B259" t="str">
            <v>001 / Projekt</v>
          </cell>
          <cell r="C259" t="str">
            <v>001 / Development</v>
          </cell>
          <cell r="D259" t="str"/>
          <cell r="E259">
            <v>43698</v>
          </cell>
          <cell r="F259" t="str">
            <v>08/2019</v>
          </cell>
          <cell r="G259" t="str">
            <v>Koechling, Gabriele</v>
          </cell>
          <cell r="H259" t="str">
            <v>Z000DTQL</v>
          </cell>
          <cell r="I259" t="str"/>
          <cell r="J259" t="str">
            <v>SOP IT APD HRS C07</v>
          </cell>
          <cell r="K259">
            <v>0.25</v>
          </cell>
          <cell r="L259">
            <v>22.5</v>
          </cell>
          <cell r="M259">
            <v>0</v>
          </cell>
          <cell r="N259" t="str"/>
          <cell r="O259" t="str"/>
          <cell r="P259" t="str">
            <v>X</v>
          </cell>
          <cell r="Q259" t="str"/>
          <cell r="R259" t="str">
            <v xml:space="preserve">MySN Daily / Abstimmung 
</v>
          </cell>
        </row>
        <row r="260">
          <cell r="A260" t="str">
            <v>APDH2.03321 HR_MySuccessNetwork</v>
          </cell>
          <cell r="B260" t="str">
            <v>001 / Projekt</v>
          </cell>
          <cell r="C260" t="str">
            <v>001 / Development</v>
          </cell>
          <cell r="D260" t="str"/>
          <cell r="E260">
            <v>43699</v>
          </cell>
          <cell r="F260" t="str">
            <v>08/2019</v>
          </cell>
          <cell r="G260" t="str">
            <v>Koechling, Gabriele</v>
          </cell>
          <cell r="H260" t="str">
            <v>Z000DTQL</v>
          </cell>
          <cell r="I260" t="str"/>
          <cell r="J260" t="str">
            <v>SOP IT APD HRS C07</v>
          </cell>
          <cell r="K260">
            <v>0.25</v>
          </cell>
          <cell r="L260">
            <v>22.5</v>
          </cell>
          <cell r="M260">
            <v>0</v>
          </cell>
          <cell r="N260" t="str"/>
          <cell r="O260" t="str"/>
          <cell r="P260" t="str">
            <v>X</v>
          </cell>
          <cell r="Q260" t="str"/>
          <cell r="R260" t="str">
            <v xml:space="preserve">MySN Daily / Abstimmung
</v>
          </cell>
        </row>
        <row r="261">
          <cell r="A261" t="str">
            <v>APDH2.03321 HR_MySuccessNetwork</v>
          </cell>
          <cell r="B261" t="str">
            <v>001 / Projekt</v>
          </cell>
          <cell r="C261" t="str">
            <v>001 / Development</v>
          </cell>
          <cell r="D261" t="str"/>
          <cell r="E261">
            <v>43702</v>
          </cell>
          <cell r="F261" t="str">
            <v>08/2019</v>
          </cell>
          <cell r="G261" t="str">
            <v>Koeller, Maximilian</v>
          </cell>
          <cell r="H261" t="str">
            <v>Z003DZ7J</v>
          </cell>
          <cell r="I261" t="str"/>
          <cell r="J261" t="str">
            <v>SOP IT APD HRS C07</v>
          </cell>
          <cell r="K261">
            <v>4.45</v>
          </cell>
          <cell r="L261">
            <v>289.25</v>
          </cell>
          <cell r="M261">
            <v>0</v>
          </cell>
          <cell r="N261" t="str"/>
          <cell r="O261" t="str"/>
          <cell r="P261" t="str">
            <v>X</v>
          </cell>
          <cell r="Q261" t="str"/>
          <cell r="R261" t="str"/>
        </row>
        <row r="262">
          <cell r="A262" t="str">
            <v>APDH2.03321 HR_MySuccessNetwork</v>
          </cell>
          <cell r="B262" t="str">
            <v>001 / Projekt</v>
          </cell>
          <cell r="C262" t="str">
            <v>001 / Development</v>
          </cell>
          <cell r="D262" t="str"/>
          <cell r="E262">
            <v>43703</v>
          </cell>
          <cell r="F262" t="str">
            <v>08/2019</v>
          </cell>
          <cell r="G262" t="str">
            <v>Koechling, Gabriele</v>
          </cell>
          <cell r="H262" t="str">
            <v>Z000DTQL</v>
          </cell>
          <cell r="I262" t="str"/>
          <cell r="J262" t="str">
            <v>SOP IT APD HRS C07</v>
          </cell>
          <cell r="K262">
            <v>5.42</v>
          </cell>
          <cell r="L262">
            <v>487.8</v>
          </cell>
          <cell r="M262">
            <v>0</v>
          </cell>
          <cell r="N262" t="str"/>
          <cell r="O262" t="str"/>
          <cell r="P262" t="str">
            <v>X</v>
          </cell>
          <cell r="Q262" t="str"/>
          <cell r="R262" t="str">
            <v xml:space="preserve">MySN-Daily, MySN-556 Start joint work on pool + MySN-560 Act on inbox for jointly used pool getestet und dokumentiert
</v>
          </cell>
        </row>
        <row r="263">
          <cell r="A263" t="str">
            <v>APDH2.03321 HR_MySuccessNetwork</v>
          </cell>
          <cell r="B263" t="str">
            <v>001 / Projekt</v>
          </cell>
          <cell r="C263" t="str">
            <v>001 / Development</v>
          </cell>
          <cell r="D263" t="str"/>
          <cell r="E263">
            <v>43703</v>
          </cell>
          <cell r="F263" t="str">
            <v>08/2019</v>
          </cell>
          <cell r="G263" t="str">
            <v>Speicher, Dominik</v>
          </cell>
          <cell r="H263" t="str">
            <v>Z001PE3B</v>
          </cell>
          <cell r="I263" t="str"/>
          <cell r="J263" t="str">
            <v>SOP IT APD HRS C07</v>
          </cell>
          <cell r="K263">
            <v>2</v>
          </cell>
          <cell r="L263">
            <v>180</v>
          </cell>
          <cell r="M263">
            <v>0</v>
          </cell>
          <cell r="N263" t="str"/>
          <cell r="O263" t="str"/>
          <cell r="P263" t="str">
            <v>X</v>
          </cell>
          <cell r="Q263" t="str"/>
          <cell r="R263" t="str"/>
        </row>
        <row r="264">
          <cell r="A264" t="str">
            <v>APDH2.03321 HR_MySuccessNetwork</v>
          </cell>
          <cell r="B264" t="str">
            <v>001 / Projekt</v>
          </cell>
          <cell r="C264" t="str">
            <v>001 / Development</v>
          </cell>
          <cell r="D264" t="str"/>
          <cell r="E264">
            <v>43703</v>
          </cell>
          <cell r="F264" t="str">
            <v>08/2019</v>
          </cell>
          <cell r="G264" t="str">
            <v>Bentfeld, Bastian</v>
          </cell>
          <cell r="H264" t="str">
            <v>Z0030UDK</v>
          </cell>
          <cell r="I264" t="str"/>
          <cell r="J264" t="str">
            <v>SOP IT APD HRS C07</v>
          </cell>
          <cell r="K264">
            <v>24</v>
          </cell>
          <cell r="L264">
            <v>2160</v>
          </cell>
          <cell r="M264">
            <v>0</v>
          </cell>
          <cell r="N264" t="str"/>
          <cell r="O264" t="str"/>
          <cell r="P264" t="str">
            <v>X</v>
          </cell>
          <cell r="Q264" t="str"/>
          <cell r="R264" t="str">
            <v>Nachbuchung August</v>
          </cell>
        </row>
        <row r="265">
          <cell r="A265" t="str">
            <v>APDH2.03321 HR_MySuccessNetwork</v>
          </cell>
          <cell r="B265" t="str">
            <v>001 / Projekt</v>
          </cell>
          <cell r="C265" t="str">
            <v>001 / Development</v>
          </cell>
          <cell r="D265" t="str"/>
          <cell r="E265">
            <v>43704</v>
          </cell>
          <cell r="F265" t="str">
            <v>08/2019</v>
          </cell>
          <cell r="G265" t="str">
            <v>Koechling, Gabriele</v>
          </cell>
          <cell r="H265" t="str">
            <v>Z000DTQL</v>
          </cell>
          <cell r="I265" t="str"/>
          <cell r="J265" t="str">
            <v>SOP IT APD HRS C07</v>
          </cell>
          <cell r="K265">
            <v>1.5</v>
          </cell>
          <cell r="L265">
            <v>135</v>
          </cell>
          <cell r="M265">
            <v>0</v>
          </cell>
          <cell r="N265" t="str"/>
          <cell r="O265" t="str"/>
          <cell r="P265" t="str">
            <v>X</v>
          </cell>
          <cell r="Q265" t="str"/>
          <cell r="R265" t="str">
            <v xml:space="preserve">MySN-560 Act on inbox for jointly used pool fertig getestet
</v>
          </cell>
        </row>
        <row r="266">
          <cell r="A266" t="str">
            <v>APDH2.03321 HR_MySuccessNetwork</v>
          </cell>
          <cell r="B266" t="str">
            <v>001 / Projekt</v>
          </cell>
          <cell r="C266" t="str">
            <v>001 / Development</v>
          </cell>
          <cell r="D266" t="str"/>
          <cell r="E266">
            <v>43704</v>
          </cell>
          <cell r="F266" t="str">
            <v>08/2019</v>
          </cell>
          <cell r="G266" t="str">
            <v>Bentfeld, Bastian</v>
          </cell>
          <cell r="H266" t="str">
            <v>Z0030UDK</v>
          </cell>
          <cell r="I266" t="str"/>
          <cell r="J266" t="str">
            <v>SOP IT APD HRS C07</v>
          </cell>
          <cell r="K266">
            <v>24</v>
          </cell>
          <cell r="L266">
            <v>2160</v>
          </cell>
          <cell r="M266">
            <v>0</v>
          </cell>
          <cell r="N266" t="str"/>
          <cell r="O266" t="str"/>
          <cell r="P266" t="str">
            <v>X</v>
          </cell>
          <cell r="Q266" t="str"/>
          <cell r="R266" t="str">
            <v>Nachbuchung August</v>
          </cell>
        </row>
        <row r="267">
          <cell r="A267" t="str">
            <v>APDH2.03321 HR_MySuccessNetwork</v>
          </cell>
          <cell r="B267" t="str">
            <v>001 / Projekt</v>
          </cell>
          <cell r="C267" t="str">
            <v>001 / Development</v>
          </cell>
          <cell r="D267" t="str"/>
          <cell r="E267">
            <v>43705</v>
          </cell>
          <cell r="F267" t="str">
            <v>08/2019</v>
          </cell>
          <cell r="G267" t="str">
            <v>Speicher, Dominik</v>
          </cell>
          <cell r="H267" t="str">
            <v>Z001PE3B</v>
          </cell>
          <cell r="I267" t="str"/>
          <cell r="J267" t="str">
            <v>SOP IT APD HRS C07</v>
          </cell>
          <cell r="K267">
            <v>8</v>
          </cell>
          <cell r="L267">
            <v>720</v>
          </cell>
          <cell r="M267">
            <v>0</v>
          </cell>
          <cell r="N267" t="str"/>
          <cell r="O267" t="str"/>
          <cell r="P267" t="str">
            <v>X</v>
          </cell>
          <cell r="Q267" t="str"/>
          <cell r="R267" t="str">
            <v>CW34</v>
          </cell>
        </row>
        <row r="268">
          <cell r="A268" t="str">
            <v>APDH2.03321 HR_MySuccessNetwork</v>
          </cell>
          <cell r="B268" t="str">
            <v>001 / Projekt</v>
          </cell>
          <cell r="C268" t="str">
            <v>001 / Development</v>
          </cell>
          <cell r="D268" t="str"/>
          <cell r="E268">
            <v>43705</v>
          </cell>
          <cell r="F268" t="str">
            <v>08/2019</v>
          </cell>
          <cell r="G268" t="str">
            <v>Bentfeld, Bastian</v>
          </cell>
          <cell r="H268" t="str">
            <v>Z0030UDK</v>
          </cell>
          <cell r="I268" t="str"/>
          <cell r="J268" t="str">
            <v>SOP IT APD HRS C07</v>
          </cell>
          <cell r="K268">
            <v>24</v>
          </cell>
          <cell r="L268">
            <v>2160</v>
          </cell>
          <cell r="M268">
            <v>0</v>
          </cell>
          <cell r="N268" t="str"/>
          <cell r="O268" t="str"/>
          <cell r="P268" t="str">
            <v>X</v>
          </cell>
          <cell r="Q268" t="str"/>
          <cell r="R268" t="str">
            <v>Nachbuchung August</v>
          </cell>
        </row>
        <row r="269">
          <cell r="A269" t="str">
            <v>APDH2.03321 HR_MySuccessNetwork</v>
          </cell>
          <cell r="B269" t="str">
            <v>001 / Projekt</v>
          </cell>
          <cell r="C269" t="str">
            <v>001 / Development</v>
          </cell>
          <cell r="D269" t="str"/>
          <cell r="E269">
            <v>43705</v>
          </cell>
          <cell r="F269" t="str">
            <v>08/2019</v>
          </cell>
          <cell r="G269" t="str">
            <v>Koeller, Maximilian</v>
          </cell>
          <cell r="H269" t="str">
            <v>Z003DZ7J</v>
          </cell>
          <cell r="I269" t="str"/>
          <cell r="J269" t="str">
            <v>SOP IT APD HRS C07</v>
          </cell>
          <cell r="K269">
            <v>4.2</v>
          </cell>
          <cell r="L269">
            <v>273</v>
          </cell>
          <cell r="M269">
            <v>0</v>
          </cell>
          <cell r="N269" t="str"/>
          <cell r="O269" t="str"/>
          <cell r="P269" t="str">
            <v>X</v>
          </cell>
          <cell r="Q269" t="str"/>
          <cell r="R269" t="str"/>
        </row>
        <row r="270">
          <cell r="A270" t="str">
            <v>APDH2.03321 HR_MySuccessNetwork</v>
          </cell>
          <cell r="B270" t="str">
            <v>001 / Projekt</v>
          </cell>
          <cell r="C270" t="str">
            <v>001 / Development</v>
          </cell>
          <cell r="D270" t="str"/>
          <cell r="E270">
            <v>43706</v>
          </cell>
          <cell r="F270" t="str">
            <v>08/2019</v>
          </cell>
          <cell r="G270" t="str">
            <v>Speicher, Dominik</v>
          </cell>
          <cell r="H270" t="str">
            <v>Z001PE3B</v>
          </cell>
          <cell r="I270" t="str"/>
          <cell r="J270" t="str">
            <v>SOP IT APD HRS C07</v>
          </cell>
          <cell r="K270">
            <v>2</v>
          </cell>
          <cell r="L270">
            <v>180</v>
          </cell>
          <cell r="M270">
            <v>0</v>
          </cell>
          <cell r="N270" t="str"/>
          <cell r="O270" t="str"/>
          <cell r="P270" t="str">
            <v>X</v>
          </cell>
          <cell r="Q270" t="str"/>
          <cell r="R270" t="str"/>
        </row>
        <row r="271">
          <cell r="A271" t="str">
            <v>APDH2.03321 HR_MySuccessNetwork</v>
          </cell>
          <cell r="B271" t="str">
            <v>001 / Projekt</v>
          </cell>
          <cell r="C271" t="str">
            <v>001 / Development</v>
          </cell>
          <cell r="D271" t="str"/>
          <cell r="E271">
            <v>43706</v>
          </cell>
          <cell r="F271" t="str">
            <v>08/2019</v>
          </cell>
          <cell r="G271" t="str">
            <v>Bentfeld, Bastian</v>
          </cell>
          <cell r="H271" t="str">
            <v>Z0030UDK</v>
          </cell>
          <cell r="I271" t="str"/>
          <cell r="J271" t="str">
            <v>SOP IT APD HRS C07</v>
          </cell>
          <cell r="K271">
            <v>0.5</v>
          </cell>
          <cell r="L271">
            <v>45</v>
          </cell>
          <cell r="M271">
            <v>0</v>
          </cell>
          <cell r="N271" t="str"/>
          <cell r="O271" t="str"/>
          <cell r="P271" t="str">
            <v>X</v>
          </cell>
          <cell r="Q271" t="str"/>
          <cell r="R271" t="str">
            <v>Nachbuchung August</v>
          </cell>
        </row>
        <row r="272">
          <cell r="A272" t="str">
            <v>APDH2.03321 HR_MySuccessNetwork</v>
          </cell>
          <cell r="B272" t="str">
            <v>001 / Projekt</v>
          </cell>
          <cell r="C272" t="str">
            <v>001 / Development</v>
          </cell>
          <cell r="D272" t="str"/>
          <cell r="E272">
            <v>43706</v>
          </cell>
          <cell r="F272" t="str">
            <v>08/2019</v>
          </cell>
          <cell r="G272" t="str">
            <v>Koeller, Maximilian</v>
          </cell>
          <cell r="H272" t="str">
            <v>Z003DZ7J</v>
          </cell>
          <cell r="I272" t="str"/>
          <cell r="J272" t="str">
            <v>SOP IT APD HRS C07</v>
          </cell>
          <cell r="K272">
            <v>7.3</v>
          </cell>
          <cell r="L272">
            <v>474.5</v>
          </cell>
          <cell r="M272">
            <v>0</v>
          </cell>
          <cell r="N272" t="str"/>
          <cell r="O272" t="str"/>
          <cell r="P272" t="str">
            <v>X</v>
          </cell>
          <cell r="Q272" t="str"/>
          <cell r="R272" t="str"/>
        </row>
        <row r="273">
          <cell r="A273" t="str">
            <v>APDH2.03321 HR_MySuccessNetwork</v>
          </cell>
          <cell r="B273" t="str">
            <v>001 / Projekt</v>
          </cell>
          <cell r="C273" t="str">
            <v>001 / Development</v>
          </cell>
          <cell r="D273" t="str"/>
          <cell r="E273">
            <v>43707</v>
          </cell>
          <cell r="F273" t="str">
            <v>08/2019</v>
          </cell>
          <cell r="G273" t="str">
            <v>Speicher, Dominik</v>
          </cell>
          <cell r="H273" t="str">
            <v>Z001PE3B</v>
          </cell>
          <cell r="I273" t="str"/>
          <cell r="J273" t="str">
            <v>SOP IT APD HRS C07</v>
          </cell>
          <cell r="K273">
            <v>2</v>
          </cell>
          <cell r="L273">
            <v>180</v>
          </cell>
          <cell r="M273">
            <v>0</v>
          </cell>
          <cell r="N273" t="str"/>
          <cell r="O273" t="str"/>
          <cell r="P273" t="str">
            <v>X</v>
          </cell>
          <cell r="Q273" t="str"/>
          <cell r="R273" t="str"/>
        </row>
        <row r="274">
          <cell r="A274" t="str">
            <v>APDH2.03321 HR_MySuccessNetwork</v>
          </cell>
          <cell r="B274" t="str">
            <v>001 / Projekt</v>
          </cell>
          <cell r="C274" t="str">
            <v>001 / Development</v>
          </cell>
          <cell r="D274" t="str"/>
          <cell r="E274">
            <v>43707</v>
          </cell>
          <cell r="F274" t="str">
            <v>08/2019</v>
          </cell>
          <cell r="G274" t="str">
            <v>Koeller, Maximilian</v>
          </cell>
          <cell r="H274" t="str">
            <v>Z003DZ7J</v>
          </cell>
          <cell r="I274" t="str"/>
          <cell r="J274" t="str">
            <v>SOP IT APD HRS C07</v>
          </cell>
          <cell r="K274">
            <v>8</v>
          </cell>
          <cell r="L274">
            <v>520</v>
          </cell>
          <cell r="M274">
            <v>0</v>
          </cell>
          <cell r="N274" t="str"/>
          <cell r="O274" t="str"/>
          <cell r="P274" t="str">
            <v>X</v>
          </cell>
          <cell r="Q274" t="str"/>
          <cell r="R274" t="str"/>
        </row>
        <row r="275">
          <cell r="A275" t="str">
            <v>APDH2.03321 HR_MySuccessNetwork</v>
          </cell>
          <cell r="B275" t="str">
            <v>001 / Projekt</v>
          </cell>
          <cell r="C275" t="str">
            <v>001 / Development</v>
          </cell>
          <cell r="D275" t="str"/>
          <cell r="E275">
            <v>43710</v>
          </cell>
          <cell r="F275" t="str">
            <v>09/2019</v>
          </cell>
          <cell r="G275" t="str">
            <v>Koechling, Gabriele</v>
          </cell>
          <cell r="H275" t="str">
            <v>Z000DTQL</v>
          </cell>
          <cell r="I275" t="str"/>
          <cell r="J275" t="str">
            <v>SOP IT APD HRS C07</v>
          </cell>
          <cell r="K275">
            <v>0.5</v>
          </cell>
          <cell r="L275">
            <v>45</v>
          </cell>
          <cell r="M275">
            <v>0</v>
          </cell>
          <cell r="N275" t="str"/>
          <cell r="O275" t="str"/>
          <cell r="P275" t="str">
            <v>X</v>
          </cell>
          <cell r="Q275" t="str"/>
          <cell r="R275" t="str">
            <v xml:space="preserve">MySN Userstories geprüft, Kommunik. mit Entwicklern
</v>
          </cell>
        </row>
        <row r="276">
          <cell r="A276" t="str">
            <v>APDH2.03321 HR_MySuccessNetwork</v>
          </cell>
          <cell r="B276" t="str">
            <v>001 / Projekt</v>
          </cell>
          <cell r="C276" t="str">
            <v>001 / Development</v>
          </cell>
          <cell r="D276" t="str"/>
          <cell r="E276">
            <v>43710</v>
          </cell>
          <cell r="F276" t="str">
            <v>09/2019</v>
          </cell>
          <cell r="G276" t="str">
            <v>Koeller, Maximilian</v>
          </cell>
          <cell r="H276" t="str">
            <v>Z003DZ7J</v>
          </cell>
          <cell r="I276" t="str"/>
          <cell r="J276" t="str">
            <v>SOP IT APD HRS C07</v>
          </cell>
          <cell r="K276">
            <v>8.25</v>
          </cell>
          <cell r="L276">
            <v>536.25</v>
          </cell>
          <cell r="M276">
            <v>0</v>
          </cell>
          <cell r="N276" t="str"/>
          <cell r="O276" t="str"/>
          <cell r="P276" t="str">
            <v>X</v>
          </cell>
          <cell r="Q276" t="str"/>
          <cell r="R276" t="str"/>
        </row>
        <row r="277">
          <cell r="A277" t="str">
            <v>APDH2.03321 HR_MySuccessNetwork</v>
          </cell>
          <cell r="B277" t="str">
            <v>001 / Projekt</v>
          </cell>
          <cell r="C277" t="str">
            <v>001 / Development</v>
          </cell>
          <cell r="D277" t="str"/>
          <cell r="E277">
            <v>43711</v>
          </cell>
          <cell r="F277" t="str">
            <v>09/2019</v>
          </cell>
          <cell r="G277" t="str">
            <v>Koechling, Gabriele</v>
          </cell>
          <cell r="H277" t="str">
            <v>Z000DTQL</v>
          </cell>
          <cell r="I277" t="str"/>
          <cell r="J277" t="str">
            <v>SOP IT APD HRS C07</v>
          </cell>
          <cell r="K277">
            <v>2.92</v>
          </cell>
          <cell r="L277">
            <v>262.8</v>
          </cell>
          <cell r="M277">
            <v>0</v>
          </cell>
          <cell r="N277" t="str"/>
          <cell r="O277" t="str"/>
          <cell r="P277" t="str">
            <v>X</v>
          </cell>
          <cell r="Q277" t="str"/>
          <cell r="R277" t="str">
            <v xml:space="preserve">MySN Daily, MySN Userstories getestet
</v>
          </cell>
        </row>
        <row r="278">
          <cell r="A278" t="str">
            <v>APDH2.03321 HR_MySuccessNetwork</v>
          </cell>
          <cell r="B278" t="str">
            <v>001 / Projekt</v>
          </cell>
          <cell r="C278" t="str">
            <v>001 / Development</v>
          </cell>
          <cell r="D278" t="str"/>
          <cell r="E278">
            <v>43711</v>
          </cell>
          <cell r="F278" t="str">
            <v>09/2019</v>
          </cell>
          <cell r="G278" t="str">
            <v>Speicher, Dominik</v>
          </cell>
          <cell r="H278" t="str">
            <v>Z001PE3B</v>
          </cell>
          <cell r="I278" t="str"/>
          <cell r="J278" t="str">
            <v>SOP IT APD HRS C07</v>
          </cell>
          <cell r="K278">
            <v>2.5</v>
          </cell>
          <cell r="L278">
            <v>225</v>
          </cell>
          <cell r="M278">
            <v>0</v>
          </cell>
          <cell r="N278" t="str"/>
          <cell r="O278" t="str"/>
          <cell r="P278" t="str">
            <v>X</v>
          </cell>
          <cell r="Q278" t="str"/>
          <cell r="R278" t="str"/>
        </row>
        <row r="279">
          <cell r="A279" t="str">
            <v>APDH2.03321 HR_MySuccessNetwork</v>
          </cell>
          <cell r="B279" t="str">
            <v>001 / Projekt</v>
          </cell>
          <cell r="C279" t="str">
            <v>001 / Development</v>
          </cell>
          <cell r="D279" t="str"/>
          <cell r="E279">
            <v>43711</v>
          </cell>
          <cell r="F279" t="str">
            <v>09/2019</v>
          </cell>
          <cell r="G279" t="str">
            <v>Nordmann, Philip</v>
          </cell>
          <cell r="H279" t="str">
            <v>Z003DZ7K</v>
          </cell>
          <cell r="I279" t="str"/>
          <cell r="J279" t="str">
            <v>SOP IT APD HRS C07</v>
          </cell>
          <cell r="K279">
            <v>1</v>
          </cell>
          <cell r="L279">
            <v>45</v>
          </cell>
          <cell r="M279">
            <v>0</v>
          </cell>
          <cell r="N279" t="str"/>
          <cell r="O279" t="str"/>
          <cell r="P279" t="str">
            <v>X</v>
          </cell>
          <cell r="Q279" t="str"/>
          <cell r="R279" t="str">
            <v>Setup Internet Infrastructure</v>
          </cell>
        </row>
        <row r="280">
          <cell r="A280" t="str">
            <v>APDH2.03321 HR_MySuccessNetwork</v>
          </cell>
          <cell r="B280" t="str">
            <v>001 / Projekt</v>
          </cell>
          <cell r="C280" t="str">
            <v>001 / Development</v>
          </cell>
          <cell r="D280" t="str"/>
          <cell r="E280">
            <v>43712</v>
          </cell>
          <cell r="F280" t="str">
            <v>09/2019</v>
          </cell>
          <cell r="G280" t="str">
            <v>Koechling, Gabriele</v>
          </cell>
          <cell r="H280" t="str">
            <v>Z000DTQL</v>
          </cell>
          <cell r="I280" t="str"/>
          <cell r="J280" t="str">
            <v>SOP IT APD HRS C07</v>
          </cell>
          <cell r="K280">
            <v>5.17</v>
          </cell>
          <cell r="L280">
            <v>465.3</v>
          </cell>
          <cell r="M280">
            <v>0</v>
          </cell>
          <cell r="N280" t="str"/>
          <cell r="O280" t="str"/>
          <cell r="P280" t="str">
            <v>X</v>
          </cell>
          <cell r="Q280" t="str"/>
          <cell r="R280" t="str">
            <v xml:space="preserve">MySN Daily, MySN Userstories v. Sprint 9 fertig getestet
</v>
          </cell>
        </row>
        <row r="281">
          <cell r="A281" t="str">
            <v>APDH2.03321 HR_MySuccessNetwork</v>
          </cell>
          <cell r="B281" t="str">
            <v>001 / Projekt</v>
          </cell>
          <cell r="C281" t="str">
            <v>001 / Development</v>
          </cell>
          <cell r="D281" t="str"/>
          <cell r="E281">
            <v>43712</v>
          </cell>
          <cell r="F281" t="str">
            <v>09/2019</v>
          </cell>
          <cell r="G281" t="str">
            <v>Speicher, Dominik</v>
          </cell>
          <cell r="H281" t="str">
            <v>Z001PE3B</v>
          </cell>
          <cell r="I281" t="str"/>
          <cell r="J281" t="str">
            <v>SOP IT APD HRS C07</v>
          </cell>
          <cell r="K281">
            <v>1</v>
          </cell>
          <cell r="L281">
            <v>90</v>
          </cell>
          <cell r="M281">
            <v>0</v>
          </cell>
          <cell r="N281" t="str"/>
          <cell r="O281" t="str"/>
          <cell r="P281" t="str">
            <v>X</v>
          </cell>
          <cell r="Q281" t="str"/>
          <cell r="R281" t="str"/>
        </row>
        <row r="282">
          <cell r="A282" t="str">
            <v>APDH2.03321 HR_MySuccessNetwork</v>
          </cell>
          <cell r="B282" t="str">
            <v>001 / Projekt</v>
          </cell>
          <cell r="C282" t="str">
            <v>001 / Development</v>
          </cell>
          <cell r="D282" t="str"/>
          <cell r="E282">
            <v>43713</v>
          </cell>
          <cell r="F282" t="str">
            <v>09/2019</v>
          </cell>
          <cell r="G282" t="str">
            <v>Koechling, Gabriele</v>
          </cell>
          <cell r="H282" t="str">
            <v>Z000DTQL</v>
          </cell>
          <cell r="I282" t="str"/>
          <cell r="J282" t="str">
            <v>SOP IT APD HRS C07</v>
          </cell>
          <cell r="K282">
            <v>2</v>
          </cell>
          <cell r="L282">
            <v>180</v>
          </cell>
          <cell r="M282">
            <v>0</v>
          </cell>
          <cell r="N282" t="str"/>
          <cell r="O282" t="str"/>
          <cell r="P282" t="str">
            <v>X</v>
          </cell>
          <cell r="Q282" t="str"/>
          <cell r="R282" t="str">
            <v xml:space="preserve">MySN Review + Retro
</v>
          </cell>
        </row>
        <row r="283">
          <cell r="A283" t="str">
            <v>APDH2.03321 HR_MySuccessNetwork</v>
          </cell>
          <cell r="B283" t="str">
            <v>001 / Projekt</v>
          </cell>
          <cell r="C283" t="str">
            <v>001 / Development</v>
          </cell>
          <cell r="D283" t="str"/>
          <cell r="E283">
            <v>43713</v>
          </cell>
          <cell r="F283" t="str">
            <v>09/2019</v>
          </cell>
          <cell r="G283" t="str">
            <v>Speicher, Dominik</v>
          </cell>
          <cell r="H283" t="str">
            <v>Z001PE3B</v>
          </cell>
          <cell r="I283" t="str"/>
          <cell r="J283" t="str">
            <v>SOP IT APD HRS C07</v>
          </cell>
          <cell r="K283">
            <v>5</v>
          </cell>
          <cell r="L283">
            <v>450</v>
          </cell>
          <cell r="M283">
            <v>0</v>
          </cell>
          <cell r="N283" t="str"/>
          <cell r="O283" t="str"/>
          <cell r="P283" t="str">
            <v>X</v>
          </cell>
          <cell r="Q283" t="str"/>
          <cell r="R283" t="str"/>
        </row>
        <row r="284">
          <cell r="A284" t="str">
            <v>APDH2.03321 HR_MySuccessNetwork</v>
          </cell>
          <cell r="B284" t="str">
            <v>001 / Projekt</v>
          </cell>
          <cell r="C284" t="str">
            <v>001 / Development</v>
          </cell>
          <cell r="D284" t="str"/>
          <cell r="E284">
            <v>43713</v>
          </cell>
          <cell r="F284" t="str">
            <v>09/2019</v>
          </cell>
          <cell r="G284" t="str">
            <v>Bentfeld, Bastian</v>
          </cell>
          <cell r="H284" t="str">
            <v>Z0030UDK</v>
          </cell>
          <cell r="I284" t="str"/>
          <cell r="J284" t="str">
            <v>SOP IT APD HRS C07</v>
          </cell>
          <cell r="K284">
            <v>4</v>
          </cell>
          <cell r="L284">
            <v>360</v>
          </cell>
          <cell r="M284">
            <v>0</v>
          </cell>
          <cell r="N284" t="str"/>
          <cell r="O284" t="str"/>
          <cell r="P284" t="str">
            <v>X</v>
          </cell>
          <cell r="Q284" t="str"/>
          <cell r="R284" t="str"/>
        </row>
        <row r="285">
          <cell r="A285" t="str">
            <v>APDH2.03321 HR_MySuccessNetwork</v>
          </cell>
          <cell r="B285" t="str">
            <v>001 / Projekt</v>
          </cell>
          <cell r="C285" t="str">
            <v>001 / Development</v>
          </cell>
          <cell r="D285" t="str"/>
          <cell r="E285">
            <v>43713</v>
          </cell>
          <cell r="F285" t="str">
            <v>09/2019</v>
          </cell>
          <cell r="G285" t="str">
            <v>Koeller, Maximilian</v>
          </cell>
          <cell r="H285" t="str">
            <v>Z003DZ7J</v>
          </cell>
          <cell r="I285" t="str"/>
          <cell r="J285" t="str">
            <v>SOP IT APD HRS C07</v>
          </cell>
          <cell r="K285">
            <v>4</v>
          </cell>
          <cell r="L285">
            <v>260</v>
          </cell>
          <cell r="M285">
            <v>0</v>
          </cell>
          <cell r="N285" t="str"/>
          <cell r="O285" t="str"/>
          <cell r="P285" t="str">
            <v>X</v>
          </cell>
          <cell r="Q285" t="str"/>
          <cell r="R285" t="str"/>
        </row>
        <row r="286">
          <cell r="A286" t="str">
            <v>APDH2.03321 HR_MySuccessNetwork</v>
          </cell>
          <cell r="B286" t="str">
            <v>001 / Projekt</v>
          </cell>
          <cell r="C286" t="str">
            <v>001 / Development</v>
          </cell>
          <cell r="D286" t="str"/>
          <cell r="E286">
            <v>43714</v>
          </cell>
          <cell r="F286" t="str">
            <v>09/2019</v>
          </cell>
          <cell r="G286" t="str">
            <v>Koechling, Gabriele</v>
          </cell>
          <cell r="H286" t="str">
            <v>Z000DTQL</v>
          </cell>
          <cell r="I286" t="str"/>
          <cell r="J286" t="str">
            <v>SOP IT APD HRS C07</v>
          </cell>
          <cell r="K286">
            <v>3</v>
          </cell>
          <cell r="L286">
            <v>270</v>
          </cell>
          <cell r="M286">
            <v>0</v>
          </cell>
          <cell r="N286" t="str"/>
          <cell r="O286" t="str"/>
          <cell r="P286" t="str">
            <v>X</v>
          </cell>
          <cell r="Q286" t="str"/>
          <cell r="R286" t="str">
            <v xml:space="preserve">Installationen fr. und Einrchten v. Browser Extentions für Jenkins, Meeting mit Testteam zum Thema Testautomatisierung
</v>
          </cell>
        </row>
        <row r="287">
          <cell r="A287" t="str">
            <v>APDH2.03321 HR_MySuccessNetwork</v>
          </cell>
          <cell r="B287" t="str">
            <v>001 / Projekt</v>
          </cell>
          <cell r="C287" t="str">
            <v>001 / Development</v>
          </cell>
          <cell r="D287" t="str"/>
          <cell r="E287">
            <v>43714</v>
          </cell>
          <cell r="F287" t="str">
            <v>09/2019</v>
          </cell>
          <cell r="G287" t="str">
            <v>Speicher, Dominik</v>
          </cell>
          <cell r="H287" t="str">
            <v>Z001PE3B</v>
          </cell>
          <cell r="I287" t="str"/>
          <cell r="J287" t="str">
            <v>SOP IT APD HRS C07</v>
          </cell>
          <cell r="K287">
            <v>1</v>
          </cell>
          <cell r="L287">
            <v>90</v>
          </cell>
          <cell r="M287">
            <v>0</v>
          </cell>
          <cell r="N287" t="str"/>
          <cell r="O287" t="str"/>
          <cell r="P287" t="str">
            <v>X</v>
          </cell>
          <cell r="Q287" t="str"/>
          <cell r="R287" t="str"/>
        </row>
        <row r="288">
          <cell r="A288" t="str">
            <v>APDH2.03321 HR_MySuccessNetwork</v>
          </cell>
          <cell r="B288" t="str">
            <v>001 / Projekt</v>
          </cell>
          <cell r="C288" t="str">
            <v>001 / Development</v>
          </cell>
          <cell r="D288" t="str"/>
          <cell r="E288">
            <v>43714</v>
          </cell>
          <cell r="F288" t="str">
            <v>09/2019</v>
          </cell>
          <cell r="G288" t="str">
            <v>Bentfeld, Bastian</v>
          </cell>
          <cell r="H288" t="str">
            <v>Z0030UDK</v>
          </cell>
          <cell r="I288" t="str"/>
          <cell r="J288" t="str">
            <v>SOP IT APD HRS C07</v>
          </cell>
          <cell r="K288">
            <v>2</v>
          </cell>
          <cell r="L288">
            <v>180</v>
          </cell>
          <cell r="M288">
            <v>0</v>
          </cell>
          <cell r="N288" t="str"/>
          <cell r="O288" t="str"/>
          <cell r="P288" t="str">
            <v>X</v>
          </cell>
          <cell r="Q288" t="str"/>
          <cell r="R288" t="str"/>
        </row>
        <row r="289">
          <cell r="A289" t="str">
            <v>APDH2.03321 HR_MySuccessNetwork</v>
          </cell>
          <cell r="B289" t="str">
            <v>001 / Projekt</v>
          </cell>
          <cell r="C289" t="str">
            <v>001 / Development</v>
          </cell>
          <cell r="D289" t="str"/>
          <cell r="E289">
            <v>43717</v>
          </cell>
          <cell r="F289" t="str">
            <v>09/2019</v>
          </cell>
          <cell r="G289" t="str">
            <v>Koechling, Gabriele</v>
          </cell>
          <cell r="H289" t="str">
            <v>Z000DTQL</v>
          </cell>
          <cell r="I289" t="str"/>
          <cell r="J289" t="str">
            <v>SOP IT APD HRS C07</v>
          </cell>
          <cell r="K289">
            <v>5.75</v>
          </cell>
          <cell r="L289">
            <v>517.5</v>
          </cell>
          <cell r="M289">
            <v>0</v>
          </cell>
          <cell r="N289" t="str"/>
          <cell r="O289" t="str"/>
          <cell r="P289" t="str">
            <v>X</v>
          </cell>
          <cell r="Q289" t="str"/>
          <cell r="R289" t="str">
            <v xml:space="preserve">Meeting zur Testautomatisierung, mit der fachl. Beschreibung der Tests mit Hilfe des Process-Sheets begonnen
</v>
          </cell>
        </row>
        <row r="290">
          <cell r="A290" t="str">
            <v>APDH2.03321 HR_MySuccessNetwork</v>
          </cell>
          <cell r="B290" t="str">
            <v>001 / Projekt</v>
          </cell>
          <cell r="C290" t="str">
            <v>001 / Development</v>
          </cell>
          <cell r="D290" t="str"/>
          <cell r="E290">
            <v>43717</v>
          </cell>
          <cell r="F290" t="str">
            <v>09/2019</v>
          </cell>
          <cell r="G290" t="str">
            <v>Speicher, Dominik</v>
          </cell>
          <cell r="H290" t="str">
            <v>Z001PE3B</v>
          </cell>
          <cell r="I290" t="str"/>
          <cell r="J290" t="str">
            <v>SOP IT APD HRS C07</v>
          </cell>
          <cell r="K290">
            <v>1</v>
          </cell>
          <cell r="L290">
            <v>90</v>
          </cell>
          <cell r="M290">
            <v>0</v>
          </cell>
          <cell r="N290" t="str"/>
          <cell r="O290" t="str"/>
          <cell r="P290" t="str">
            <v>X</v>
          </cell>
          <cell r="Q290" t="str"/>
          <cell r="R290" t="str"/>
        </row>
        <row r="291">
          <cell r="A291" t="str">
            <v>APDH2.03321 HR_MySuccessNetwork</v>
          </cell>
          <cell r="B291" t="str">
            <v>001 / Projekt</v>
          </cell>
          <cell r="C291" t="str">
            <v>001 / Development</v>
          </cell>
          <cell r="D291" t="str"/>
          <cell r="E291">
            <v>43717</v>
          </cell>
          <cell r="F291" t="str">
            <v>09/2019</v>
          </cell>
          <cell r="G291" t="str">
            <v>Zak, Alexander</v>
          </cell>
          <cell r="H291" t="str">
            <v>Z001PMUV</v>
          </cell>
          <cell r="I291" t="str"/>
          <cell r="J291" t="str">
            <v>SOP IT APD HRS C06</v>
          </cell>
          <cell r="K291">
            <v>1</v>
          </cell>
          <cell r="L291">
            <v>105</v>
          </cell>
          <cell r="M291">
            <v>0</v>
          </cell>
          <cell r="N291" t="str"/>
          <cell r="O291" t="str"/>
          <cell r="P291" t="str">
            <v>X</v>
          </cell>
          <cell r="Q291" t="str"/>
          <cell r="R291" t="str"/>
        </row>
        <row r="292">
          <cell r="A292" t="str">
            <v>APDH2.03321 HR_MySuccessNetwork</v>
          </cell>
          <cell r="B292" t="str">
            <v>001 / Projekt</v>
          </cell>
          <cell r="C292" t="str">
            <v>001 / Development</v>
          </cell>
          <cell r="D292" t="str"/>
          <cell r="E292">
            <v>43718</v>
          </cell>
          <cell r="F292" t="str">
            <v>09/2019</v>
          </cell>
          <cell r="G292" t="str">
            <v>Koechling, Gabriele</v>
          </cell>
          <cell r="H292" t="str">
            <v>Z000DTQL</v>
          </cell>
          <cell r="I292" t="str"/>
          <cell r="J292" t="str">
            <v>SOP IT APD HRS C07</v>
          </cell>
          <cell r="K292">
            <v>0.5</v>
          </cell>
          <cell r="L292">
            <v>45</v>
          </cell>
          <cell r="M292">
            <v>0</v>
          </cell>
          <cell r="N292" t="str"/>
          <cell r="O292" t="str"/>
          <cell r="P292" t="str">
            <v>X</v>
          </cell>
          <cell r="Q292" t="str"/>
          <cell r="R292" t="str">
            <v xml:space="preserve">MySN Daily, Prüfung zu testender Userstories aus dem aktuellen Sprint
</v>
          </cell>
        </row>
        <row r="293">
          <cell r="A293" t="str">
            <v>APDH2.03321 HR_MySuccessNetwork</v>
          </cell>
          <cell r="B293" t="str">
            <v>001 / Projekt</v>
          </cell>
          <cell r="C293" t="str">
            <v>001 / Development</v>
          </cell>
          <cell r="D293" t="str"/>
          <cell r="E293">
            <v>43718</v>
          </cell>
          <cell r="F293" t="str">
            <v>09/2019</v>
          </cell>
          <cell r="G293" t="str">
            <v>Zak, Alexander</v>
          </cell>
          <cell r="H293" t="str">
            <v>Z001PMUV</v>
          </cell>
          <cell r="I293" t="str"/>
          <cell r="J293" t="str">
            <v>SOP IT APD HRS C06</v>
          </cell>
          <cell r="K293">
            <v>1</v>
          </cell>
          <cell r="L293">
            <v>105</v>
          </cell>
          <cell r="M293">
            <v>0</v>
          </cell>
          <cell r="N293" t="str"/>
          <cell r="O293" t="str"/>
          <cell r="P293" t="str">
            <v>X</v>
          </cell>
          <cell r="Q293" t="str"/>
          <cell r="R293" t="str"/>
        </row>
        <row r="294">
          <cell r="A294" t="str">
            <v>APDH2.03321 HR_MySuccessNetwork</v>
          </cell>
          <cell r="B294" t="str">
            <v>001 / Projekt</v>
          </cell>
          <cell r="C294" t="str">
            <v>001 / Development</v>
          </cell>
          <cell r="D294" t="str"/>
          <cell r="E294">
            <v>43718</v>
          </cell>
          <cell r="F294" t="str">
            <v>09/2019</v>
          </cell>
          <cell r="G294" t="str">
            <v>Koeller, Maximilian</v>
          </cell>
          <cell r="H294" t="str">
            <v>Z003DZ7J</v>
          </cell>
          <cell r="I294" t="str"/>
          <cell r="J294" t="str">
            <v>SOP IT APD HRS C07</v>
          </cell>
          <cell r="K294">
            <v>4.2</v>
          </cell>
          <cell r="L294">
            <v>273</v>
          </cell>
          <cell r="M294">
            <v>0</v>
          </cell>
          <cell r="N294" t="str"/>
          <cell r="O294" t="str"/>
          <cell r="P294" t="str">
            <v>X</v>
          </cell>
          <cell r="Q294" t="str"/>
          <cell r="R294" t="str"/>
        </row>
        <row r="295">
          <cell r="A295" t="str">
            <v>APDH2.03321 HR_MySuccessNetwork</v>
          </cell>
          <cell r="B295" t="str">
            <v>001 / Projekt</v>
          </cell>
          <cell r="C295" t="str">
            <v>001 / Development</v>
          </cell>
          <cell r="D295" t="str"/>
          <cell r="E295">
            <v>43719</v>
          </cell>
          <cell r="F295" t="str">
            <v>09/2019</v>
          </cell>
          <cell r="G295" t="str">
            <v>Zak, Alexander</v>
          </cell>
          <cell r="H295" t="str">
            <v>Z001PMUV</v>
          </cell>
          <cell r="I295" t="str"/>
          <cell r="J295" t="str">
            <v>SOP IT APD HRS C06</v>
          </cell>
          <cell r="K295">
            <v>1</v>
          </cell>
          <cell r="L295">
            <v>105</v>
          </cell>
          <cell r="M295">
            <v>0</v>
          </cell>
          <cell r="N295" t="str"/>
          <cell r="O295" t="str"/>
          <cell r="P295" t="str">
            <v>X</v>
          </cell>
          <cell r="Q295" t="str"/>
          <cell r="R295" t="str"/>
        </row>
        <row r="296">
          <cell r="A296" t="str">
            <v>APDH2.03321 HR_MySuccessNetwork</v>
          </cell>
          <cell r="B296" t="str">
            <v>001 / Projekt</v>
          </cell>
          <cell r="C296" t="str">
            <v>001 / Development</v>
          </cell>
          <cell r="D296" t="str"/>
          <cell r="E296">
            <v>43719</v>
          </cell>
          <cell r="F296" t="str">
            <v>09/2019</v>
          </cell>
          <cell r="G296" t="str">
            <v>Koeller, Maximilian</v>
          </cell>
          <cell r="H296" t="str">
            <v>Z003DZ7J</v>
          </cell>
          <cell r="I296" t="str"/>
          <cell r="J296" t="str">
            <v>SOP IT APD HRS C07</v>
          </cell>
          <cell r="K296">
            <v>8.5</v>
          </cell>
          <cell r="L296">
            <v>552.5</v>
          </cell>
          <cell r="M296">
            <v>0</v>
          </cell>
          <cell r="N296" t="str"/>
          <cell r="O296" t="str"/>
          <cell r="P296" t="str">
            <v>X</v>
          </cell>
          <cell r="Q296" t="str"/>
          <cell r="R296" t="str"/>
        </row>
        <row r="297">
          <cell r="A297" t="str">
            <v>APDH2.03321 HR_MySuccessNetwork</v>
          </cell>
          <cell r="B297" t="str">
            <v>001 / Projekt</v>
          </cell>
          <cell r="C297" t="str">
            <v>001 / Development</v>
          </cell>
          <cell r="D297" t="str"/>
          <cell r="E297">
            <v>43720</v>
          </cell>
          <cell r="F297" t="str">
            <v>09/2019</v>
          </cell>
          <cell r="G297" t="str">
            <v>Koechling, Gabriele</v>
          </cell>
          <cell r="H297" t="str">
            <v>Z000DTQL</v>
          </cell>
          <cell r="I297" t="str"/>
          <cell r="J297" t="str">
            <v>SOP IT APD HRS C07</v>
          </cell>
          <cell r="K297">
            <v>1</v>
          </cell>
          <cell r="L297">
            <v>90</v>
          </cell>
          <cell r="M297">
            <v>0</v>
          </cell>
          <cell r="N297" t="str"/>
          <cell r="O297" t="str"/>
          <cell r="P297" t="str">
            <v>X</v>
          </cell>
          <cell r="Q297" t="str"/>
          <cell r="R297" t="str">
            <v xml:space="preserve">MySN Daily, Prüfung Userstories aus dem aktuellen Sprint, Rückspr. mit DEV wegen Vorbereitung für joint usage
</v>
          </cell>
        </row>
        <row r="298">
          <cell r="A298" t="str">
            <v>APDH2.03321 HR_MySuccessNetwork</v>
          </cell>
          <cell r="B298" t="str">
            <v>001 / Projekt</v>
          </cell>
          <cell r="C298" t="str">
            <v>001 / Development</v>
          </cell>
          <cell r="D298" t="str"/>
          <cell r="E298">
            <v>43720</v>
          </cell>
          <cell r="F298" t="str">
            <v>09/2019</v>
          </cell>
          <cell r="G298" t="str">
            <v>Speicher, Dominik</v>
          </cell>
          <cell r="H298" t="str">
            <v>Z001PE3B</v>
          </cell>
          <cell r="I298" t="str"/>
          <cell r="J298" t="str">
            <v>SOP IT APD HRS C07</v>
          </cell>
          <cell r="K298">
            <v>3</v>
          </cell>
          <cell r="L298">
            <v>270</v>
          </cell>
          <cell r="M298">
            <v>0</v>
          </cell>
          <cell r="N298" t="str"/>
          <cell r="O298" t="str"/>
          <cell r="P298" t="str">
            <v>X</v>
          </cell>
          <cell r="Q298" t="str"/>
          <cell r="R298" t="str"/>
        </row>
        <row r="299">
          <cell r="A299" t="str">
            <v>APDH2.03321 HR_MySuccessNetwork</v>
          </cell>
          <cell r="B299" t="str">
            <v>001 / Projekt</v>
          </cell>
          <cell r="C299" t="str">
            <v>001 / Development</v>
          </cell>
          <cell r="D299" t="str"/>
          <cell r="E299">
            <v>43720</v>
          </cell>
          <cell r="F299" t="str">
            <v>09/2019</v>
          </cell>
          <cell r="G299" t="str">
            <v>Zak, Alexander</v>
          </cell>
          <cell r="H299" t="str">
            <v>Z001PMUV</v>
          </cell>
          <cell r="I299" t="str"/>
          <cell r="J299" t="str">
            <v>SOP IT APD HRS C06</v>
          </cell>
          <cell r="K299">
            <v>1</v>
          </cell>
          <cell r="L299">
            <v>105</v>
          </cell>
          <cell r="M299">
            <v>0</v>
          </cell>
          <cell r="N299" t="str"/>
          <cell r="O299" t="str"/>
          <cell r="P299" t="str">
            <v>X</v>
          </cell>
          <cell r="Q299" t="str"/>
          <cell r="R299" t="str"/>
        </row>
        <row r="300">
          <cell r="A300" t="str">
            <v>APDH2.03321 HR_MySuccessNetwork</v>
          </cell>
          <cell r="B300" t="str">
            <v>001 / Projekt</v>
          </cell>
          <cell r="C300" t="str">
            <v>001 / Development</v>
          </cell>
          <cell r="D300" t="str"/>
          <cell r="E300">
            <v>43720</v>
          </cell>
          <cell r="F300" t="str">
            <v>09/2019</v>
          </cell>
          <cell r="G300" t="str">
            <v>Koeller, Maximilian</v>
          </cell>
          <cell r="H300" t="str">
            <v>Z003DZ7J</v>
          </cell>
          <cell r="I300" t="str"/>
          <cell r="J300" t="str">
            <v>SOP IT APD HRS C07</v>
          </cell>
          <cell r="K300">
            <v>3.5</v>
          </cell>
          <cell r="L300">
            <v>227.5</v>
          </cell>
          <cell r="M300">
            <v>0</v>
          </cell>
          <cell r="N300" t="str"/>
          <cell r="O300" t="str"/>
          <cell r="P300" t="str">
            <v>X</v>
          </cell>
          <cell r="Q300" t="str"/>
          <cell r="R300" t="str"/>
        </row>
        <row r="301">
          <cell r="A301" t="str">
            <v>APDH2.03321 HR_MySuccessNetwork</v>
          </cell>
          <cell r="B301" t="str">
            <v>001 / Projekt</v>
          </cell>
          <cell r="C301" t="str">
            <v>001 / Development</v>
          </cell>
          <cell r="D301" t="str"/>
          <cell r="E301">
            <v>43721</v>
          </cell>
          <cell r="F301" t="str">
            <v>09/2019</v>
          </cell>
          <cell r="G301" t="str">
            <v>Koechling, Gabriele</v>
          </cell>
          <cell r="H301" t="str">
            <v>Z000DTQL</v>
          </cell>
          <cell r="I301" t="str"/>
          <cell r="J301" t="str">
            <v>SOP IT APD HRS C07</v>
          </cell>
          <cell r="K301">
            <v>5</v>
          </cell>
          <cell r="L301">
            <v>450</v>
          </cell>
          <cell r="M301">
            <v>0</v>
          </cell>
          <cell r="N301" t="str"/>
          <cell r="O301" t="str"/>
          <cell r="P301" t="str">
            <v>X</v>
          </cell>
          <cell r="Q301" t="str"/>
          <cell r="R301" t="str">
            <v>MySN Daily, Testing des aktuellen Sprints 10, Kommunikation wg. Testautomatisierung (1 Std.)</v>
          </cell>
        </row>
        <row r="302">
          <cell r="A302" t="str">
            <v>APDH2.03321 HR_MySuccessNetwork</v>
          </cell>
          <cell r="B302" t="str">
            <v>001 / Projekt</v>
          </cell>
          <cell r="C302" t="str">
            <v>001 / Development</v>
          </cell>
          <cell r="D302" t="str"/>
          <cell r="E302">
            <v>43721</v>
          </cell>
          <cell r="F302" t="str">
            <v>09/2019</v>
          </cell>
          <cell r="G302" t="str">
            <v>Speicher, Dominik</v>
          </cell>
          <cell r="H302" t="str">
            <v>Z001PE3B</v>
          </cell>
          <cell r="I302" t="str"/>
          <cell r="J302" t="str">
            <v>SOP IT APD HRS C07</v>
          </cell>
          <cell r="K302">
            <v>4</v>
          </cell>
          <cell r="L302">
            <v>360</v>
          </cell>
          <cell r="M302">
            <v>0</v>
          </cell>
          <cell r="N302" t="str"/>
          <cell r="O302" t="str"/>
          <cell r="P302" t="str">
            <v>X</v>
          </cell>
          <cell r="Q302" t="str"/>
          <cell r="R302" t="str"/>
        </row>
        <row r="303">
          <cell r="A303" t="str">
            <v>APDH2.03321 HR_MySuccessNetwork</v>
          </cell>
          <cell r="B303" t="str">
            <v>001 / Projekt</v>
          </cell>
          <cell r="C303" t="str">
            <v>001 / Development</v>
          </cell>
          <cell r="D303" t="str"/>
          <cell r="E303">
            <v>43721</v>
          </cell>
          <cell r="F303" t="str">
            <v>09/2019</v>
          </cell>
          <cell r="G303" t="str">
            <v>Zak, Alexander</v>
          </cell>
          <cell r="H303" t="str">
            <v>Z001PMUV</v>
          </cell>
          <cell r="I303" t="str"/>
          <cell r="J303" t="str">
            <v>SOP IT APD HRS C06</v>
          </cell>
          <cell r="K303">
            <v>1</v>
          </cell>
          <cell r="L303">
            <v>105</v>
          </cell>
          <cell r="M303">
            <v>0</v>
          </cell>
          <cell r="N303" t="str"/>
          <cell r="O303" t="str"/>
          <cell r="P303" t="str">
            <v>X</v>
          </cell>
          <cell r="Q303" t="str"/>
          <cell r="R303" t="str"/>
        </row>
        <row r="304">
          <cell r="A304" t="str">
            <v>APDH2.03321 HR_MySuccessNetwork</v>
          </cell>
          <cell r="B304" t="str">
            <v>001 / Projekt</v>
          </cell>
          <cell r="C304" t="str">
            <v>001 / Development</v>
          </cell>
          <cell r="D304" t="str"/>
          <cell r="E304">
            <v>43721</v>
          </cell>
          <cell r="F304" t="str">
            <v>09/2019</v>
          </cell>
          <cell r="G304" t="str">
            <v>Koeller, Maximilian</v>
          </cell>
          <cell r="H304" t="str">
            <v>Z003DZ7J</v>
          </cell>
          <cell r="I304" t="str"/>
          <cell r="J304" t="str">
            <v>SOP IT APD HRS C07</v>
          </cell>
          <cell r="K304">
            <v>0.35</v>
          </cell>
          <cell r="L304">
            <v>22.75</v>
          </cell>
          <cell r="M304">
            <v>0</v>
          </cell>
          <cell r="N304" t="str"/>
          <cell r="O304" t="str"/>
          <cell r="P304" t="str">
            <v>X</v>
          </cell>
          <cell r="Q304" t="str"/>
          <cell r="R304" t="str"/>
        </row>
        <row r="305">
          <cell r="A305" t="str">
            <v>APDH2.03321 HR_MySuccessNetwork</v>
          </cell>
          <cell r="B305" t="str">
            <v>001 / Projekt</v>
          </cell>
          <cell r="C305" t="str">
            <v>001 / Development</v>
          </cell>
          <cell r="D305" t="str"/>
          <cell r="E305">
            <v>43724</v>
          </cell>
          <cell r="F305" t="str">
            <v>09/2019</v>
          </cell>
          <cell r="G305" t="str">
            <v>Koechling, Gabriele</v>
          </cell>
          <cell r="H305" t="str">
            <v>Z000DTQL</v>
          </cell>
          <cell r="I305" t="str"/>
          <cell r="J305" t="str">
            <v>SOP IT APD HRS C07</v>
          </cell>
          <cell r="K305">
            <v>1</v>
          </cell>
          <cell r="L305">
            <v>90</v>
          </cell>
          <cell r="M305">
            <v>0</v>
          </cell>
          <cell r="N305" t="str"/>
          <cell r="O305" t="str"/>
          <cell r="P305" t="str">
            <v>X</v>
          </cell>
          <cell r="Q305" t="str"/>
          <cell r="R305" t="str">
            <v xml:space="preserve">MySN Daily, neue Kontakte und Pools als Vorbereitung auf anstehende Tests angelegt
</v>
          </cell>
        </row>
        <row r="306">
          <cell r="A306" t="str">
            <v>APDH2.03321 HR_MySuccessNetwork</v>
          </cell>
          <cell r="B306" t="str">
            <v>001 / Projekt</v>
          </cell>
          <cell r="C306" t="str">
            <v>001 / Development</v>
          </cell>
          <cell r="D306" t="str"/>
          <cell r="E306">
            <v>43724</v>
          </cell>
          <cell r="F306" t="str">
            <v>09/2019</v>
          </cell>
          <cell r="G306" t="str">
            <v>Speicher, Dominik</v>
          </cell>
          <cell r="H306" t="str">
            <v>Z001PE3B</v>
          </cell>
          <cell r="I306" t="str"/>
          <cell r="J306" t="str">
            <v>SOP IT APD HRS C07</v>
          </cell>
          <cell r="K306">
            <v>2</v>
          </cell>
          <cell r="L306">
            <v>180</v>
          </cell>
          <cell r="M306">
            <v>0</v>
          </cell>
          <cell r="N306" t="str"/>
          <cell r="O306" t="str"/>
          <cell r="P306" t="str">
            <v>X</v>
          </cell>
          <cell r="Q306" t="str"/>
          <cell r="R306" t="str"/>
        </row>
        <row r="307">
          <cell r="A307" t="str">
            <v>APDH2.03321 HR_MySuccessNetwork</v>
          </cell>
          <cell r="B307" t="str">
            <v>001 / Projekt</v>
          </cell>
          <cell r="C307" t="str">
            <v>001 / Development</v>
          </cell>
          <cell r="D307" t="str"/>
          <cell r="E307">
            <v>43724</v>
          </cell>
          <cell r="F307" t="str">
            <v>09/2019</v>
          </cell>
          <cell r="G307" t="str">
            <v>Zak, Alexander</v>
          </cell>
          <cell r="H307" t="str">
            <v>Z001PMUV</v>
          </cell>
          <cell r="I307" t="str"/>
          <cell r="J307" t="str">
            <v>SOP IT APD HRS C06</v>
          </cell>
          <cell r="K307">
            <v>1</v>
          </cell>
          <cell r="L307">
            <v>105</v>
          </cell>
          <cell r="M307">
            <v>0</v>
          </cell>
          <cell r="N307" t="str"/>
          <cell r="O307" t="str"/>
          <cell r="P307" t="str">
            <v>X</v>
          </cell>
          <cell r="Q307" t="str"/>
          <cell r="R307" t="str"/>
        </row>
        <row r="308">
          <cell r="A308" t="str">
            <v>APDH2.03321 HR_MySuccessNetwork</v>
          </cell>
          <cell r="B308" t="str">
            <v>001 / Projekt</v>
          </cell>
          <cell r="C308" t="str">
            <v>001 / Development</v>
          </cell>
          <cell r="D308" t="str"/>
          <cell r="E308">
            <v>43724</v>
          </cell>
          <cell r="F308" t="str">
            <v>09/2019</v>
          </cell>
          <cell r="G308" t="str">
            <v>Koeller, Maximilian</v>
          </cell>
          <cell r="H308" t="str">
            <v>Z003DZ7J</v>
          </cell>
          <cell r="I308" t="str"/>
          <cell r="J308" t="str">
            <v>SOP IT APD HRS C07</v>
          </cell>
          <cell r="K308">
            <v>5</v>
          </cell>
          <cell r="L308">
            <v>325</v>
          </cell>
          <cell r="M308">
            <v>0</v>
          </cell>
          <cell r="N308" t="str"/>
          <cell r="O308" t="str"/>
          <cell r="P308" t="str">
            <v>X</v>
          </cell>
          <cell r="Q308" t="str"/>
          <cell r="R308" t="str"/>
        </row>
        <row r="309">
          <cell r="A309" t="str">
            <v>APDH2.03321 HR_MySuccessNetwork</v>
          </cell>
          <cell r="B309" t="str">
            <v>001 / Projekt</v>
          </cell>
          <cell r="C309" t="str">
            <v>001 / Development</v>
          </cell>
          <cell r="D309" t="str"/>
          <cell r="E309">
            <v>43725</v>
          </cell>
          <cell r="F309" t="str">
            <v>09/2019</v>
          </cell>
          <cell r="G309" t="str">
            <v>Koechling, Gabriele</v>
          </cell>
          <cell r="H309" t="str">
            <v>Z000DTQL</v>
          </cell>
          <cell r="I309" t="str"/>
          <cell r="J309" t="str">
            <v>SOP IT APD HRS C07</v>
          </cell>
          <cell r="K309">
            <v>2</v>
          </cell>
          <cell r="L309">
            <v>180</v>
          </cell>
          <cell r="M309">
            <v>0</v>
          </cell>
          <cell r="N309" t="str"/>
          <cell r="O309" t="str"/>
          <cell r="P309" t="str">
            <v>X</v>
          </cell>
          <cell r="Q309" t="str"/>
          <cell r="R309" t="str">
            <v>MySN Daily und Sprint 10 weiter getestet</v>
          </cell>
        </row>
        <row r="310">
          <cell r="A310" t="str">
            <v>APDH2.03321 HR_MySuccessNetwork</v>
          </cell>
          <cell r="B310" t="str">
            <v>001 / Projekt</v>
          </cell>
          <cell r="C310" t="str">
            <v>001 / Development</v>
          </cell>
          <cell r="D310" t="str"/>
          <cell r="E310">
            <v>43725</v>
          </cell>
          <cell r="F310" t="str">
            <v>09/2019</v>
          </cell>
          <cell r="G310" t="str">
            <v>Zak, Alexander</v>
          </cell>
          <cell r="H310" t="str">
            <v>Z001PMUV</v>
          </cell>
          <cell r="I310" t="str"/>
          <cell r="J310" t="str">
            <v>SOP IT APD HRS C06</v>
          </cell>
          <cell r="K310">
            <v>1</v>
          </cell>
          <cell r="L310">
            <v>105</v>
          </cell>
          <cell r="M310">
            <v>0</v>
          </cell>
          <cell r="N310" t="str"/>
          <cell r="O310" t="str"/>
          <cell r="P310" t="str">
            <v>X</v>
          </cell>
          <cell r="Q310" t="str"/>
          <cell r="R310" t="str"/>
        </row>
        <row r="311">
          <cell r="A311" t="str">
            <v>APDH2.03321 HR_MySuccessNetwork</v>
          </cell>
          <cell r="B311" t="str">
            <v>001 / Projekt</v>
          </cell>
          <cell r="C311" t="str">
            <v>001 / Development</v>
          </cell>
          <cell r="D311" t="str"/>
          <cell r="E311">
            <v>43725</v>
          </cell>
          <cell r="F311" t="str">
            <v>09/2019</v>
          </cell>
          <cell r="G311" t="str">
            <v>Koeller, Maximilian</v>
          </cell>
          <cell r="H311" t="str">
            <v>Z003DZ7J</v>
          </cell>
          <cell r="I311" t="str"/>
          <cell r="J311" t="str">
            <v>SOP IT APD HRS C07</v>
          </cell>
          <cell r="K311">
            <v>8</v>
          </cell>
          <cell r="L311">
            <v>520</v>
          </cell>
          <cell r="M311">
            <v>0</v>
          </cell>
          <cell r="N311" t="str"/>
          <cell r="O311" t="str"/>
          <cell r="P311" t="str">
            <v>X</v>
          </cell>
          <cell r="Q311" t="str"/>
          <cell r="R311" t="str"/>
        </row>
        <row r="312">
          <cell r="A312" t="str">
            <v>APDH2.03321 HR_MySuccessNetwork</v>
          </cell>
          <cell r="B312" t="str">
            <v>001 / Projekt</v>
          </cell>
          <cell r="C312" t="str">
            <v>001 / Development</v>
          </cell>
          <cell r="D312" t="str"/>
          <cell r="E312">
            <v>43726</v>
          </cell>
          <cell r="F312" t="str">
            <v>09/2019</v>
          </cell>
          <cell r="G312" t="str">
            <v>Koechling, Gabriele</v>
          </cell>
          <cell r="H312" t="str">
            <v>Z000DTQL</v>
          </cell>
          <cell r="I312" t="str"/>
          <cell r="J312" t="str">
            <v>SOP IT APD HRS C07</v>
          </cell>
          <cell r="K312">
            <v>6</v>
          </cell>
          <cell r="L312">
            <v>540</v>
          </cell>
          <cell r="M312">
            <v>0</v>
          </cell>
          <cell r="N312" t="str"/>
          <cell r="O312" t="str"/>
          <cell r="P312" t="str">
            <v>X</v>
          </cell>
          <cell r="Q312" t="str"/>
          <cell r="R312" t="str">
            <v>MySN Testing f. Sprint 10 + MySN Daily</v>
          </cell>
        </row>
        <row r="313">
          <cell r="A313" t="str">
            <v>APDH2.03321 HR_MySuccessNetwork</v>
          </cell>
          <cell r="B313" t="str">
            <v>001 / Projekt</v>
          </cell>
          <cell r="C313" t="str">
            <v>001 / Development</v>
          </cell>
          <cell r="D313" t="str"/>
          <cell r="E313">
            <v>43726</v>
          </cell>
          <cell r="F313" t="str">
            <v>09/2019</v>
          </cell>
          <cell r="G313" t="str">
            <v>Zak, Alexander</v>
          </cell>
          <cell r="H313" t="str">
            <v>Z001PMUV</v>
          </cell>
          <cell r="I313" t="str"/>
          <cell r="J313" t="str">
            <v>SOP IT APD HRS C06</v>
          </cell>
          <cell r="K313">
            <v>1</v>
          </cell>
          <cell r="L313">
            <v>105</v>
          </cell>
          <cell r="M313">
            <v>0</v>
          </cell>
          <cell r="N313" t="str"/>
          <cell r="O313" t="str"/>
          <cell r="P313" t="str">
            <v>X</v>
          </cell>
          <cell r="Q313" t="str"/>
          <cell r="R313" t="str"/>
        </row>
        <row r="314">
          <cell r="A314" t="str">
            <v>APDH2.03321 HR_MySuccessNetwork</v>
          </cell>
          <cell r="B314" t="str">
            <v>001 / Projekt</v>
          </cell>
          <cell r="C314" t="str">
            <v>001 / Development</v>
          </cell>
          <cell r="D314" t="str"/>
          <cell r="E314">
            <v>43726</v>
          </cell>
          <cell r="F314" t="str">
            <v>09/2019</v>
          </cell>
          <cell r="G314" t="str">
            <v>Koeller, Maximilian</v>
          </cell>
          <cell r="H314" t="str">
            <v>Z003DZ7J</v>
          </cell>
          <cell r="I314" t="str"/>
          <cell r="J314" t="str">
            <v>SOP IT APD HRS C07</v>
          </cell>
          <cell r="K314">
            <v>3.5</v>
          </cell>
          <cell r="L314">
            <v>227.5</v>
          </cell>
          <cell r="M314">
            <v>0</v>
          </cell>
          <cell r="N314" t="str"/>
          <cell r="O314" t="str"/>
          <cell r="P314" t="str">
            <v>X</v>
          </cell>
          <cell r="Q314" t="str"/>
          <cell r="R314" t="str"/>
        </row>
        <row r="315">
          <cell r="A315" t="str">
            <v>APDH2.03321 HR_MySuccessNetwork</v>
          </cell>
          <cell r="B315" t="str">
            <v>001 / Projekt</v>
          </cell>
          <cell r="C315" t="str">
            <v>001 / Development</v>
          </cell>
          <cell r="D315" t="str"/>
          <cell r="E315">
            <v>43727</v>
          </cell>
          <cell r="F315" t="str">
            <v>09/2019</v>
          </cell>
          <cell r="G315" t="str">
            <v>Koechling, Gabriele</v>
          </cell>
          <cell r="H315" t="str">
            <v>Z000DTQL</v>
          </cell>
          <cell r="I315" t="str"/>
          <cell r="J315" t="str">
            <v>SOP IT APD HRS C07</v>
          </cell>
          <cell r="K315">
            <v>3</v>
          </cell>
          <cell r="L315">
            <v>270</v>
          </cell>
          <cell r="M315">
            <v>0</v>
          </cell>
          <cell r="N315" t="str"/>
          <cell r="O315" t="str"/>
          <cell r="P315" t="str">
            <v>X</v>
          </cell>
          <cell r="Q315" t="str"/>
          <cell r="R315" t="str">
            <v>MySN Daily, Review, Retro, ggf. auch Planning weg. Sprintabschluss Sprint 10</v>
          </cell>
        </row>
        <row r="316">
          <cell r="A316" t="str">
            <v>APDH2.03321 HR_MySuccessNetwork</v>
          </cell>
          <cell r="B316" t="str">
            <v>001 / Projekt</v>
          </cell>
          <cell r="C316" t="str">
            <v>001 / Development</v>
          </cell>
          <cell r="D316" t="str"/>
          <cell r="E316">
            <v>43727</v>
          </cell>
          <cell r="F316" t="str">
            <v>09/2019</v>
          </cell>
          <cell r="G316" t="str">
            <v>Speicher, Dominik</v>
          </cell>
          <cell r="H316" t="str">
            <v>Z001PE3B</v>
          </cell>
          <cell r="I316" t="str"/>
          <cell r="J316" t="str">
            <v>SOP IT APD HRS C07</v>
          </cell>
          <cell r="K316">
            <v>4</v>
          </cell>
          <cell r="L316">
            <v>360</v>
          </cell>
          <cell r="M316">
            <v>0</v>
          </cell>
          <cell r="N316" t="str"/>
          <cell r="O316" t="str"/>
          <cell r="P316" t="str">
            <v>X</v>
          </cell>
          <cell r="Q316" t="str"/>
          <cell r="R316" t="str"/>
        </row>
        <row r="317">
          <cell r="A317" t="str">
            <v>APDH2.03321 HR_MySuccessNetwork</v>
          </cell>
          <cell r="B317" t="str">
            <v>001 / Projekt</v>
          </cell>
          <cell r="C317" t="str">
            <v>001 / Development</v>
          </cell>
          <cell r="D317" t="str"/>
          <cell r="E317">
            <v>43727</v>
          </cell>
          <cell r="F317" t="str">
            <v>09/2019</v>
          </cell>
          <cell r="G317" t="str">
            <v>Zak, Alexander</v>
          </cell>
          <cell r="H317" t="str">
            <v>Z001PMUV</v>
          </cell>
          <cell r="I317" t="str"/>
          <cell r="J317" t="str">
            <v>SOP IT APD HRS C06</v>
          </cell>
          <cell r="K317">
            <v>1</v>
          </cell>
          <cell r="L317">
            <v>105</v>
          </cell>
          <cell r="M317">
            <v>0</v>
          </cell>
          <cell r="N317" t="str"/>
          <cell r="O317" t="str"/>
          <cell r="P317" t="str">
            <v>X</v>
          </cell>
          <cell r="Q317" t="str"/>
          <cell r="R317" t="str"/>
        </row>
        <row r="318">
          <cell r="A318" t="str">
            <v>APDH2.03321 HR_MySuccessNetwork</v>
          </cell>
          <cell r="B318" t="str">
            <v>001 / Projekt</v>
          </cell>
          <cell r="C318" t="str">
            <v>001 / Development</v>
          </cell>
          <cell r="D318" t="str"/>
          <cell r="E318">
            <v>43727</v>
          </cell>
          <cell r="F318" t="str">
            <v>09/2019</v>
          </cell>
          <cell r="G318" t="str">
            <v>Koeller, Maximilian</v>
          </cell>
          <cell r="H318" t="str">
            <v>Z003DZ7J</v>
          </cell>
          <cell r="I318" t="str"/>
          <cell r="J318" t="str">
            <v>SOP IT APD HRS C07</v>
          </cell>
          <cell r="K318">
            <v>3.5</v>
          </cell>
          <cell r="L318">
            <v>227.5</v>
          </cell>
          <cell r="M318">
            <v>0</v>
          </cell>
          <cell r="N318" t="str"/>
          <cell r="O318" t="str"/>
          <cell r="P318" t="str">
            <v>X</v>
          </cell>
          <cell r="Q318" t="str"/>
          <cell r="R318" t="str"/>
        </row>
        <row r="319">
          <cell r="A319" t="str">
            <v>APDH2.03321 HR_MySuccessNetwork</v>
          </cell>
          <cell r="B319" t="str">
            <v>001 / Projekt</v>
          </cell>
          <cell r="C319" t="str">
            <v>001 / Development</v>
          </cell>
          <cell r="D319" t="str"/>
          <cell r="E319">
            <v>43728</v>
          </cell>
          <cell r="F319" t="str">
            <v>09/2019</v>
          </cell>
          <cell r="G319" t="str">
            <v>Koechling, Gabriele</v>
          </cell>
          <cell r="H319" t="str">
            <v>Z000DTQL</v>
          </cell>
          <cell r="I319" t="str"/>
          <cell r="J319" t="str">
            <v>SOP IT APD HRS C07</v>
          </cell>
          <cell r="K319">
            <v>2</v>
          </cell>
          <cell r="L319">
            <v>180</v>
          </cell>
          <cell r="M319">
            <v>0</v>
          </cell>
          <cell r="N319" t="str"/>
          <cell r="O319" t="str"/>
          <cell r="P319" t="str">
            <v>X</v>
          </cell>
          <cell r="Q319" t="str"/>
          <cell r="R319" t="str">
            <v>Testing und Testfallbeschreibung Testautomatisierung</v>
          </cell>
        </row>
        <row r="320">
          <cell r="A320" t="str">
            <v>APDH2.03321 HR_MySuccessNetwork</v>
          </cell>
          <cell r="B320" t="str">
            <v>001 / Projekt</v>
          </cell>
          <cell r="C320" t="str">
            <v>001 / Development</v>
          </cell>
          <cell r="D320" t="str"/>
          <cell r="E320">
            <v>43728</v>
          </cell>
          <cell r="F320" t="str">
            <v>09/2019</v>
          </cell>
          <cell r="G320" t="str">
            <v>Speicher, Dominik</v>
          </cell>
          <cell r="H320" t="str">
            <v>Z001PE3B</v>
          </cell>
          <cell r="I320" t="str"/>
          <cell r="J320" t="str">
            <v>SOP IT APD HRS C07</v>
          </cell>
          <cell r="K320">
            <v>2</v>
          </cell>
          <cell r="L320">
            <v>180</v>
          </cell>
          <cell r="M320">
            <v>0</v>
          </cell>
          <cell r="N320" t="str"/>
          <cell r="O320" t="str"/>
          <cell r="P320" t="str">
            <v>X</v>
          </cell>
          <cell r="Q320" t="str"/>
          <cell r="R320" t="str"/>
        </row>
        <row r="321">
          <cell r="A321" t="str">
            <v>APDH2.03321 HR_MySuccessNetwork</v>
          </cell>
          <cell r="B321" t="str">
            <v>001 / Projekt</v>
          </cell>
          <cell r="C321" t="str">
            <v>001 / Development</v>
          </cell>
          <cell r="D321" t="str"/>
          <cell r="E321">
            <v>43728</v>
          </cell>
          <cell r="F321" t="str">
            <v>09/2019</v>
          </cell>
          <cell r="G321" t="str">
            <v>Zak, Alexander</v>
          </cell>
          <cell r="H321" t="str">
            <v>Z001PMUV</v>
          </cell>
          <cell r="I321" t="str"/>
          <cell r="J321" t="str">
            <v>SOP IT APD HRS C06</v>
          </cell>
          <cell r="K321">
            <v>1</v>
          </cell>
          <cell r="L321">
            <v>105</v>
          </cell>
          <cell r="M321">
            <v>0</v>
          </cell>
          <cell r="N321" t="str"/>
          <cell r="O321" t="str"/>
          <cell r="P321" t="str">
            <v>X</v>
          </cell>
          <cell r="Q321" t="str"/>
          <cell r="R321" t="str"/>
        </row>
        <row r="322">
          <cell r="A322" t="str">
            <v>APDH2.03321 HR_MySuccessNetwork</v>
          </cell>
          <cell r="B322" t="str">
            <v>001 / Projekt</v>
          </cell>
          <cell r="C322" t="str">
            <v>001 / Development</v>
          </cell>
          <cell r="D322" t="str"/>
          <cell r="E322">
            <v>43728</v>
          </cell>
          <cell r="F322" t="str">
            <v>09/2019</v>
          </cell>
          <cell r="G322" t="str">
            <v>Koeller, Maximilian</v>
          </cell>
          <cell r="H322" t="str">
            <v>Z003DZ7J</v>
          </cell>
          <cell r="I322" t="str"/>
          <cell r="J322" t="str">
            <v>SOP IT APD HRS C07</v>
          </cell>
          <cell r="K322">
            <v>3.5</v>
          </cell>
          <cell r="L322">
            <v>227.5</v>
          </cell>
          <cell r="M322">
            <v>0</v>
          </cell>
          <cell r="N322" t="str"/>
          <cell r="O322" t="str"/>
          <cell r="P322" t="str">
            <v>X</v>
          </cell>
          <cell r="Q322" t="str"/>
          <cell r="R322" t="str"/>
        </row>
        <row r="323">
          <cell r="A323" t="str">
            <v>APDH2.03321 HR_MySuccessNetwork</v>
          </cell>
          <cell r="B323" t="str">
            <v>001 / Projekt</v>
          </cell>
          <cell r="C323" t="str">
            <v>001 / Development</v>
          </cell>
          <cell r="D323" t="str"/>
          <cell r="E323">
            <v>43731</v>
          </cell>
          <cell r="F323" t="str">
            <v>09/2019</v>
          </cell>
          <cell r="G323" t="str">
            <v>Koechling, Gabriele</v>
          </cell>
          <cell r="H323" t="str">
            <v>Z000DTQL</v>
          </cell>
          <cell r="I323" t="str"/>
          <cell r="J323" t="str">
            <v>SOP IT APD HRS C07</v>
          </cell>
          <cell r="K323">
            <v>1</v>
          </cell>
          <cell r="L323">
            <v>90</v>
          </cell>
          <cell r="M323">
            <v>0</v>
          </cell>
          <cell r="N323" t="str"/>
          <cell r="O323" t="str"/>
          <cell r="P323" t="str">
            <v>X</v>
          </cell>
          <cell r="Q323" t="str"/>
          <cell r="R323" t="str">
            <v>MySN Daily, Testing des aktuellen Sprints</v>
          </cell>
        </row>
        <row r="324">
          <cell r="A324" t="str">
            <v>APDH2.03321 HR_MySuccessNetwork</v>
          </cell>
          <cell r="B324" t="str">
            <v>001 / Projekt</v>
          </cell>
          <cell r="C324" t="str">
            <v>001 / Development</v>
          </cell>
          <cell r="D324" t="str"/>
          <cell r="E324">
            <v>43731</v>
          </cell>
          <cell r="F324" t="str">
            <v>09/2019</v>
          </cell>
          <cell r="G324" t="str">
            <v>Speicher, Dominik</v>
          </cell>
          <cell r="H324" t="str">
            <v>Z001PE3B</v>
          </cell>
          <cell r="I324" t="str"/>
          <cell r="J324" t="str">
            <v>SOP IT APD HRS C07</v>
          </cell>
          <cell r="K324">
            <v>2</v>
          </cell>
          <cell r="L324">
            <v>180</v>
          </cell>
          <cell r="M324">
            <v>0</v>
          </cell>
          <cell r="N324" t="str"/>
          <cell r="O324" t="str"/>
          <cell r="P324" t="str">
            <v>X</v>
          </cell>
          <cell r="Q324" t="str"/>
          <cell r="R324" t="str"/>
        </row>
        <row r="325">
          <cell r="A325" t="str">
            <v>APDH2.03321 HR_MySuccessNetwork</v>
          </cell>
          <cell r="B325" t="str">
            <v>001 / Projekt</v>
          </cell>
          <cell r="C325" t="str">
            <v>001 / Development</v>
          </cell>
          <cell r="D325" t="str"/>
          <cell r="E325">
            <v>43731</v>
          </cell>
          <cell r="F325" t="str">
            <v>09/2019</v>
          </cell>
          <cell r="G325" t="str">
            <v>Zak, Alexander</v>
          </cell>
          <cell r="H325" t="str">
            <v>Z001PMUV</v>
          </cell>
          <cell r="I325" t="str"/>
          <cell r="J325" t="str">
            <v>SOP IT APD HRS C06</v>
          </cell>
          <cell r="K325">
            <v>1</v>
          </cell>
          <cell r="L325">
            <v>105</v>
          </cell>
          <cell r="M325">
            <v>0</v>
          </cell>
          <cell r="N325" t="str"/>
          <cell r="O325" t="str"/>
          <cell r="P325" t="str">
            <v>X</v>
          </cell>
          <cell r="Q325" t="str"/>
          <cell r="R325" t="str"/>
        </row>
        <row r="326">
          <cell r="A326" t="str">
            <v>APDH2.03321 HR_MySuccessNetwork</v>
          </cell>
          <cell r="B326" t="str">
            <v>001 / Projekt</v>
          </cell>
          <cell r="C326" t="str">
            <v>001 / Development</v>
          </cell>
          <cell r="D326" t="str"/>
          <cell r="E326">
            <v>43731</v>
          </cell>
          <cell r="F326" t="str">
            <v>09/2019</v>
          </cell>
          <cell r="G326" t="str">
            <v>Koeller, Maximilian</v>
          </cell>
          <cell r="H326" t="str">
            <v>Z003DZ7J</v>
          </cell>
          <cell r="I326" t="str"/>
          <cell r="J326" t="str">
            <v>SOP IT APD HRS C07</v>
          </cell>
          <cell r="K326">
            <v>3.5</v>
          </cell>
          <cell r="L326">
            <v>227.5</v>
          </cell>
          <cell r="M326">
            <v>0</v>
          </cell>
          <cell r="N326" t="str"/>
          <cell r="O326" t="str"/>
          <cell r="P326" t="str">
            <v>X</v>
          </cell>
          <cell r="Q326" t="str"/>
          <cell r="R326" t="str"/>
        </row>
        <row r="327">
          <cell r="A327" t="str">
            <v>APDH2.03321 HR_MySuccessNetwork</v>
          </cell>
          <cell r="B327" t="str">
            <v>001 / Projekt</v>
          </cell>
          <cell r="C327" t="str">
            <v>001 / Development</v>
          </cell>
          <cell r="D327" t="str"/>
          <cell r="E327">
            <v>43732</v>
          </cell>
          <cell r="F327" t="str">
            <v>09/2019</v>
          </cell>
          <cell r="G327" t="str">
            <v>Koechling, Gabriele</v>
          </cell>
          <cell r="H327" t="str">
            <v>Z000DTQL</v>
          </cell>
          <cell r="I327" t="str"/>
          <cell r="J327" t="str">
            <v>SOP IT APD HRS C07</v>
          </cell>
          <cell r="K327">
            <v>3</v>
          </cell>
          <cell r="L327">
            <v>270</v>
          </cell>
          <cell r="M327">
            <v>0</v>
          </cell>
          <cell r="N327" t="str"/>
          <cell r="O327" t="str"/>
          <cell r="P327" t="str">
            <v>X</v>
          </cell>
          <cell r="Q327" t="str"/>
          <cell r="R327" t="str">
            <v xml:space="preserve">MySN Daily, Testing des aktuellen Sprints, wenn Zeit, dann Testfallbeschreibung f. Testautomatisierung
</v>
          </cell>
        </row>
        <row r="328">
          <cell r="A328" t="str">
            <v>APDH2.03321 HR_MySuccessNetwork</v>
          </cell>
          <cell r="B328" t="str">
            <v>001 / Projekt</v>
          </cell>
          <cell r="C328" t="str">
            <v>001 / Development</v>
          </cell>
          <cell r="D328" t="str"/>
          <cell r="E328">
            <v>43732</v>
          </cell>
          <cell r="F328" t="str">
            <v>09/2019</v>
          </cell>
          <cell r="G328" t="str">
            <v>Speicher, Dominik</v>
          </cell>
          <cell r="H328" t="str">
            <v>Z001PE3B</v>
          </cell>
          <cell r="I328" t="str"/>
          <cell r="J328" t="str">
            <v>SOP IT APD HRS C07</v>
          </cell>
          <cell r="K328">
            <v>2</v>
          </cell>
          <cell r="L328">
            <v>180</v>
          </cell>
          <cell r="M328">
            <v>0</v>
          </cell>
          <cell r="N328" t="str"/>
          <cell r="O328" t="str"/>
          <cell r="P328" t="str">
            <v>X</v>
          </cell>
          <cell r="Q328" t="str"/>
          <cell r="R328" t="str"/>
        </row>
        <row r="329">
          <cell r="A329" t="str">
            <v>APDH2.03321 HR_MySuccessNetwork</v>
          </cell>
          <cell r="B329" t="str">
            <v>001 / Projekt</v>
          </cell>
          <cell r="C329" t="str">
            <v>001 / Development</v>
          </cell>
          <cell r="D329" t="str"/>
          <cell r="E329">
            <v>43732</v>
          </cell>
          <cell r="F329" t="str">
            <v>09/2019</v>
          </cell>
          <cell r="G329" t="str">
            <v>Zak, Alexander</v>
          </cell>
          <cell r="H329" t="str">
            <v>Z001PMUV</v>
          </cell>
          <cell r="I329" t="str"/>
          <cell r="J329" t="str">
            <v>SOP IT APD HRS C06</v>
          </cell>
          <cell r="K329">
            <v>1</v>
          </cell>
          <cell r="L329">
            <v>105</v>
          </cell>
          <cell r="M329">
            <v>0</v>
          </cell>
          <cell r="N329" t="str"/>
          <cell r="O329" t="str"/>
          <cell r="P329" t="str">
            <v>X</v>
          </cell>
          <cell r="Q329" t="str"/>
          <cell r="R329" t="str"/>
        </row>
        <row r="330">
          <cell r="A330" t="str">
            <v>APDH2.03321 HR_MySuccessNetwork</v>
          </cell>
          <cell r="B330" t="str">
            <v>001 / Projekt</v>
          </cell>
          <cell r="C330" t="str">
            <v>001 / Development</v>
          </cell>
          <cell r="D330" t="str"/>
          <cell r="E330">
            <v>43732</v>
          </cell>
          <cell r="F330" t="str">
            <v>09/2019</v>
          </cell>
          <cell r="G330" t="str">
            <v>Koeller, Maximilian</v>
          </cell>
          <cell r="H330" t="str">
            <v>Z003DZ7J</v>
          </cell>
          <cell r="I330" t="str"/>
          <cell r="J330" t="str">
            <v>SOP IT APD HRS C07</v>
          </cell>
          <cell r="K330">
            <v>3.5</v>
          </cell>
          <cell r="L330">
            <v>227.5</v>
          </cell>
          <cell r="M330">
            <v>0</v>
          </cell>
          <cell r="N330" t="str"/>
          <cell r="O330" t="str"/>
          <cell r="P330" t="str">
            <v>X</v>
          </cell>
          <cell r="Q330" t="str"/>
          <cell r="R330" t="str"/>
        </row>
        <row r="331">
          <cell r="A331" t="str">
            <v>APDH2.03321 HR_MySuccessNetwork</v>
          </cell>
          <cell r="B331" t="str">
            <v>001 / Projekt</v>
          </cell>
          <cell r="C331" t="str">
            <v>001 / Development</v>
          </cell>
          <cell r="D331" t="str"/>
          <cell r="E331">
            <v>43733</v>
          </cell>
          <cell r="F331" t="str">
            <v>09/2019</v>
          </cell>
          <cell r="G331" t="str">
            <v>Koechling, Gabriele</v>
          </cell>
          <cell r="H331" t="str">
            <v>Z000DTQL</v>
          </cell>
          <cell r="I331" t="str"/>
          <cell r="J331" t="str">
            <v>SOP IT APD HRS C07</v>
          </cell>
          <cell r="K331">
            <v>3</v>
          </cell>
          <cell r="L331">
            <v>270</v>
          </cell>
          <cell r="M331">
            <v>0</v>
          </cell>
          <cell r="N331" t="str"/>
          <cell r="O331" t="str"/>
          <cell r="P331" t="str">
            <v>X</v>
          </cell>
          <cell r="Q331" t="str"/>
          <cell r="R331" t="str">
            <v xml:space="preserve">MySN Daily, Testing des aktuellen Sprints, wenn Zeit, dann Testfallbeschreibung f. Testautomatisierung
</v>
          </cell>
        </row>
        <row r="332">
          <cell r="A332" t="str">
            <v>APDH2.03321 HR_MySuccessNetwork</v>
          </cell>
          <cell r="B332" t="str">
            <v>001 / Projekt</v>
          </cell>
          <cell r="C332" t="str">
            <v>001 / Development</v>
          </cell>
          <cell r="D332" t="str"/>
          <cell r="E332">
            <v>43733</v>
          </cell>
          <cell r="F332" t="str">
            <v>09/2019</v>
          </cell>
          <cell r="G332" t="str">
            <v>Speicher, Dominik</v>
          </cell>
          <cell r="H332" t="str">
            <v>Z001PE3B</v>
          </cell>
          <cell r="I332" t="str"/>
          <cell r="J332" t="str">
            <v>SOP IT APD HRS C07</v>
          </cell>
          <cell r="K332">
            <v>2</v>
          </cell>
          <cell r="L332">
            <v>180</v>
          </cell>
          <cell r="M332">
            <v>0</v>
          </cell>
          <cell r="N332" t="str"/>
          <cell r="O332" t="str"/>
          <cell r="P332" t="str">
            <v>X</v>
          </cell>
          <cell r="Q332" t="str"/>
          <cell r="R332" t="str"/>
        </row>
        <row r="333">
          <cell r="A333" t="str">
            <v>APDH2.03321 HR_MySuccessNetwork</v>
          </cell>
          <cell r="B333" t="str">
            <v>001 / Projekt</v>
          </cell>
          <cell r="C333" t="str">
            <v>001 / Development</v>
          </cell>
          <cell r="D333" t="str"/>
          <cell r="E333">
            <v>43733</v>
          </cell>
          <cell r="F333" t="str">
            <v>09/2019</v>
          </cell>
          <cell r="G333" t="str">
            <v>Zak, Alexander</v>
          </cell>
          <cell r="H333" t="str">
            <v>Z001PMUV</v>
          </cell>
          <cell r="I333" t="str"/>
          <cell r="J333" t="str">
            <v>SOP IT APD HRS C06</v>
          </cell>
          <cell r="K333">
            <v>1</v>
          </cell>
          <cell r="L333">
            <v>105</v>
          </cell>
          <cell r="M333">
            <v>0</v>
          </cell>
          <cell r="N333" t="str"/>
          <cell r="O333" t="str"/>
          <cell r="P333" t="str">
            <v>X</v>
          </cell>
          <cell r="Q333" t="str"/>
          <cell r="R333" t="str"/>
        </row>
        <row r="334">
          <cell r="A334" t="str">
            <v>APDH2.03321 HR_MySuccessNetwork</v>
          </cell>
          <cell r="B334" t="str">
            <v>001 / Projekt</v>
          </cell>
          <cell r="C334" t="str">
            <v>001 / Development</v>
          </cell>
          <cell r="D334" t="str"/>
          <cell r="E334">
            <v>43733</v>
          </cell>
          <cell r="F334" t="str">
            <v>09/2019</v>
          </cell>
          <cell r="G334" t="str">
            <v>Koeller, Maximilian</v>
          </cell>
          <cell r="H334" t="str">
            <v>Z003DZ7J</v>
          </cell>
          <cell r="I334" t="str"/>
          <cell r="J334" t="str">
            <v>SOP IT APD HRS C07</v>
          </cell>
          <cell r="K334">
            <v>3.5</v>
          </cell>
          <cell r="L334">
            <v>227.5</v>
          </cell>
          <cell r="M334">
            <v>0</v>
          </cell>
          <cell r="N334" t="str"/>
          <cell r="O334" t="str"/>
          <cell r="P334" t="str">
            <v>X</v>
          </cell>
          <cell r="Q334" t="str"/>
          <cell r="R334" t="str"/>
        </row>
        <row r="335">
          <cell r="A335" t="str">
            <v>APDH2.03321 HR_MySuccessNetwork</v>
          </cell>
          <cell r="B335" t="str">
            <v>001 / Projekt</v>
          </cell>
          <cell r="C335" t="str">
            <v>001 / Development</v>
          </cell>
          <cell r="D335" t="str"/>
          <cell r="E335">
            <v>43734</v>
          </cell>
          <cell r="F335" t="str">
            <v>09/2019</v>
          </cell>
          <cell r="G335" t="str">
            <v>Koechling, Gabriele</v>
          </cell>
          <cell r="H335" t="str">
            <v>Z000DTQL</v>
          </cell>
          <cell r="I335" t="str"/>
          <cell r="J335" t="str">
            <v>SOP IT APD HRS C07</v>
          </cell>
          <cell r="K335">
            <v>3</v>
          </cell>
          <cell r="L335">
            <v>270</v>
          </cell>
          <cell r="M335">
            <v>0</v>
          </cell>
          <cell r="N335" t="str"/>
          <cell r="O335" t="str"/>
          <cell r="P335" t="str">
            <v>X</v>
          </cell>
          <cell r="Q335" t="str"/>
          <cell r="R335" t="str">
            <v xml:space="preserve">MySN Daily, Testing des aktuellen Sprints, wenn Zeit, dann Testfallbeschreibung f. Testautomatisierung
</v>
          </cell>
        </row>
        <row r="336">
          <cell r="A336" t="str">
            <v>APDH2.03321 HR_MySuccessNetwork</v>
          </cell>
          <cell r="B336" t="str">
            <v>001 / Projekt</v>
          </cell>
          <cell r="C336" t="str">
            <v>001 / Development</v>
          </cell>
          <cell r="D336" t="str"/>
          <cell r="E336">
            <v>43734</v>
          </cell>
          <cell r="F336" t="str">
            <v>09/2019</v>
          </cell>
          <cell r="G336" t="str">
            <v>Speicher, Dominik</v>
          </cell>
          <cell r="H336" t="str">
            <v>Z001PE3B</v>
          </cell>
          <cell r="I336" t="str"/>
          <cell r="J336" t="str">
            <v>SOP IT APD HRS C07</v>
          </cell>
          <cell r="K336">
            <v>2</v>
          </cell>
          <cell r="L336">
            <v>180</v>
          </cell>
          <cell r="M336">
            <v>0</v>
          </cell>
          <cell r="N336" t="str"/>
          <cell r="O336" t="str"/>
          <cell r="P336" t="str">
            <v>X</v>
          </cell>
          <cell r="Q336" t="str"/>
          <cell r="R336" t="str"/>
        </row>
        <row r="337">
          <cell r="A337" t="str">
            <v>APDH2.03321 HR_MySuccessNetwork</v>
          </cell>
          <cell r="B337" t="str">
            <v>001 / Projekt</v>
          </cell>
          <cell r="C337" t="str">
            <v>001 / Development</v>
          </cell>
          <cell r="D337" t="str"/>
          <cell r="E337">
            <v>43734</v>
          </cell>
          <cell r="F337" t="str">
            <v>09/2019</v>
          </cell>
          <cell r="G337" t="str">
            <v>Zak, Alexander</v>
          </cell>
          <cell r="H337" t="str">
            <v>Z001PMUV</v>
          </cell>
          <cell r="I337" t="str"/>
          <cell r="J337" t="str">
            <v>SOP IT APD HRS C06</v>
          </cell>
          <cell r="K337">
            <v>1</v>
          </cell>
          <cell r="L337">
            <v>105</v>
          </cell>
          <cell r="M337">
            <v>0</v>
          </cell>
          <cell r="N337" t="str"/>
          <cell r="O337" t="str"/>
          <cell r="P337" t="str">
            <v>X</v>
          </cell>
          <cell r="Q337" t="str"/>
          <cell r="R337" t="str"/>
        </row>
        <row r="338">
          <cell r="A338" t="str">
            <v>APDH2.03321 HR_MySuccessNetwork</v>
          </cell>
          <cell r="B338" t="str">
            <v>001 / Projekt</v>
          </cell>
          <cell r="C338" t="str">
            <v>001 / Development</v>
          </cell>
          <cell r="D338" t="str"/>
          <cell r="E338">
            <v>43734</v>
          </cell>
          <cell r="F338" t="str">
            <v>09/2019</v>
          </cell>
          <cell r="G338" t="str">
            <v>Koeller, Maximilian</v>
          </cell>
          <cell r="H338" t="str">
            <v>Z003DZ7J</v>
          </cell>
          <cell r="I338" t="str"/>
          <cell r="J338" t="str">
            <v>SOP IT APD HRS C07</v>
          </cell>
          <cell r="K338">
            <v>3.5</v>
          </cell>
          <cell r="L338">
            <v>227.5</v>
          </cell>
          <cell r="M338">
            <v>0</v>
          </cell>
          <cell r="N338" t="str"/>
          <cell r="O338" t="str"/>
          <cell r="P338" t="str">
            <v>X</v>
          </cell>
          <cell r="Q338" t="str"/>
          <cell r="R338" t="str"/>
        </row>
        <row r="339">
          <cell r="A339" t="str">
            <v>APDH2.03321 HR_MySuccessNetwork</v>
          </cell>
          <cell r="B339" t="str">
            <v>001 / Projekt</v>
          </cell>
          <cell r="C339" t="str">
            <v>001 / Development</v>
          </cell>
          <cell r="D339" t="str"/>
          <cell r="E339">
            <v>43735</v>
          </cell>
          <cell r="F339" t="str">
            <v>09/2019</v>
          </cell>
          <cell r="G339" t="str">
            <v>Koechling, Gabriele</v>
          </cell>
          <cell r="H339" t="str">
            <v>Z000DTQL</v>
          </cell>
          <cell r="I339" t="str"/>
          <cell r="J339" t="str">
            <v>SOP IT APD HRS C07</v>
          </cell>
          <cell r="K339">
            <v>3</v>
          </cell>
          <cell r="L339">
            <v>270</v>
          </cell>
          <cell r="M339">
            <v>0</v>
          </cell>
          <cell r="N339" t="str"/>
          <cell r="O339" t="str"/>
          <cell r="P339" t="str">
            <v>X</v>
          </cell>
          <cell r="Q339" t="str"/>
          <cell r="R339" t="str">
            <v xml:space="preserve">MySN Daily, Testing des aktuellen Sprints, wenn Zeit, dann Testfallbeschreibung f. Testautomatisierung
</v>
          </cell>
        </row>
        <row r="340">
          <cell r="A340" t="str">
            <v>APDH2.03321 HR_MySuccessNetwork</v>
          </cell>
          <cell r="B340" t="str">
            <v>001 / Projekt</v>
          </cell>
          <cell r="C340" t="str">
            <v>001 / Development</v>
          </cell>
          <cell r="D340" t="str"/>
          <cell r="E340">
            <v>43735</v>
          </cell>
          <cell r="F340" t="str">
            <v>09/2019</v>
          </cell>
          <cell r="G340" t="str">
            <v>Speicher, Dominik</v>
          </cell>
          <cell r="H340" t="str">
            <v>Z001PE3B</v>
          </cell>
          <cell r="I340" t="str"/>
          <cell r="J340" t="str">
            <v>SOP IT APD HRS C07</v>
          </cell>
          <cell r="K340">
            <v>2</v>
          </cell>
          <cell r="L340">
            <v>180</v>
          </cell>
          <cell r="M340">
            <v>0</v>
          </cell>
          <cell r="N340" t="str"/>
          <cell r="O340" t="str"/>
          <cell r="P340" t="str">
            <v>X</v>
          </cell>
          <cell r="Q340" t="str"/>
          <cell r="R340" t="str"/>
        </row>
        <row r="341">
          <cell r="A341" t="str">
            <v>APDH2.03321 HR_MySuccessNetwork</v>
          </cell>
          <cell r="B341" t="str">
            <v>001 / Projekt</v>
          </cell>
          <cell r="C341" t="str">
            <v>001 / Development</v>
          </cell>
          <cell r="D341" t="str"/>
          <cell r="E341">
            <v>43735</v>
          </cell>
          <cell r="F341" t="str">
            <v>09/2019</v>
          </cell>
          <cell r="G341" t="str">
            <v>Zak, Alexander</v>
          </cell>
          <cell r="H341" t="str">
            <v>Z001PMUV</v>
          </cell>
          <cell r="I341" t="str"/>
          <cell r="J341" t="str">
            <v>SOP IT APD HRS C06</v>
          </cell>
          <cell r="K341">
            <v>1</v>
          </cell>
          <cell r="L341">
            <v>105</v>
          </cell>
          <cell r="M341">
            <v>0</v>
          </cell>
          <cell r="N341" t="str"/>
          <cell r="O341" t="str"/>
          <cell r="P341" t="str">
            <v>X</v>
          </cell>
          <cell r="Q341" t="str"/>
          <cell r="R341" t="str"/>
        </row>
        <row r="342">
          <cell r="A342" t="str">
            <v>APDH2.03321 HR_MySuccessNetwork</v>
          </cell>
          <cell r="B342" t="str">
            <v>001 / Projekt</v>
          </cell>
          <cell r="C342" t="str">
            <v>001 / Development</v>
          </cell>
          <cell r="D342" t="str"/>
          <cell r="E342">
            <v>43735</v>
          </cell>
          <cell r="F342" t="str">
            <v>09/2019</v>
          </cell>
          <cell r="G342" t="str">
            <v>Koeller, Maximilian</v>
          </cell>
          <cell r="H342" t="str">
            <v>Z003DZ7J</v>
          </cell>
          <cell r="I342" t="str"/>
          <cell r="J342" t="str">
            <v>SOP IT APD HRS C07</v>
          </cell>
          <cell r="K342">
            <v>3.5</v>
          </cell>
          <cell r="L342">
            <v>227.5</v>
          </cell>
          <cell r="M342">
            <v>0</v>
          </cell>
          <cell r="N342" t="str"/>
          <cell r="O342" t="str"/>
          <cell r="P342" t="str">
            <v>X</v>
          </cell>
          <cell r="Q342" t="str"/>
          <cell r="R342" t="str"/>
        </row>
        <row r="343">
          <cell r="A343" t="str">
            <v>APDH2.03321 HR_MySuccessNetwork</v>
          </cell>
          <cell r="B343" t="str">
            <v>001 / Projekt</v>
          </cell>
          <cell r="C343" t="str">
            <v>001 / Development</v>
          </cell>
          <cell r="D343" t="str"/>
          <cell r="E343">
            <v>43738</v>
          </cell>
          <cell r="F343" t="str">
            <v>09/2019</v>
          </cell>
          <cell r="G343" t="str">
            <v>Koechling, Gabriele</v>
          </cell>
          <cell r="H343" t="str">
            <v>Z000DTQL</v>
          </cell>
          <cell r="I343" t="str"/>
          <cell r="J343" t="str">
            <v>SOP IT APD HRS C07</v>
          </cell>
          <cell r="K343">
            <v>3</v>
          </cell>
          <cell r="L343">
            <v>270</v>
          </cell>
          <cell r="M343">
            <v>0</v>
          </cell>
          <cell r="N343" t="str"/>
          <cell r="O343" t="str"/>
          <cell r="P343" t="str">
            <v>X</v>
          </cell>
          <cell r="Q343" t="str"/>
          <cell r="R343" t="str">
            <v xml:space="preserve">MySN Daily, Testing des aktuellen Sprints, wenn Zeit, dann Testfallbeschreibung f. Testautomatisierung
</v>
          </cell>
        </row>
        <row r="344">
          <cell r="A344" t="str">
            <v>APDH2.03321 HR_MySuccessNetwork</v>
          </cell>
          <cell r="B344" t="str">
            <v>001 / Projekt</v>
          </cell>
          <cell r="C344" t="str">
            <v>001 / Development</v>
          </cell>
          <cell r="D344" t="str"/>
          <cell r="E344">
            <v>43738</v>
          </cell>
          <cell r="F344" t="str">
            <v>09/2019</v>
          </cell>
          <cell r="G344" t="str">
            <v>Speicher, Dominik</v>
          </cell>
          <cell r="H344" t="str">
            <v>Z001PE3B</v>
          </cell>
          <cell r="I344" t="str"/>
          <cell r="J344" t="str">
            <v>SOP IT APD HRS C07</v>
          </cell>
          <cell r="K344">
            <v>3</v>
          </cell>
          <cell r="L344">
            <v>270</v>
          </cell>
          <cell r="M344">
            <v>0</v>
          </cell>
          <cell r="N344" t="str"/>
          <cell r="O344" t="str"/>
          <cell r="P344" t="str">
            <v>X</v>
          </cell>
          <cell r="Q344" t="str"/>
          <cell r="R344" t="str"/>
        </row>
        <row r="345">
          <cell r="A345" t="str">
            <v>APDH2.03321 HR_MySuccessNetwork</v>
          </cell>
          <cell r="B345" t="str">
            <v>001 / Projekt</v>
          </cell>
          <cell r="C345" t="str">
            <v>001 / Development</v>
          </cell>
          <cell r="D345" t="str"/>
          <cell r="E345">
            <v>43738</v>
          </cell>
          <cell r="F345" t="str">
            <v>09/2019</v>
          </cell>
          <cell r="G345" t="str">
            <v>Zak, Alexander</v>
          </cell>
          <cell r="H345" t="str">
            <v>Z001PMUV</v>
          </cell>
          <cell r="I345" t="str"/>
          <cell r="J345" t="str">
            <v>SOP IT APD HRS C06</v>
          </cell>
          <cell r="K345">
            <v>1</v>
          </cell>
          <cell r="L345">
            <v>105</v>
          </cell>
          <cell r="M345">
            <v>0</v>
          </cell>
          <cell r="N345" t="str"/>
          <cell r="O345" t="str"/>
          <cell r="P345" t="str">
            <v>X</v>
          </cell>
          <cell r="Q345" t="str"/>
          <cell r="R345" t="str"/>
        </row>
        <row r="346">
          <cell r="A346" t="str">
            <v>APDH2.03321 HR_MySuccessNetwork</v>
          </cell>
          <cell r="B346" t="str">
            <v>001 / Projekt</v>
          </cell>
          <cell r="C346" t="str">
            <v>001 / Development</v>
          </cell>
          <cell r="D346" t="str"/>
          <cell r="E346">
            <v>43738</v>
          </cell>
          <cell r="F346" t="str">
            <v>09/2019</v>
          </cell>
          <cell r="G346" t="str">
            <v>Koeller, Maximilian</v>
          </cell>
          <cell r="H346" t="str">
            <v>Z003DZ7J</v>
          </cell>
          <cell r="I346" t="str"/>
          <cell r="J346" t="str">
            <v>SOP IT APD HRS C07</v>
          </cell>
          <cell r="K346">
            <v>3.5</v>
          </cell>
          <cell r="L346">
            <v>227.5</v>
          </cell>
          <cell r="M346">
            <v>0</v>
          </cell>
          <cell r="N346" t="str"/>
          <cell r="O346" t="str"/>
          <cell r="P346" t="str">
            <v>X</v>
          </cell>
          <cell r="Q346" t="str"/>
          <cell r="R346" t="str"/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="http://schemas.openxmlformats.org/spreadsheetml/2006/main">
  <sheetPr>
    <tabColor theme="3" tint="-0.249977111117893"/>
    <outlinePr summaryBelow="1" summaryRight="1"/>
    <pageSetUpPr/>
  </sheetPr>
  <dimension ref="A1:P30"/>
  <sheetViews>
    <sheetView topLeftCell="D1" zoomScaleNormal="100" workbookViewId="0">
      <selection activeCell="K5" sqref="K5:K8"/>
    </sheetView>
  </sheetViews>
  <sheetFormatPr baseColWidth="8" defaultColWidth="11.453125" defaultRowHeight="22.5" customHeight="1"/>
  <cols>
    <col width="4.90625" customWidth="1" style="14" min="1" max="1"/>
    <col width="34.08984375" customWidth="1" style="14" min="2" max="2"/>
    <col width="14.08984375" customWidth="1" style="14" min="3" max="6"/>
    <col width="12" bestFit="1" customWidth="1" style="14" min="7" max="8"/>
    <col width="14.453125" bestFit="1" customWidth="1" style="14" min="9" max="9"/>
    <col width="12.6328125" customWidth="1" style="14" min="10" max="10"/>
    <col width="11.90625" bestFit="1" customWidth="1" style="14" min="11" max="12"/>
    <col width="11.453125" customWidth="1" style="14" min="13" max="13"/>
    <col width="11.90625" bestFit="1" customWidth="1" style="14" min="14" max="14"/>
    <col width="20.453125" customWidth="1" style="386" min="15" max="15"/>
    <col width="7.6328125" customWidth="1" style="14" min="16" max="16"/>
    <col width="11.453125" customWidth="1" style="14" min="17" max="16384"/>
  </cols>
  <sheetData>
    <row r="1" ht="22.5" customHeight="1">
      <c r="A1" s="190" t="n"/>
      <c r="B1" s="191" t="inlineStr">
        <is>
          <t>Forecast</t>
        </is>
      </c>
      <c r="C1" s="190" t="n"/>
      <c r="D1" s="190" t="n"/>
      <c r="E1" s="190" t="n"/>
      <c r="F1" s="190" t="n"/>
      <c r="G1" s="190" t="n"/>
      <c r="H1" s="190" t="n"/>
      <c r="I1" s="190" t="n"/>
      <c r="J1" s="190" t="n"/>
      <c r="K1" s="190" t="n"/>
      <c r="L1" s="189" t="n"/>
      <c r="M1" s="189" t="n"/>
      <c r="N1" s="189" t="n"/>
      <c r="O1" s="383" t="n"/>
      <c r="P1" s="189" t="n"/>
    </row>
    <row r="2" ht="40.5" customHeight="1">
      <c r="A2" s="189" t="n"/>
      <c r="B2" s="195" t="n"/>
      <c r="C2" s="802" t="inlineStr">
        <is>
          <t>Budget FY25
11.03.2024 (shared with P&amp;O ECO DIG)</t>
        </is>
      </c>
      <c r="E2" s="802" t="inlineStr">
        <is>
          <t>Budget FY25
(confirmed)</t>
        </is>
      </c>
      <c r="G2" s="866" t="inlineStr">
        <is>
          <t>FC Q1 FY25
15.01.2025</t>
        </is>
      </c>
      <c r="H2" s="867" t="n"/>
      <c r="I2" s="802" t="inlineStr">
        <is>
          <t>FC Q2 FY25 
11.03.2025</t>
        </is>
      </c>
      <c r="K2" s="802" t="inlineStr">
        <is>
          <t>FC Q3 FY25 (current)</t>
        </is>
      </c>
      <c r="M2" s="802" t="inlineStr">
        <is>
          <t>FC Q4 FY25</t>
        </is>
      </c>
      <c r="O2" s="215" t="inlineStr">
        <is>
          <t>Profit (in %)</t>
        </is>
      </c>
      <c r="P2" s="189" t="n"/>
    </row>
    <row r="3" ht="24.75" customHeight="1">
      <c r="A3" s="189" t="n"/>
      <c r="C3" s="213" t="inlineStr">
        <is>
          <t>Costs</t>
        </is>
      </c>
      <c r="D3" s="194" t="inlineStr">
        <is>
          <t>Price</t>
        </is>
      </c>
      <c r="E3" s="213" t="inlineStr">
        <is>
          <t>Costs</t>
        </is>
      </c>
      <c r="F3" s="194" t="inlineStr">
        <is>
          <t>Price</t>
        </is>
      </c>
      <c r="G3" s="213" t="inlineStr">
        <is>
          <t>Costs</t>
        </is>
      </c>
      <c r="H3" s="194" t="inlineStr">
        <is>
          <t>Price</t>
        </is>
      </c>
      <c r="I3" s="213" t="inlineStr">
        <is>
          <t>Costs</t>
        </is>
      </c>
      <c r="J3" s="194" t="inlineStr">
        <is>
          <t>Price</t>
        </is>
      </c>
      <c r="K3" s="782" t="inlineStr">
        <is>
          <t>Costs</t>
        </is>
      </c>
      <c r="L3" s="783" t="inlineStr">
        <is>
          <t>Price</t>
        </is>
      </c>
      <c r="M3" s="213" t="inlineStr">
        <is>
          <t>Costs</t>
        </is>
      </c>
      <c r="N3" s="194" t="inlineStr">
        <is>
          <t>Price</t>
        </is>
      </c>
      <c r="O3" s="213" t="n"/>
      <c r="P3" s="189" t="n"/>
    </row>
    <row r="4" ht="24.75" customHeight="1">
      <c r="A4" s="189" t="n"/>
      <c r="B4" s="192" t="inlineStr">
        <is>
          <t>TMS Operations</t>
        </is>
      </c>
      <c r="C4" s="868" t="n">
        <v>4200000</v>
      </c>
      <c r="D4" s="869" t="n">
        <v>4330000</v>
      </c>
      <c r="E4" s="870">
        <f>Operations!S69</f>
        <v/>
      </c>
      <c r="F4" s="869" t="n">
        <v>1650000</v>
      </c>
      <c r="G4" s="868" t="n">
        <v>1279500</v>
      </c>
      <c r="H4" s="869" t="n">
        <v>1650000</v>
      </c>
      <c r="I4" s="871" t="n">
        <v>1325636</v>
      </c>
      <c r="J4" s="872" t="n">
        <v>1650000</v>
      </c>
      <c r="K4" s="873">
        <f>Operations!R69</f>
        <v/>
      </c>
      <c r="L4" s="874">
        <f>Operations!W69</f>
        <v/>
      </c>
      <c r="M4" s="210" t="n"/>
      <c r="N4" s="869" t="n"/>
      <c r="O4" s="384">
        <f>(L4-K4)/L4</f>
        <v/>
      </c>
      <c r="P4" s="189" t="n"/>
    </row>
    <row r="5" ht="24.75" customHeight="1">
      <c r="A5" s="189" t="n"/>
      <c r="B5" s="245" t="inlineStr">
        <is>
          <t>TMS Project: Eightfold Value Crew</t>
        </is>
      </c>
      <c r="C5" s="868" t="n">
        <v>1288000</v>
      </c>
      <c r="D5" s="869" t="n">
        <v>1385995</v>
      </c>
      <c r="E5" s="870" t="n">
        <v>872500</v>
      </c>
      <c r="F5" s="869" t="n">
        <v>908000</v>
      </c>
      <c r="G5" s="868" t="n">
        <v>669035.05</v>
      </c>
      <c r="H5" s="869" t="n">
        <v>703000</v>
      </c>
      <c r="I5" s="871" t="n">
        <v>273489</v>
      </c>
      <c r="J5" s="872" t="n">
        <v>287163</v>
      </c>
      <c r="K5" s="873">
        <f>Project!R31</f>
        <v/>
      </c>
      <c r="L5" s="874">
        <f>Project!Y31</f>
        <v/>
      </c>
      <c r="M5" s="210" t="n"/>
      <c r="O5" s="384">
        <f>(L5-K5)/L5</f>
        <v/>
      </c>
      <c r="P5" s="189" t="n"/>
    </row>
    <row r="6" ht="24.75" customHeight="1">
      <c r="A6" s="189" t="n"/>
      <c r="B6" s="245" t="inlineStr">
        <is>
          <t>TMS Project: Ext. Careers Portal</t>
        </is>
      </c>
      <c r="C6" s="868" t="n">
        <v>0</v>
      </c>
      <c r="D6" s="869" t="n">
        <v>0</v>
      </c>
      <c r="E6" s="870" t="n">
        <v>0</v>
      </c>
      <c r="F6" s="869" t="n">
        <v>0</v>
      </c>
      <c r="G6" s="870" t="n">
        <v>0</v>
      </c>
      <c r="H6" s="869" t="n">
        <v>0</v>
      </c>
      <c r="I6" s="871" t="n">
        <v>632250</v>
      </c>
      <c r="J6" s="872" t="n">
        <v>663863</v>
      </c>
      <c r="K6" s="873">
        <f>Project!R99</f>
        <v/>
      </c>
      <c r="L6" s="874">
        <f>Project!Y99</f>
        <v/>
      </c>
      <c r="M6" s="210" t="n"/>
      <c r="O6" s="384">
        <f>(L6-K6)/L6</f>
        <v/>
      </c>
      <c r="P6" s="189" t="n"/>
    </row>
    <row r="7" ht="24.75" customHeight="1">
      <c r="A7" s="189" t="n"/>
      <c r="B7" s="245" t="inlineStr">
        <is>
          <t>TMS Project: Avature Value Crew</t>
        </is>
      </c>
      <c r="C7" s="868" t="n">
        <v>1107000</v>
      </c>
      <c r="D7" s="869" t="n">
        <v>1188884</v>
      </c>
      <c r="E7" s="870" t="n">
        <v>1408000</v>
      </c>
      <c r="F7" s="869" t="n">
        <v>1453000</v>
      </c>
      <c r="G7" s="868" t="n">
        <v>1399500</v>
      </c>
      <c r="H7" s="869" t="n">
        <v>1473500</v>
      </c>
      <c r="I7" s="871" t="n">
        <v>1314565</v>
      </c>
      <c r="J7" s="872" t="n">
        <v>1380293</v>
      </c>
      <c r="K7" s="873">
        <f>Project!R66</f>
        <v/>
      </c>
      <c r="L7" s="874">
        <f>Project!Y66</f>
        <v/>
      </c>
      <c r="M7" s="210" t="n"/>
      <c r="O7" s="384">
        <f>(L7-K7)/L7</f>
        <v/>
      </c>
      <c r="P7" s="189" t="n"/>
    </row>
    <row r="8" ht="24.75" customHeight="1">
      <c r="A8" s="189" t="n"/>
      <c r="B8" s="245" t="inlineStr">
        <is>
          <t>TMS Project: Avature Preboarding</t>
        </is>
      </c>
      <c r="C8" s="868" t="n">
        <v>0</v>
      </c>
      <c r="D8" s="869" t="n">
        <v>0</v>
      </c>
      <c r="E8" s="870" t="n">
        <v>0</v>
      </c>
      <c r="F8" s="869" t="n">
        <v>0</v>
      </c>
      <c r="G8" s="868" t="n">
        <v>0</v>
      </c>
      <c r="H8" s="875" t="n">
        <v>0</v>
      </c>
      <c r="I8" s="871" t="n">
        <v>93359</v>
      </c>
      <c r="J8" s="872" t="n">
        <v>98027</v>
      </c>
      <c r="K8" s="873">
        <f>Project!R128</f>
        <v/>
      </c>
      <c r="L8" s="874">
        <f>Project!Y128</f>
        <v/>
      </c>
      <c r="M8" s="210" t="n"/>
      <c r="O8" s="384">
        <f>(L8-K8)/L8</f>
        <v/>
      </c>
      <c r="P8" s="189" t="n"/>
    </row>
    <row r="9" ht="24.75" customHeight="1">
      <c r="A9" s="189" t="n"/>
      <c r="B9" s="245" t="inlineStr">
        <is>
          <t>TMS Change Requests (CR)</t>
        </is>
      </c>
      <c r="C9" s="868" t="n"/>
      <c r="D9" s="869" t="n"/>
      <c r="E9" s="870" t="n"/>
      <c r="F9" s="869" t="n"/>
      <c r="G9" s="868" t="n"/>
      <c r="H9" s="869" t="n"/>
      <c r="I9" s="871" t="n"/>
      <c r="J9" s="872" t="n"/>
      <c r="K9" s="873" t="n"/>
      <c r="L9" s="874" t="n"/>
      <c r="M9" s="210" t="n"/>
      <c r="O9" s="384" t="n"/>
      <c r="P9" s="189" t="n"/>
    </row>
    <row r="10" ht="24.75" customHeight="1">
      <c r="A10" s="189" t="n"/>
      <c r="B10" s="192" t="inlineStr">
        <is>
          <t>TMS Sonderbudget SHS</t>
        </is>
      </c>
      <c r="C10" s="868" t="n">
        <v>0</v>
      </c>
      <c r="D10" s="875" t="n">
        <v>0</v>
      </c>
      <c r="E10" s="868" t="n">
        <v>0</v>
      </c>
      <c r="F10" s="875" t="n">
        <v>0</v>
      </c>
      <c r="G10" s="868" t="n">
        <v>0</v>
      </c>
      <c r="H10" s="869" t="n">
        <v>17269</v>
      </c>
      <c r="I10" s="871" t="n">
        <v>18609</v>
      </c>
      <c r="J10" s="872" t="n">
        <v>18609</v>
      </c>
      <c r="K10" s="873">
        <f>'Sonderbudget '!W12</f>
        <v/>
      </c>
      <c r="L10" s="874">
        <f>'Sonderbudget '!W12</f>
        <v/>
      </c>
      <c r="M10" s="210" t="n"/>
      <c r="O10" s="384">
        <f>(L10-K10)/L10</f>
        <v/>
      </c>
      <c r="P10" s="189" t="n"/>
    </row>
    <row r="11" ht="22.5" customHeight="1">
      <c r="A11" s="189" t="n"/>
      <c r="B11" s="189" t="n"/>
      <c r="C11" s="189" t="n"/>
      <c r="D11" s="189" t="n"/>
      <c r="E11" s="189" t="n"/>
      <c r="F11" s="189" t="n"/>
      <c r="G11" s="189" t="n"/>
      <c r="H11" s="189" t="n"/>
      <c r="I11" s="189" t="n"/>
      <c r="J11" s="189" t="n"/>
      <c r="K11" s="189" t="n"/>
      <c r="L11" s="189" t="n"/>
      <c r="M11" s="189" t="n"/>
      <c r="N11" s="189" t="n"/>
      <c r="O11" s="383" t="n"/>
      <c r="P11" s="189" t="n"/>
    </row>
    <row r="13" ht="22.5" customHeight="1">
      <c r="A13" s="189" t="n"/>
      <c r="B13" s="189" t="n"/>
      <c r="C13" s="189" t="n"/>
      <c r="D13" s="189" t="n"/>
      <c r="E13" s="189" t="n"/>
      <c r="F13" s="189" t="n"/>
      <c r="G13" s="189" t="n"/>
      <c r="H13" s="189" t="n"/>
      <c r="I13" s="189" t="n"/>
      <c r="J13" s="189" t="n"/>
      <c r="K13" s="189" t="n"/>
      <c r="L13" s="189" t="n"/>
      <c r="M13" s="189" t="n"/>
      <c r="N13" s="189" t="n"/>
      <c r="O13" s="383" t="n"/>
      <c r="P13" s="189" t="n"/>
    </row>
    <row r="14" ht="22.5" customHeight="1">
      <c r="A14" s="189" t="n"/>
      <c r="B14" s="217" t="inlineStr">
        <is>
          <t>Premisses for Budget FY25</t>
        </is>
      </c>
      <c r="C14" s="218" t="n"/>
      <c r="D14" s="218" t="n"/>
      <c r="E14" s="218" t="n"/>
      <c r="F14" s="218" t="n"/>
      <c r="G14" s="876" t="n"/>
      <c r="H14" s="876" t="n"/>
      <c r="I14" s="218" t="n"/>
      <c r="J14" s="218" t="n"/>
      <c r="K14" s="218" t="n"/>
      <c r="L14" s="218" t="n"/>
      <c r="M14" s="218" t="n"/>
      <c r="N14" s="218" t="n"/>
      <c r="O14" s="385" t="n"/>
      <c r="P14" s="189" t="n"/>
    </row>
    <row r="15" ht="22.5" customHeight="1">
      <c r="A15" s="189" t="n"/>
      <c r="B15" s="217" t="n"/>
      <c r="C15" s="217" t="inlineStr">
        <is>
          <t>Operations</t>
        </is>
      </c>
      <c r="D15" s="218" t="n"/>
      <c r="E15" s="217" t="n"/>
      <c r="F15" s="218" t="n"/>
      <c r="G15" s="876" t="n"/>
      <c r="H15" s="876" t="n"/>
      <c r="I15" s="218" t="n"/>
      <c r="J15" s="218" t="n"/>
      <c r="K15" s="218" t="n"/>
      <c r="L15" s="218" t="n"/>
      <c r="M15" s="218" t="n"/>
      <c r="N15" s="218" t="n"/>
      <c r="O15" s="385" t="n"/>
      <c r="P15" s="189" t="n"/>
    </row>
    <row r="16" ht="22.5" customHeight="1">
      <c r="A16" s="189" t="n"/>
      <c r="B16" s="218" t="n"/>
      <c r="C16" s="218" t="n"/>
      <c r="D16" s="218" t="inlineStr">
        <is>
          <t>SHS keeps using TMS in FY25; US/CA not using Avature effective 01.01.2025</t>
        </is>
      </c>
      <c r="E16" s="218" t="n"/>
      <c r="F16" s="218" t="n"/>
      <c r="G16" s="876" t="n"/>
      <c r="H16" s="876" t="n"/>
      <c r="I16" s="218" t="n"/>
      <c r="J16" s="218" t="n"/>
      <c r="K16" s="218" t="n"/>
      <c r="L16" s="218" t="n"/>
      <c r="M16" s="218" t="n"/>
      <c r="N16" s="218" t="n"/>
      <c r="O16" s="385" t="n"/>
      <c r="P16" s="189" t="n"/>
    </row>
    <row r="17" ht="22.5" customHeight="1">
      <c r="A17" s="189" t="n"/>
      <c r="B17" s="218" t="n"/>
      <c r="C17" s="218" t="n"/>
      <c r="D17" s="218" t="inlineStr">
        <is>
          <t>Ramp down Eightfold until 30.09.2025; keep major vendors Avature, Tupu [acquired by eRoad])</t>
        </is>
      </c>
      <c r="E17" s="218" t="n"/>
      <c r="G17" s="218" t="n"/>
      <c r="H17" s="218" t="n"/>
      <c r="I17" s="218" t="n"/>
      <c r="J17" s="218" t="n"/>
      <c r="K17" s="218" t="n"/>
      <c r="L17" s="218" t="n"/>
      <c r="M17" s="218" t="n"/>
      <c r="N17" s="218" t="n"/>
      <c r="O17" s="385" t="n"/>
      <c r="P17" s="189" t="n"/>
    </row>
    <row r="18" ht="22.5" customHeight="1">
      <c r="A18" s="189" t="n"/>
      <c r="B18" s="218" t="n"/>
      <c r="C18" s="218" t="n"/>
      <c r="D18" s="218" t="inlineStr">
        <is>
          <t>additional topics compared to FY24: 1.) new integrations to monitor (HR D2GO, DirX, Workday, PDC); 2.) topics from CF A audit: EF Matching Model Monitoring; 3.) AV Self Config. --&gt; tbd. T€</t>
        </is>
      </c>
      <c r="E18" s="218" t="n"/>
      <c r="G18" s="218" t="n"/>
      <c r="H18" s="218" t="n"/>
      <c r="I18" s="218" t="n"/>
      <c r="J18" s="218" t="n"/>
      <c r="K18" s="218" t="n"/>
      <c r="L18" s="218" t="n"/>
      <c r="M18" s="218" t="n"/>
      <c r="N18" s="218" t="n"/>
      <c r="O18" s="385" t="n"/>
      <c r="P18" s="189" t="n"/>
    </row>
    <row r="19" ht="22.5" customHeight="1">
      <c r="A19" s="189" t="n"/>
      <c r="B19" s="218" t="n"/>
      <c r="C19" s="218" t="n"/>
      <c r="D19" s="241" t="inlineStr">
        <is>
          <t>Productivity Target: 306 T€</t>
        </is>
      </c>
      <c r="E19" s="218" t="n"/>
      <c r="F19" s="241" t="n"/>
      <c r="G19" s="218" t="n"/>
      <c r="H19" s="218" t="n"/>
      <c r="I19" s="218" t="n"/>
      <c r="J19" s="218" t="n"/>
      <c r="K19" s="218" t="n"/>
      <c r="L19" s="218" t="n"/>
      <c r="M19" s="218" t="n"/>
      <c r="N19" s="218" t="n"/>
      <c r="O19" s="385" t="n"/>
      <c r="P19" s="189" t="n"/>
    </row>
    <row r="20" ht="22.5" customHeight="1">
      <c r="A20" s="189" t="n"/>
      <c r="B20" s="218" t="n"/>
      <c r="C20" s="218" t="n"/>
      <c r="D20" s="218" t="n"/>
      <c r="E20" s="218" t="n"/>
      <c r="F20" s="241" t="n"/>
      <c r="G20" s="218" t="n"/>
      <c r="H20" s="218" t="n"/>
      <c r="I20" s="218" t="n"/>
      <c r="J20" s="218" t="n"/>
      <c r="K20" s="218" t="n"/>
      <c r="L20" s="218" t="n"/>
      <c r="M20" s="218" t="n"/>
      <c r="N20" s="218" t="n"/>
      <c r="O20" s="385" t="n"/>
      <c r="P20" s="189" t="n"/>
    </row>
    <row r="21" ht="22.5" customHeight="1">
      <c r="A21" s="189" t="n"/>
      <c r="B21" s="218" t="n"/>
      <c r="C21" s="217" t="inlineStr">
        <is>
          <t>Project</t>
        </is>
      </c>
      <c r="E21" s="217" t="n"/>
      <c r="G21" s="218" t="n"/>
      <c r="H21" s="218" t="n"/>
      <c r="I21" s="218" t="n"/>
      <c r="J21" s="218" t="n"/>
      <c r="K21" s="218" t="n"/>
      <c r="L21" s="218" t="n"/>
      <c r="M21" s="218" t="n"/>
      <c r="N21" s="218" t="n"/>
      <c r="O21" s="385" t="n"/>
      <c r="P21" s="189" t="n"/>
    </row>
    <row r="22" ht="22.5" customHeight="1">
      <c r="A22" s="189" t="n"/>
      <c r="B22" s="218" t="n"/>
      <c r="C22" s="218" t="n"/>
      <c r="D22" s="218" t="inlineStr">
        <is>
          <t>2 tester (250 T€); 2/3 TL (144 T€), Integration expert (70 T€), 2 IT SM (200 T€) to be covered by project budget --&gt; 670 T€</t>
        </is>
      </c>
      <c r="E22" s="218" t="n"/>
      <c r="F22" s="218" t="n"/>
      <c r="G22" s="218" t="n"/>
      <c r="H22" s="218" t="n"/>
      <c r="I22" s="218" t="n"/>
      <c r="J22" s="218" t="n"/>
      <c r="K22" s="218" t="n"/>
      <c r="L22" s="218" t="n"/>
      <c r="M22" s="218" t="n"/>
      <c r="N22" s="218" t="n"/>
      <c r="O22" s="385" t="n"/>
      <c r="P22" s="189" t="n"/>
    </row>
    <row r="23" ht="22.5" customHeight="1">
      <c r="A23" s="189" t="n"/>
      <c r="B23" s="218" t="n"/>
      <c r="C23" s="218" t="n"/>
      <c r="E23" s="218" t="n"/>
      <c r="F23" s="218" t="n"/>
      <c r="G23" s="218" t="n"/>
      <c r="H23" s="218" t="n"/>
      <c r="I23" s="218" t="n"/>
      <c r="J23" s="218" t="n"/>
      <c r="K23" s="218" t="n"/>
      <c r="L23" s="218" t="n"/>
      <c r="M23" s="218" t="n"/>
      <c r="N23" s="218" t="n"/>
      <c r="O23" s="385" t="n"/>
      <c r="P23" s="189" t="n"/>
    </row>
    <row r="24" ht="22.5" customHeight="1">
      <c r="A24" s="189" t="n"/>
      <c r="B24" s="189" t="n"/>
      <c r="C24" s="189" t="n"/>
      <c r="D24" s="189" t="n"/>
      <c r="E24" s="189" t="n"/>
      <c r="F24" s="189" t="n"/>
      <c r="G24" s="189" t="n"/>
      <c r="H24" s="189" t="n"/>
      <c r="I24" s="189" t="n"/>
      <c r="J24" s="189" t="n"/>
      <c r="K24" s="189" t="n"/>
      <c r="L24" s="189" t="n"/>
      <c r="M24" s="189" t="n"/>
      <c r="N24" s="189" t="n"/>
      <c r="O24" s="383" t="n"/>
      <c r="P24" s="189" t="n"/>
    </row>
    <row r="27" ht="22.5" customHeight="1">
      <c r="A27" s="192" t="n"/>
    </row>
    <row r="28" ht="22.5" customHeight="1">
      <c r="C28" s="236" t="n"/>
      <c r="E28" s="236" t="n"/>
    </row>
    <row r="29" ht="22.5" customHeight="1">
      <c r="C29" s="236" t="n"/>
      <c r="E29" s="236" t="n"/>
    </row>
    <row r="30" ht="22.5" customHeight="1">
      <c r="C30" s="236" t="n"/>
      <c r="E30" s="236" t="n"/>
    </row>
  </sheetData>
  <mergeCells count="6">
    <mergeCell ref="M2:N2"/>
    <mergeCell ref="C2:D2"/>
    <mergeCell ref="G2:H2"/>
    <mergeCell ref="E2:F2"/>
    <mergeCell ref="K2:L2"/>
    <mergeCell ref="I2:J2"/>
  </mergeCells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AA41"/>
  <sheetViews>
    <sheetView zoomScale="89" zoomScaleNormal="89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P26" sqref="P26"/>
    </sheetView>
  </sheetViews>
  <sheetFormatPr baseColWidth="8" defaultColWidth="10.90625" defaultRowHeight="12.5"/>
  <cols>
    <col hidden="1" min="1" max="1"/>
    <col width="35.54296875" customWidth="1" min="2" max="2"/>
    <col width="23.90625" customWidth="1" min="3" max="3"/>
    <col width="11.6328125" bestFit="1" customWidth="1" min="4" max="4"/>
    <col width="11.54296875" bestFit="1" customWidth="1" min="5" max="6"/>
    <col width="12.90625" bestFit="1" customWidth="1" min="7" max="7"/>
    <col width="11.54296875" bestFit="1" customWidth="1" min="8" max="8"/>
    <col hidden="1" width="11.54296875" customWidth="1" min="9" max="15"/>
    <col width="11.6328125" bestFit="1" customWidth="1" min="16" max="16"/>
    <col width="13.453125" bestFit="1" customWidth="1" min="17" max="18"/>
    <col width="10.36328125" customWidth="1" min="19" max="19"/>
    <col width="13.453125" bestFit="1" customWidth="1" min="20" max="21"/>
    <col width="12.90625" bestFit="1" customWidth="1" min="22" max="22"/>
    <col width="14" bestFit="1" customWidth="1" min="23" max="24"/>
    <col width="12.90625" bestFit="1" customWidth="1" min="25" max="25"/>
    <col width="24.90625" bestFit="1" customWidth="1" min="26" max="26"/>
    <col width="24.6328125" bestFit="1" customWidth="1" min="27" max="27"/>
  </cols>
  <sheetData>
    <row r="1" ht="42" customFormat="1" customHeight="1" s="14">
      <c r="A1" s="57" t="inlineStr">
        <is>
          <t>Fin. 
Transform. 
Cat.</t>
        </is>
      </c>
      <c r="B1" s="701" t="inlineStr">
        <is>
          <t>FY25 
SHS Data extract</t>
        </is>
      </c>
      <c r="C1" s="701" t="n"/>
      <c r="D1" s="12" t="n">
        <v>45566</v>
      </c>
      <c r="E1" s="12" t="n">
        <v>45597</v>
      </c>
      <c r="F1" s="12" t="n">
        <v>45627</v>
      </c>
      <c r="G1" s="12" t="n">
        <v>45658</v>
      </c>
      <c r="H1" s="12" t="n">
        <v>45689</v>
      </c>
      <c r="I1" s="12" t="n">
        <v>45717</v>
      </c>
      <c r="J1" s="12" t="n">
        <v>45748</v>
      </c>
      <c r="K1" s="12" t="n">
        <v>45778</v>
      </c>
      <c r="L1" s="12" t="n">
        <v>45809</v>
      </c>
      <c r="M1" s="12" t="n">
        <v>45839</v>
      </c>
      <c r="N1" s="12" t="n">
        <v>45870</v>
      </c>
      <c r="O1" s="12" t="n">
        <v>45901</v>
      </c>
      <c r="P1" s="12" t="n">
        <v>45717</v>
      </c>
      <c r="Q1" s="12" t="n">
        <v>45748</v>
      </c>
      <c r="R1" s="12" t="n">
        <v>45778</v>
      </c>
      <c r="S1" s="12" t="n">
        <v>45809</v>
      </c>
      <c r="T1" s="12" t="n">
        <v>45839</v>
      </c>
      <c r="U1" s="12" t="n">
        <v>45870</v>
      </c>
      <c r="V1" s="12" t="n">
        <v>45901</v>
      </c>
      <c r="W1" s="13" t="inlineStr">
        <is>
          <t>Actual FC 
FY25</t>
        </is>
      </c>
      <c r="X1" s="13" t="inlineStr">
        <is>
          <t>Planned costs (10.06.2024)</t>
        </is>
      </c>
      <c r="Y1" s="13" t="inlineStr">
        <is>
          <t>Differenz</t>
        </is>
      </c>
      <c r="Z1" s="70" t="inlineStr">
        <is>
          <t>Comment</t>
        </is>
      </c>
    </row>
    <row r="2" ht="14.25" customHeight="1">
      <c r="B2" s="33" t="inlineStr">
        <is>
          <t>Helbing, Björn</t>
        </is>
      </c>
      <c r="C2" s="33" t="n"/>
      <c r="D2" s="897" t="n">
        <v>0</v>
      </c>
      <c r="E2" s="897" t="n">
        <v>0</v>
      </c>
      <c r="F2" s="897" t="n">
        <v>0</v>
      </c>
      <c r="G2" s="897" t="n">
        <v>0</v>
      </c>
      <c r="H2" s="894" t="n">
        <v>0</v>
      </c>
      <c r="I2" s="894" t="n">
        <v>0</v>
      </c>
      <c r="J2" s="894" t="n">
        <v>0</v>
      </c>
      <c r="K2" s="894" t="n">
        <v>0</v>
      </c>
      <c r="L2" s="894" t="n"/>
      <c r="M2" s="894" t="n"/>
      <c r="N2" s="894" t="n"/>
      <c r="O2" s="894" t="n"/>
      <c r="W2" s="894">
        <f>SUM(D2:O2)</f>
        <v/>
      </c>
      <c r="X2" s="895" t="n"/>
    </row>
    <row r="3" ht="14.25" customHeight="1">
      <c r="B3" s="33" t="inlineStr">
        <is>
          <t>Fernandes Redondo, Amanda</t>
        </is>
      </c>
      <c r="C3" s="33" t="n"/>
      <c r="D3" s="897" t="n">
        <v>0</v>
      </c>
      <c r="E3" s="897" t="n">
        <v>0</v>
      </c>
      <c r="F3" s="897" t="n">
        <v>0</v>
      </c>
      <c r="G3" s="897" t="n">
        <v>0</v>
      </c>
      <c r="H3" s="894" t="n">
        <v>0</v>
      </c>
      <c r="I3" s="894" t="n">
        <v>0</v>
      </c>
      <c r="J3" s="894" t="n">
        <v>0</v>
      </c>
      <c r="K3" s="894" t="n">
        <v>0</v>
      </c>
      <c r="L3" s="894" t="n"/>
      <c r="M3" s="894" t="n"/>
      <c r="N3" s="894" t="n"/>
      <c r="O3" s="894" t="n"/>
      <c r="W3" s="894">
        <f>SUM(D3:O3)</f>
        <v/>
      </c>
      <c r="X3" s="895" t="n"/>
    </row>
    <row r="4" ht="14.25" customHeight="1">
      <c r="B4" s="33" t="inlineStr">
        <is>
          <t>Zouine, Meryem</t>
        </is>
      </c>
      <c r="C4" s="33" t="n"/>
      <c r="D4" s="897" t="n">
        <v>0</v>
      </c>
      <c r="E4" s="897" t="n">
        <v>0</v>
      </c>
      <c r="F4" s="897" t="n">
        <v>0</v>
      </c>
      <c r="G4" s="897" t="n">
        <v>0</v>
      </c>
      <c r="H4" s="894" t="n">
        <v>0</v>
      </c>
      <c r="I4" s="894" t="n">
        <v>0</v>
      </c>
      <c r="J4" s="894" t="n">
        <v>0</v>
      </c>
      <c r="K4" s="894" t="n">
        <v>0</v>
      </c>
      <c r="L4" s="894" t="n"/>
      <c r="M4" s="894" t="n"/>
      <c r="N4" s="894" t="n"/>
      <c r="O4" s="894" t="n"/>
      <c r="W4" s="894">
        <f>SUM(D4:O4)</f>
        <v/>
      </c>
      <c r="X4" s="895" t="n"/>
    </row>
    <row r="5" ht="14.25" customHeight="1">
      <c r="B5" s="33" t="inlineStr">
        <is>
          <t xml:space="preserve">Cerezo, Alberto </t>
        </is>
      </c>
      <c r="C5" s="33" t="n"/>
      <c r="D5" s="897" t="n">
        <v>1218</v>
      </c>
      <c r="E5" s="897" t="n">
        <v>122</v>
      </c>
      <c r="F5" s="897" t="n">
        <v>0</v>
      </c>
      <c r="G5" s="897" t="n">
        <v>0</v>
      </c>
      <c r="H5" s="891" t="n">
        <v>0</v>
      </c>
      <c r="I5" s="894" t="n">
        <v>0</v>
      </c>
      <c r="J5" s="894" t="n">
        <v>0</v>
      </c>
      <c r="K5" s="894" t="n">
        <v>0</v>
      </c>
      <c r="L5" s="894" t="n"/>
      <c r="M5" s="894" t="n"/>
      <c r="N5" s="894" t="n"/>
      <c r="O5" s="894" t="n"/>
      <c r="W5" s="894">
        <f>SUM(D5:O5)</f>
        <v/>
      </c>
      <c r="X5" s="895" t="n"/>
    </row>
    <row r="6" ht="14.25" customHeight="1">
      <c r="B6" s="33" t="inlineStr">
        <is>
          <t>Swoboda, Claudia</t>
        </is>
      </c>
      <c r="C6" s="33" t="n"/>
      <c r="D6" s="897" t="n">
        <v>0</v>
      </c>
      <c r="E6" s="897" t="n">
        <v>0</v>
      </c>
      <c r="F6" s="897" t="n">
        <v>0</v>
      </c>
      <c r="G6" s="897" t="n">
        <v>0</v>
      </c>
      <c r="H6" s="894" t="n">
        <v>0</v>
      </c>
      <c r="I6" s="894" t="n">
        <v>0</v>
      </c>
      <c r="J6" s="894" t="n">
        <v>0</v>
      </c>
      <c r="K6" s="894" t="n">
        <v>0</v>
      </c>
      <c r="L6" s="894" t="n"/>
      <c r="M6" s="894" t="n"/>
      <c r="N6" s="894" t="n"/>
      <c r="O6" s="894" t="n"/>
      <c r="W6" s="894">
        <f>SUM(D6:O6)</f>
        <v/>
      </c>
      <c r="X6" s="895" t="n"/>
    </row>
    <row r="7" ht="14.25" customHeight="1">
      <c r="B7" s="33" t="inlineStr">
        <is>
          <t>Loerinc, Jan (ext) (Accenture)</t>
        </is>
      </c>
      <c r="C7" s="33" t="n"/>
      <c r="D7" s="897" t="n">
        <v>0</v>
      </c>
      <c r="E7" s="897" t="n">
        <v>0</v>
      </c>
      <c r="F7" s="897" t="n">
        <v>0</v>
      </c>
      <c r="G7" s="897" t="n">
        <v>0</v>
      </c>
      <c r="H7" s="894" t="n">
        <v>0</v>
      </c>
      <c r="I7" s="894" t="n">
        <v>0</v>
      </c>
      <c r="J7" s="894" t="n">
        <v>0</v>
      </c>
      <c r="K7" s="894" t="n">
        <v>0</v>
      </c>
      <c r="L7" s="894" t="n"/>
      <c r="M7" s="894" t="n"/>
      <c r="N7" s="894" t="n"/>
      <c r="O7" s="894" t="n"/>
      <c r="W7" s="894">
        <f>SUM(D7:O7)</f>
        <v/>
      </c>
      <c r="X7" s="895" t="n"/>
    </row>
    <row r="8" ht="14.25" customHeight="1">
      <c r="B8" s="33" t="inlineStr">
        <is>
          <t>Bicho, Rita</t>
        </is>
      </c>
      <c r="C8" s="33" t="n"/>
      <c r="D8" s="897" t="n">
        <v>0</v>
      </c>
      <c r="E8" s="897" t="n">
        <v>0</v>
      </c>
      <c r="F8" s="897" t="n">
        <v>0</v>
      </c>
      <c r="G8" s="897" t="n">
        <v>0</v>
      </c>
      <c r="H8" s="894" t="n">
        <v>0</v>
      </c>
      <c r="I8" s="894" t="n">
        <v>0</v>
      </c>
      <c r="J8" s="894" t="n">
        <v>0</v>
      </c>
      <c r="K8" s="894" t="n">
        <v>0</v>
      </c>
      <c r="L8" s="894" t="n"/>
      <c r="M8" s="894" t="n"/>
      <c r="N8" s="894" t="n"/>
      <c r="O8" s="894" t="n"/>
      <c r="W8" s="894">
        <f>SUM(D8:O8)</f>
        <v/>
      </c>
      <c r="X8" s="895" t="n"/>
    </row>
    <row r="9" ht="14.25" customHeight="1">
      <c r="A9" s="6" t="n"/>
      <c r="B9" s="6" t="inlineStr">
        <is>
          <t>GBS</t>
        </is>
      </c>
      <c r="C9" s="6" t="n"/>
      <c r="D9" s="907">
        <f>SUM(D2:D8)</f>
        <v/>
      </c>
      <c r="E9" s="907">
        <f>SUM(E2:E8)</f>
        <v/>
      </c>
      <c r="F9" s="907">
        <f>SUM(F2:F8)</f>
        <v/>
      </c>
      <c r="G9" s="907">
        <f>SUM(G2:G8)</f>
        <v/>
      </c>
      <c r="H9" s="899">
        <f>SUM(H2:H8)</f>
        <v/>
      </c>
      <c r="I9" s="899">
        <f>SUM(I2:I8)</f>
        <v/>
      </c>
      <c r="J9" s="899">
        <f>SUM(J2:J8)</f>
        <v/>
      </c>
      <c r="K9" s="899">
        <f>SUM(K2:K8)</f>
        <v/>
      </c>
      <c r="L9" s="899">
        <f>SUM(L2:L8)</f>
        <v/>
      </c>
      <c r="M9" s="899">
        <f>SUM(M2:M8)</f>
        <v/>
      </c>
      <c r="N9" s="899">
        <f>SUM(N2:N8)</f>
        <v/>
      </c>
      <c r="O9" s="899">
        <f>SUM(O2:O8)</f>
        <v/>
      </c>
      <c r="P9" s="899">
        <f>SUM(P2:P8)</f>
        <v/>
      </c>
      <c r="Q9" s="899">
        <f>SUM(Q2:Q8)</f>
        <v/>
      </c>
      <c r="R9" s="899">
        <f>SUM(R2:R8)</f>
        <v/>
      </c>
      <c r="S9" s="899">
        <f>SUM(S2:S8)</f>
        <v/>
      </c>
      <c r="T9" s="899">
        <f>SUM(T2:T8)</f>
        <v/>
      </c>
      <c r="U9" s="899">
        <f>SUM(U2:U8)</f>
        <v/>
      </c>
      <c r="V9" s="899">
        <f>SUM(V2:V8)</f>
        <v/>
      </c>
      <c r="W9" s="902">
        <f>SUM(W2:W8)</f>
        <v/>
      </c>
      <c r="X9" s="900" t="n"/>
      <c r="Y9" s="900" t="n"/>
      <c r="Z9" s="380" t="inlineStr">
        <is>
          <t>FY24: 2.712,40 €</t>
        </is>
      </c>
    </row>
    <row r="10" ht="14.25" customHeight="1">
      <c r="B10" s="33" t="inlineStr">
        <is>
          <t>Avature</t>
        </is>
      </c>
      <c r="C10" s="33" t="n"/>
      <c r="D10" s="897" t="n">
        <v>0</v>
      </c>
      <c r="E10" s="897" t="n">
        <v>0</v>
      </c>
      <c r="F10" s="897" t="n">
        <v>0</v>
      </c>
      <c r="G10" s="894">
        <f>82*194.25</f>
        <v/>
      </c>
      <c r="H10" s="894" t="n">
        <v>0</v>
      </c>
      <c r="I10" s="894" t="n">
        <v>0</v>
      </c>
      <c r="J10" s="894" t="n">
        <v>0</v>
      </c>
      <c r="K10" s="894" t="n">
        <v>0</v>
      </c>
      <c r="L10" s="894" t="n">
        <v>0</v>
      </c>
      <c r="M10" s="894" t="n">
        <v>0</v>
      </c>
      <c r="N10" s="894" t="n">
        <v>0</v>
      </c>
      <c r="O10" s="894" t="n">
        <v>0</v>
      </c>
      <c r="P10" s="894" t="n">
        <v>0</v>
      </c>
      <c r="Q10" s="894" t="n">
        <v>0</v>
      </c>
      <c r="R10" s="894" t="n">
        <v>0</v>
      </c>
      <c r="S10" s="894" t="n">
        <v>0</v>
      </c>
      <c r="T10" s="894" t="n">
        <v>0</v>
      </c>
      <c r="U10" s="894" t="n">
        <v>0</v>
      </c>
      <c r="V10" s="894" t="n">
        <v>0</v>
      </c>
      <c r="W10" s="894">
        <f>SUM(D10:O10)</f>
        <v/>
      </c>
      <c r="X10" s="895" t="n"/>
      <c r="Z10" s="26" t="inlineStr">
        <is>
          <t>Rechnung DE02342 in Mrz</t>
        </is>
      </c>
    </row>
    <row r="11" ht="14.25" customHeight="1">
      <c r="A11" s="6" t="n"/>
      <c r="B11" s="6" t="inlineStr">
        <is>
          <t>Integration Provider</t>
        </is>
      </c>
      <c r="C11" s="6" t="n"/>
      <c r="D11" s="907">
        <f>SUM(D10)</f>
        <v/>
      </c>
      <c r="E11" s="907">
        <f>SUM(E10)</f>
        <v/>
      </c>
      <c r="F11" s="907">
        <f>SUM(F10)</f>
        <v/>
      </c>
      <c r="G11" s="902">
        <f>SUM(G10)</f>
        <v/>
      </c>
      <c r="H11" s="902">
        <f>SUM(H10)</f>
        <v/>
      </c>
      <c r="I11" s="902">
        <f>SUM(I10)</f>
        <v/>
      </c>
      <c r="J11" s="902">
        <f>SUM(J10)</f>
        <v/>
      </c>
      <c r="K11" s="902">
        <f>SUM(K10)</f>
        <v/>
      </c>
      <c r="L11" s="902">
        <f>SUM(L10)</f>
        <v/>
      </c>
      <c r="M11" s="902">
        <f>SUM(M10)</f>
        <v/>
      </c>
      <c r="N11" s="902">
        <f>SUM(N10)</f>
        <v/>
      </c>
      <c r="O11" s="902">
        <f>SUM(O10)</f>
        <v/>
      </c>
      <c r="P11" s="902">
        <f>SUM(P10)</f>
        <v/>
      </c>
      <c r="Q11" s="902">
        <f>SUM(Q10)</f>
        <v/>
      </c>
      <c r="R11" s="902">
        <f>SUM(R10)</f>
        <v/>
      </c>
      <c r="S11" s="902">
        <f>SUM(S10)</f>
        <v/>
      </c>
      <c r="T11" s="902">
        <f>SUM(T10)</f>
        <v/>
      </c>
      <c r="U11" s="902">
        <f>SUM(U10)</f>
        <v/>
      </c>
      <c r="V11" s="902">
        <f>SUM(V10)</f>
        <v/>
      </c>
      <c r="W11" s="902">
        <f>SUM(W10)</f>
        <v/>
      </c>
      <c r="X11" s="900" t="n"/>
      <c r="Y11" s="900" t="n"/>
      <c r="Z11" s="900" t="n"/>
    </row>
    <row r="12" ht="14.25" customHeight="1">
      <c r="A12" s="64" t="n"/>
      <c r="B12" s="64" t="inlineStr">
        <is>
          <t>Total SHS</t>
        </is>
      </c>
      <c r="C12" s="64" t="n"/>
      <c r="D12" s="1138">
        <f>SUM(D11,D9)</f>
        <v/>
      </c>
      <c r="E12" s="1138">
        <f>SUM(E11,E9)</f>
        <v/>
      </c>
      <c r="F12" s="1138">
        <f>SUM(F11,F9)</f>
        <v/>
      </c>
      <c r="G12" s="1138">
        <f>SUM(G11,G9)</f>
        <v/>
      </c>
      <c r="H12" s="1138">
        <f>SUM(H11,H9)</f>
        <v/>
      </c>
      <c r="I12" s="1138">
        <f>SUM(I11,I9)</f>
        <v/>
      </c>
      <c r="J12" s="1138">
        <f>SUM(J11,J9)</f>
        <v/>
      </c>
      <c r="K12" s="1138">
        <f>SUM(K11,K9)</f>
        <v/>
      </c>
      <c r="L12" s="1138">
        <f>SUM(L11,L9)</f>
        <v/>
      </c>
      <c r="M12" s="1138">
        <f>SUM(M11,M9)</f>
        <v/>
      </c>
      <c r="N12" s="1138">
        <f>SUM(N11,N9)</f>
        <v/>
      </c>
      <c r="O12" s="1138">
        <f>SUM(O11,O9)</f>
        <v/>
      </c>
      <c r="P12" s="1138">
        <f>SUM(P11,P9)</f>
        <v/>
      </c>
      <c r="Q12" s="1138">
        <f>SUM(Q11,Q9)</f>
        <v/>
      </c>
      <c r="R12" s="1138">
        <f>SUM(R11,R9)</f>
        <v/>
      </c>
      <c r="S12" s="1138">
        <f>SUM(S11,S9)</f>
        <v/>
      </c>
      <c r="T12" s="1138">
        <f>SUM(T11,T9)</f>
        <v/>
      </c>
      <c r="U12" s="1138">
        <f>SUM(U11,U9)</f>
        <v/>
      </c>
      <c r="V12" s="1138">
        <f>SUM(V11,V9)</f>
        <v/>
      </c>
      <c r="W12" s="1139">
        <f>SUM(W11,W9)</f>
        <v/>
      </c>
      <c r="X12" s="1140" t="n">
        <v>15000</v>
      </c>
      <c r="Y12" s="1141">
        <f>X12-W12</f>
        <v/>
      </c>
      <c r="Z12" s="367" t="n"/>
      <c r="AA12" s="906">
        <f>W12*1.05</f>
        <v/>
      </c>
    </row>
    <row r="13">
      <c r="W13" t="n">
        <v>2712.4</v>
      </c>
      <c r="Z13" s="290" t="n">
        <v>19867.2</v>
      </c>
      <c r="AA13" t="inlineStr">
        <is>
          <t>total value Alberto reported</t>
        </is>
      </c>
    </row>
    <row r="14">
      <c r="D14" s="778" t="n"/>
      <c r="V14" t="inlineStr">
        <is>
          <t>SOW</t>
        </is>
      </c>
      <c r="W14" t="inlineStr">
        <is>
          <t>Charging 03/2025</t>
        </is>
      </c>
      <c r="Z14">
        <f>17269+2712.4</f>
        <v/>
      </c>
      <c r="AA14" t="inlineStr">
        <is>
          <t>total costs</t>
        </is>
      </c>
    </row>
    <row r="15">
      <c r="Z15">
        <f>Z14-1340</f>
        <v/>
      </c>
      <c r="AA15" t="inlineStr">
        <is>
          <t>total costs - Feb value</t>
        </is>
      </c>
    </row>
    <row r="16" ht="39" customHeight="1">
      <c r="B16" s="701" t="inlineStr">
        <is>
          <t>FY25 
Support US
Sonderbudget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</row>
    <row r="17" ht="13" customHeight="1">
      <c r="B17" t="inlineStr">
        <is>
          <t>Helbing, Björn</t>
        </is>
      </c>
      <c r="C17" t="inlineStr">
        <is>
          <t>Cost rate 130,00 (PCT)</t>
        </is>
      </c>
      <c r="Q17" s="1142" t="n">
        <v>10400</v>
      </c>
      <c r="R17" s="1142" t="n">
        <v>8840</v>
      </c>
      <c r="S17" s="1143" t="n">
        <v>10400</v>
      </c>
      <c r="T17" s="1143" t="n">
        <v>10400</v>
      </c>
      <c r="U17" s="1143" t="n">
        <v>10400</v>
      </c>
      <c r="V17" s="1143" t="n">
        <v>8060</v>
      </c>
      <c r="W17" s="895">
        <f>SUM(Q17:V17)</f>
        <v/>
      </c>
      <c r="X17" s="895" t="n"/>
      <c r="Y17" s="895" t="n"/>
    </row>
    <row r="18">
      <c r="C18" t="inlineStr">
        <is>
          <t>Sell rate 148,00 charging</t>
        </is>
      </c>
      <c r="Q18" s="891" t="n">
        <v>11840</v>
      </c>
      <c r="R18" s="891" t="n">
        <v>10064</v>
      </c>
      <c r="S18" s="895" t="n">
        <v>11840</v>
      </c>
      <c r="T18" s="895" t="n">
        <v>11840</v>
      </c>
      <c r="U18" s="895" t="n">
        <v>11840</v>
      </c>
      <c r="V18" s="895" t="n">
        <v>9176</v>
      </c>
      <c r="W18" s="895">
        <f>SUM(Q18:V18)</f>
        <v/>
      </c>
      <c r="X18" s="895" t="n"/>
      <c r="Y18" s="895" t="n"/>
    </row>
    <row r="19">
      <c r="C19" s="773" t="n">
        <v>0.14</v>
      </c>
      <c r="Q19" s="895" t="n"/>
      <c r="R19" s="895" t="n"/>
      <c r="S19" s="895" t="n"/>
      <c r="T19" s="895" t="n"/>
      <c r="U19" s="895" t="n"/>
      <c r="V19" s="895" t="n"/>
      <c r="W19" s="895">
        <f>SUM(Q19:V19)</f>
        <v/>
      </c>
      <c r="X19" s="895" t="n"/>
      <c r="Y19" s="895" t="n"/>
    </row>
    <row r="20" ht="13" customHeight="1">
      <c r="B20" t="inlineStr">
        <is>
          <t>Swoboda, Claudia</t>
        </is>
      </c>
      <c r="C20" t="inlineStr">
        <is>
          <t>Cost rate 100,00 (PCT)</t>
        </is>
      </c>
      <c r="Q20" s="1142" t="n">
        <v>10000</v>
      </c>
      <c r="R20" s="1142" t="n">
        <v>8000</v>
      </c>
      <c r="S20" s="1143" t="n">
        <v>10000</v>
      </c>
      <c r="T20" s="1143" t="n">
        <v>10000</v>
      </c>
      <c r="U20" s="1143" t="n">
        <v>10000</v>
      </c>
      <c r="V20" s="1143" t="n">
        <v>8400</v>
      </c>
      <c r="W20" s="895">
        <f>SUM(Q20:V20)</f>
        <v/>
      </c>
      <c r="X20" s="895" t="n"/>
      <c r="Y20" s="895" t="n"/>
    </row>
    <row r="21">
      <c r="C21" t="inlineStr">
        <is>
          <t>Sell rate 114,00 charging</t>
        </is>
      </c>
      <c r="Q21" s="891" t="n">
        <v>11400</v>
      </c>
      <c r="R21" s="891" t="n">
        <v>9120</v>
      </c>
      <c r="S21" s="895" t="n">
        <v>11400</v>
      </c>
      <c r="T21" s="895" t="n">
        <v>11400</v>
      </c>
      <c r="U21" s="895" t="n">
        <v>11400</v>
      </c>
      <c r="V21" s="1144" t="n">
        <v>9576</v>
      </c>
      <c r="W21" s="895">
        <f>SUM(Q21:V21)</f>
        <v/>
      </c>
      <c r="X21" s="895" t="n"/>
      <c r="Y21" s="895" t="n"/>
    </row>
    <row r="22">
      <c r="C22" s="773" t="n">
        <v>0.14</v>
      </c>
      <c r="Q22" s="891" t="n"/>
      <c r="R22" s="891" t="n"/>
      <c r="S22" s="895" t="n"/>
      <c r="T22" s="895" t="n"/>
      <c r="U22" s="895" t="n"/>
      <c r="V22" s="895" t="n"/>
      <c r="W22" s="895" t="n"/>
      <c r="X22" s="895" t="n"/>
      <c r="Y22" s="895" t="n"/>
    </row>
    <row r="23" ht="13" customHeight="1">
      <c r="B23" s="757" t="n"/>
      <c r="C23" s="757" t="inlineStr">
        <is>
          <t>Total cost rate</t>
        </is>
      </c>
      <c r="D23" s="757" t="n"/>
      <c r="E23" s="757" t="n"/>
      <c r="F23" s="757" t="n"/>
      <c r="G23" s="757" t="n"/>
      <c r="H23" s="757" t="n"/>
      <c r="I23" s="757" t="n"/>
      <c r="J23" s="757" t="n"/>
      <c r="K23" s="757" t="n"/>
      <c r="L23" s="757" t="n"/>
      <c r="M23" s="757" t="n"/>
      <c r="N23" s="757" t="n"/>
      <c r="O23" s="757" t="n"/>
      <c r="P23" s="757" t="n"/>
      <c r="Q23" s="1145">
        <f>Q20+Q17</f>
        <v/>
      </c>
      <c r="R23" s="1145">
        <f>R20+R17</f>
        <v/>
      </c>
      <c r="S23" s="1145">
        <f>S20+S17</f>
        <v/>
      </c>
      <c r="T23" s="1145">
        <f>T20+T17</f>
        <v/>
      </c>
      <c r="U23" s="1145">
        <f>U20+U17</f>
        <v/>
      </c>
      <c r="V23" s="1145">
        <f>V20+V17</f>
        <v/>
      </c>
      <c r="W23" s="1146">
        <f>SUM(Q23:V23)</f>
        <v/>
      </c>
      <c r="X23" s="1147" t="n">
        <v>118450</v>
      </c>
      <c r="Y23" s="895" t="n"/>
    </row>
    <row r="24" ht="13" customHeight="1">
      <c r="B24" s="64" t="inlineStr">
        <is>
          <t>Total US</t>
        </is>
      </c>
      <c r="C24" s="1138" t="inlineStr">
        <is>
          <t>Charging</t>
        </is>
      </c>
      <c r="D24" s="1138" t="n"/>
      <c r="E24" s="1138" t="n"/>
      <c r="F24" s="1138" t="n"/>
      <c r="G24" s="1138" t="n"/>
      <c r="H24" s="1138" t="n"/>
      <c r="I24" s="1138" t="n"/>
      <c r="J24" s="1138" t="n"/>
      <c r="K24" s="1138" t="n"/>
      <c r="L24" s="1138" t="n"/>
      <c r="M24" s="1138" t="n"/>
      <c r="N24" s="1138" t="n"/>
      <c r="O24" s="1138" t="n"/>
      <c r="P24" s="1138" t="n"/>
      <c r="Q24" s="1138">
        <f>Q21+Q18</f>
        <v/>
      </c>
      <c r="R24" s="1138">
        <f>R21+R18</f>
        <v/>
      </c>
      <c r="S24" s="1138">
        <f>S21+S18</f>
        <v/>
      </c>
      <c r="T24" s="1138">
        <f>T21+T18</f>
        <v/>
      </c>
      <c r="U24" s="1138">
        <f>U21+U18</f>
        <v/>
      </c>
      <c r="V24" s="1138">
        <f>V21+V18</f>
        <v/>
      </c>
      <c r="W24" s="1148">
        <f>SUM(Q24:V24)</f>
        <v/>
      </c>
      <c r="X24" s="1139" t="n">
        <v>124373</v>
      </c>
      <c r="Y24" s="895">
        <f>X24/6</f>
        <v/>
      </c>
      <c r="Z24" s="367" t="n"/>
    </row>
    <row r="25">
      <c r="W25" s="5" t="inlineStr">
        <is>
          <t>Andrea fragen, wie sie verrechnet (cost rate +5%?)</t>
        </is>
      </c>
    </row>
    <row r="28" ht="39" customHeight="1">
      <c r="B28" s="701" t="inlineStr">
        <is>
          <t>FY25 
Support China
Sonderbudget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</row>
    <row r="29" ht="13" customHeight="1">
      <c r="B29" t="inlineStr">
        <is>
          <t>Helbing, Björn</t>
        </is>
      </c>
      <c r="C29" t="inlineStr">
        <is>
          <t>Cost rate, 130,00 (PCT)</t>
        </is>
      </c>
      <c r="Q29" s="754" t="n">
        <v>2600</v>
      </c>
      <c r="R29" s="754" t="n">
        <v>2600</v>
      </c>
      <c r="S29" s="120" t="n">
        <v>2600</v>
      </c>
      <c r="T29" s="120" t="n">
        <v>2600</v>
      </c>
      <c r="U29" s="120" t="n">
        <v>2600</v>
      </c>
      <c r="V29" s="120" t="n">
        <v>2600</v>
      </c>
    </row>
    <row r="30">
      <c r="C30" t="inlineStr">
        <is>
          <t>Sell rate 148,00 charging</t>
        </is>
      </c>
      <c r="Q30" s="753" t="n">
        <v>2960</v>
      </c>
      <c r="R30" s="753" t="n">
        <v>2960</v>
      </c>
      <c r="S30" t="n">
        <v>2960</v>
      </c>
      <c r="T30" t="n">
        <v>2960</v>
      </c>
      <c r="U30" t="n">
        <v>2960</v>
      </c>
      <c r="V30" t="n">
        <v>2960</v>
      </c>
    </row>
    <row r="31">
      <c r="Q31" s="753" t="n"/>
    </row>
    <row r="32" ht="13" customHeight="1">
      <c r="B32" s="757" t="n"/>
      <c r="C32" s="757" t="inlineStr">
        <is>
          <t>Total cost rate</t>
        </is>
      </c>
      <c r="D32" s="757" t="n"/>
      <c r="E32" s="757" t="n"/>
      <c r="F32" s="757" t="n"/>
      <c r="G32" s="757" t="n"/>
      <c r="H32" s="757" t="n"/>
      <c r="I32" s="757" t="n"/>
      <c r="J32" s="757" t="n"/>
      <c r="K32" s="757" t="n"/>
      <c r="L32" s="757" t="n"/>
      <c r="M32" s="757" t="n"/>
      <c r="N32" s="757" t="n"/>
      <c r="O32" s="757" t="n"/>
      <c r="P32" s="757" t="n"/>
      <c r="Q32" s="1145">
        <f>Q29</f>
        <v/>
      </c>
      <c r="R32" s="1145">
        <f>R29</f>
        <v/>
      </c>
      <c r="S32" s="1145">
        <f>S29</f>
        <v/>
      </c>
      <c r="T32" s="1145">
        <f>T29</f>
        <v/>
      </c>
      <c r="U32" s="1145">
        <f>U29</f>
        <v/>
      </c>
      <c r="V32" s="1145">
        <f>V29</f>
        <v/>
      </c>
      <c r="W32" s="1146">
        <f>SUM(Q32:V32)</f>
        <v/>
      </c>
      <c r="X32" s="1149" t="n">
        <v>15938</v>
      </c>
    </row>
    <row r="33" ht="13" customHeight="1">
      <c r="B33" s="64" t="inlineStr">
        <is>
          <t>Total CN</t>
        </is>
      </c>
      <c r="C33" s="1138" t="inlineStr">
        <is>
          <t>Charging</t>
        </is>
      </c>
      <c r="D33" s="1138" t="n"/>
      <c r="E33" s="1138" t="n"/>
      <c r="F33" s="1138" t="n"/>
      <c r="G33" s="1138" t="n"/>
      <c r="H33" s="1138" t="n"/>
      <c r="I33" s="1138" t="n"/>
      <c r="J33" s="1138" t="n"/>
      <c r="K33" s="1138" t="n"/>
      <c r="L33" s="1138" t="n"/>
      <c r="M33" s="1138" t="n"/>
      <c r="N33" s="1138" t="n"/>
      <c r="O33" s="1138" t="n"/>
      <c r="P33" s="1138" t="n"/>
      <c r="Q33" s="1138">
        <f>Q30</f>
        <v/>
      </c>
      <c r="R33" s="1138">
        <f>R30</f>
        <v/>
      </c>
      <c r="S33" s="1138">
        <f>S30</f>
        <v/>
      </c>
      <c r="T33" s="1138">
        <f>T30</f>
        <v/>
      </c>
      <c r="U33" s="1138">
        <f>U30</f>
        <v/>
      </c>
      <c r="V33" s="1138">
        <f>V30</f>
        <v/>
      </c>
      <c r="W33" s="1139">
        <f>SUM(Q33:V33)</f>
        <v/>
      </c>
      <c r="X33" s="1139" t="n">
        <v>16735</v>
      </c>
      <c r="Y33" s="906">
        <f>X33/6</f>
        <v/>
      </c>
      <c r="Z33" s="367" t="n"/>
    </row>
    <row r="34" ht="13" customHeight="1">
      <c r="B34" s="760" t="inlineStr">
        <is>
          <t>TOTAL Cost</t>
        </is>
      </c>
      <c r="C34" s="761" t="n"/>
      <c r="D34" s="1150">
        <f>SUM(D12+D23+D32)</f>
        <v/>
      </c>
      <c r="E34" s="1150">
        <f>SUM(E12+E23+E32)</f>
        <v/>
      </c>
      <c r="F34" s="1150">
        <f>SUM(F12+F23+F32)</f>
        <v/>
      </c>
      <c r="G34" s="1150">
        <f>SUM(G12+G23+G32)</f>
        <v/>
      </c>
      <c r="H34" s="1150">
        <f>SUM(H12+H23+H32)</f>
        <v/>
      </c>
      <c r="I34" s="1150">
        <f>SUM(I12+I23+I32)</f>
        <v/>
      </c>
      <c r="J34" s="1150">
        <f>SUM(J12+J23+J32)</f>
        <v/>
      </c>
      <c r="K34" s="1150">
        <f>SUM(K12+K23+K32)</f>
        <v/>
      </c>
      <c r="L34" s="1150">
        <f>SUM(L12+L23+L32)</f>
        <v/>
      </c>
      <c r="M34" s="1150">
        <f>SUM(M12+M23+M32)</f>
        <v/>
      </c>
      <c r="N34" s="1150">
        <f>SUM(N12+N23+N32)</f>
        <v/>
      </c>
      <c r="O34" s="1150">
        <f>SUM(O12+O23+O32)</f>
        <v/>
      </c>
      <c r="P34" s="1150">
        <f>SUM(P12+P23+P32)</f>
        <v/>
      </c>
      <c r="Q34" s="1150">
        <f>SUM(Q12+Q23+Q32)</f>
        <v/>
      </c>
      <c r="R34" s="1150">
        <f>SUM(R12+R23+R32)</f>
        <v/>
      </c>
      <c r="S34" s="1150">
        <f>SUM(S12+S23+S32)</f>
        <v/>
      </c>
      <c r="T34" s="1150">
        <f>SUM(T12+T23+T32)</f>
        <v/>
      </c>
      <c r="U34" s="1150">
        <f>SUM(U12+U23+U32)</f>
        <v/>
      </c>
      <c r="V34" s="1150">
        <f>SUM(V12+V23+V32)</f>
        <v/>
      </c>
      <c r="W34" s="1150">
        <f>SUM(W12+W23+W32)</f>
        <v/>
      </c>
      <c r="X34" s="761" t="n"/>
    </row>
    <row r="35">
      <c r="B35" s="761" t="inlineStr">
        <is>
          <t>TOTAL Sell</t>
        </is>
      </c>
      <c r="C35" s="761" t="n"/>
      <c r="D35" s="1150">
        <f>SUM(D12+D24+D33)</f>
        <v/>
      </c>
      <c r="E35" s="1150">
        <f>SUM(E12+E24+E33)</f>
        <v/>
      </c>
      <c r="F35" s="1150">
        <f>SUM(F12+F24+F33)</f>
        <v/>
      </c>
      <c r="G35" s="1150">
        <f>SUM(G12+G24+G33)</f>
        <v/>
      </c>
      <c r="H35" s="1150">
        <f>SUM(H12+H24+H33)</f>
        <v/>
      </c>
      <c r="I35" s="1150">
        <f>SUM(I12+I24+I33)</f>
        <v/>
      </c>
      <c r="J35" s="1150">
        <f>SUM(J12+J24+J33)</f>
        <v/>
      </c>
      <c r="K35" s="1150">
        <f>SUM(K12+K24+K33)</f>
        <v/>
      </c>
      <c r="L35" s="1150">
        <f>SUM(L12+L24+L33)</f>
        <v/>
      </c>
      <c r="M35" s="1150">
        <f>SUM(M12+M24+M33)</f>
        <v/>
      </c>
      <c r="N35" s="1150">
        <f>SUM(N12+N24+N33)</f>
        <v/>
      </c>
      <c r="O35" s="1150">
        <f>SUM(O12+O24+O33)</f>
        <v/>
      </c>
      <c r="P35" s="1150">
        <f>SUM(P12+P24+P33)</f>
        <v/>
      </c>
      <c r="Q35" s="1150">
        <f>SUM(Q12+Q24+Q33)</f>
        <v/>
      </c>
      <c r="R35" s="1150">
        <f>SUM(R12+R24+R33)</f>
        <v/>
      </c>
      <c r="S35" s="1150">
        <f>SUM(S12+S24+S33)</f>
        <v/>
      </c>
      <c r="T35" s="1150">
        <f>SUM(T12+T24+T33)</f>
        <v/>
      </c>
      <c r="U35" s="1150">
        <f>SUM(U12+U24+U33)</f>
        <v/>
      </c>
      <c r="V35" s="1150">
        <f>SUM(V12+V24+V33)</f>
        <v/>
      </c>
      <c r="W35" s="1150">
        <f>SUM(W12+W24+W33)</f>
        <v/>
      </c>
      <c r="X35" s="761" t="n"/>
    </row>
    <row r="38" ht="13" customHeight="1">
      <c r="B38" s="728" t="inlineStr">
        <is>
          <t>Operations - total costs for PowerBI reporting</t>
        </is>
      </c>
      <c r="C38" s="730" t="n"/>
      <c r="D38" s="730" t="n"/>
      <c r="E38" s="730" t="n"/>
      <c r="F38" s="730" t="n"/>
      <c r="G38" s="730" t="n"/>
      <c r="H38" s="730" t="n"/>
      <c r="I38" s="730" t="n"/>
      <c r="J38" s="730" t="n"/>
      <c r="K38" s="730" t="n"/>
      <c r="L38" s="730" t="n"/>
      <c r="M38" s="730" t="n"/>
      <c r="N38" s="730" t="n"/>
      <c r="O38" s="730" t="n"/>
      <c r="P38" s="730" t="n"/>
      <c r="Q38" s="730">
        <f>SUM(Q17+Q20+Q29)</f>
        <v/>
      </c>
      <c r="R38" s="730" t="n"/>
      <c r="S38" s="730" t="n"/>
      <c r="T38" s="730" t="n"/>
      <c r="U38" s="730" t="n"/>
      <c r="V38" s="730" t="n"/>
      <c r="W38" s="730" t="n"/>
      <c r="X38" s="730" t="n"/>
    </row>
    <row r="40">
      <c r="B40" t="inlineStr">
        <is>
          <t>DPS Reporting - ACT Cost month</t>
        </is>
      </c>
      <c r="Q40" t="n">
        <v>23000</v>
      </c>
    </row>
    <row r="41">
      <c r="B41" t="inlineStr">
        <is>
          <t>DPS Reporting - ACT Cost YTD</t>
        </is>
      </c>
      <c r="Q41" t="n">
        <v>23000</v>
      </c>
    </row>
  </sheetData>
  <pageMargins left="0.7" right="0.7" top="0.787401575" bottom="0.7874015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3" tint="-0.249977111117893"/>
    <outlinePr summaryBelow="1" summaryRight="1"/>
    <pageSetUpPr/>
  </sheetPr>
  <dimension ref="A1:P33"/>
  <sheetViews>
    <sheetView workbookViewId="0">
      <pane xSplit="1" topLeftCell="B1" activePane="topRight" state="frozen"/>
      <selection pane="topRight" activeCell="L40" sqref="L40"/>
    </sheetView>
  </sheetViews>
  <sheetFormatPr baseColWidth="8" defaultColWidth="11.453125" defaultRowHeight="12.5"/>
  <cols>
    <col width="38.36328125" customWidth="1" min="1" max="1"/>
    <col width="16.36328125" customWidth="1" min="2" max="2"/>
    <col width="13.36328125" customWidth="1" min="3" max="3"/>
    <col width="13.08984375" customWidth="1" min="4" max="4"/>
    <col width="11.36328125" bestFit="1" customWidth="1" min="5" max="5"/>
    <col width="22.6328125" customWidth="1" min="7" max="7"/>
    <col width="13" customWidth="1" min="8" max="8"/>
    <col width="16.54296875" customWidth="1" min="9" max="9"/>
    <col width="13.36328125" customWidth="1" min="10" max="10"/>
  </cols>
  <sheetData>
    <row r="1" customFormat="1" s="186">
      <c r="B1" s="197" t="n"/>
      <c r="C1" s="197" t="n"/>
      <c r="D1" s="197" t="n"/>
      <c r="E1" s="197" t="n"/>
      <c r="F1" s="197" t="n"/>
      <c r="G1" s="198" t="n"/>
      <c r="H1" s="198" t="n"/>
      <c r="I1" s="198" t="n"/>
      <c r="J1" s="198" t="n"/>
      <c r="K1" s="198" t="n"/>
      <c r="L1" s="198" t="n"/>
      <c r="M1" s="198" t="n"/>
      <c r="N1" s="198" t="n"/>
      <c r="O1" s="198" t="n"/>
      <c r="P1" s="198" t="n"/>
    </row>
    <row r="2" ht="13" customHeight="1" thickBot="1">
      <c r="A2" s="224" t="n"/>
    </row>
    <row r="3" ht="13.5" customHeight="1" thickBot="1">
      <c r="A3" s="225" t="n"/>
      <c r="B3" s="225" t="inlineStr">
        <is>
          <t>Current</t>
        </is>
      </c>
      <c r="C3" s="280" t="n"/>
      <c r="D3" s="281" t="n">
        <v>0.08500000000000001</v>
      </c>
      <c r="G3" s="1" t="inlineStr">
        <is>
          <t>Update 02/2025</t>
        </is>
      </c>
    </row>
    <row r="4" ht="39" customHeight="1">
      <c r="A4" s="226" t="inlineStr">
        <is>
          <t>Services (Operation) für Umlage:</t>
        </is>
      </c>
      <c r="B4" s="226" t="inlineStr">
        <is>
          <t>Services (Operation) für Umlage:</t>
        </is>
      </c>
      <c r="C4" s="282" t="inlineStr">
        <is>
          <t>Revenue
FC24</t>
        </is>
      </c>
      <c r="D4" s="227" t="inlineStr">
        <is>
          <t>Total DPS allocations</t>
        </is>
      </c>
      <c r="E4" s="289" t="inlineStr">
        <is>
          <t>Monatlich</t>
        </is>
      </c>
      <c r="G4" s="226" t="inlineStr">
        <is>
          <t>Services (Operation) für Umlage:</t>
        </is>
      </c>
      <c r="H4" s="282" t="inlineStr">
        <is>
          <t>Revenue
FC24</t>
        </is>
      </c>
      <c r="I4" s="227" t="inlineStr">
        <is>
          <t>Total DPS allocations</t>
        </is>
      </c>
      <c r="J4" s="289" t="inlineStr">
        <is>
          <t>Monatlich</t>
        </is>
      </c>
    </row>
    <row r="5" ht="13" customHeight="1">
      <c r="A5" s="224" t="inlineStr">
        <is>
          <t>TMS, OP</t>
        </is>
      </c>
      <c r="B5" s="283" t="inlineStr">
        <is>
          <t>TMS, OP</t>
        </is>
      </c>
      <c r="C5" s="1151" t="n">
        <v>1431552</v>
      </c>
      <c r="D5" s="1152" t="n">
        <v>111452.9087038507</v>
      </c>
      <c r="E5" s="1153">
        <f>D5/12</f>
        <v/>
      </c>
      <c r="F5" s="228" t="n"/>
      <c r="G5" s="283" t="inlineStr">
        <is>
          <t>TMS, OP</t>
        </is>
      </c>
      <c r="H5" s="1151" t="n">
        <v>1431552</v>
      </c>
      <c r="I5" s="1152" t="n">
        <v>111452.9087038507</v>
      </c>
      <c r="J5" s="1153">
        <f>I5/12</f>
        <v/>
      </c>
    </row>
    <row r="6" ht="13" customHeight="1">
      <c r="A6" s="224" t="inlineStr">
        <is>
          <t>TMS Project, Projekt</t>
        </is>
      </c>
      <c r="B6" s="286" t="inlineStr">
        <is>
          <t>TMS Project, Projekt</t>
        </is>
      </c>
      <c r="C6" s="1154" t="n">
        <v>2309175</v>
      </c>
      <c r="D6" s="1155" t="n">
        <v>179779.8965432024</v>
      </c>
      <c r="E6" s="1153">
        <f>D6/12</f>
        <v/>
      </c>
      <c r="G6" s="286" t="inlineStr">
        <is>
          <t>TMS Project, Projekt</t>
        </is>
      </c>
      <c r="H6" s="1154" t="n">
        <v>2309175</v>
      </c>
      <c r="I6" s="1155" t="n">
        <v>179779.8965432024</v>
      </c>
      <c r="J6" s="1153">
        <f>I6/12</f>
        <v/>
      </c>
    </row>
    <row r="7">
      <c r="A7" s="89" t="n"/>
    </row>
    <row r="9">
      <c r="A9" t="inlineStr">
        <is>
          <t>Aufteilung auf Projekte</t>
        </is>
      </c>
      <c r="B9" t="inlineStr">
        <is>
          <t>Aufteilung auf Projekte</t>
        </is>
      </c>
      <c r="G9" t="inlineStr">
        <is>
          <t>Aufteilung auf Projekte</t>
        </is>
      </c>
    </row>
    <row r="10">
      <c r="A10" t="inlineStr">
        <is>
          <t>Eightfold Crew  (75%)</t>
        </is>
      </c>
      <c r="B10" t="inlineStr">
        <is>
          <t>Eightfold Crew  (75%)</t>
        </is>
      </c>
      <c r="D10" s="1153">
        <f>D6*0.75</f>
        <v/>
      </c>
      <c r="E10" s="1153">
        <f>D10/12</f>
        <v/>
      </c>
      <c r="G10" t="inlineStr">
        <is>
          <t>Eightfold Crew  (75%)</t>
        </is>
      </c>
      <c r="I10" s="1153" t="n"/>
      <c r="J10" s="1153" t="n"/>
    </row>
    <row r="11">
      <c r="A11" t="inlineStr">
        <is>
          <t>Avature Crew  (25%)</t>
        </is>
      </c>
      <c r="B11" t="inlineStr">
        <is>
          <t>Avature Crew  (25%)</t>
        </is>
      </c>
      <c r="D11" s="1153">
        <f>D6*0.25</f>
        <v/>
      </c>
      <c r="E11" s="1153">
        <f>D11/12</f>
        <v/>
      </c>
      <c r="G11" t="inlineStr">
        <is>
          <t>Avature Crew  (25%)</t>
        </is>
      </c>
      <c r="I11" s="1153" t="n"/>
      <c r="J11" s="1153" t="n"/>
    </row>
    <row r="12">
      <c r="A12" s="89" t="n"/>
    </row>
    <row r="13">
      <c r="A13" s="89" t="n"/>
    </row>
    <row r="14">
      <c r="A14" s="89" t="n"/>
    </row>
    <row r="15">
      <c r="A15" s="89" t="n"/>
    </row>
    <row r="17" ht="15" customHeight="1">
      <c r="A17" s="208" t="n"/>
      <c r="B17" s="229" t="n"/>
      <c r="C17" s="229" t="n"/>
      <c r="D17" s="229" t="n"/>
      <c r="E17" s="229" t="n"/>
      <c r="G17" s="208" t="n"/>
      <c r="H17" s="229" t="n"/>
      <c r="I17" s="229" t="n"/>
      <c r="J17" s="229" t="n"/>
      <c r="K17" s="229" t="n"/>
    </row>
    <row r="18" ht="15" customHeight="1">
      <c r="A18" s="89" t="n"/>
      <c r="B18" s="207" t="n"/>
      <c r="C18" s="207" t="n"/>
      <c r="D18" s="207" t="n"/>
      <c r="E18" s="89" t="n"/>
      <c r="G18" s="89" t="n"/>
      <c r="H18" s="207" t="n"/>
      <c r="I18" s="207" t="n"/>
      <c r="J18" s="207" t="n"/>
      <c r="K18" s="89" t="n"/>
    </row>
    <row r="19" ht="15" customHeight="1">
      <c r="A19" s="89" t="n"/>
      <c r="B19" s="207" t="n"/>
      <c r="C19" s="207" t="n"/>
      <c r="D19" s="207" t="n"/>
      <c r="E19" s="89" t="n"/>
      <c r="G19" s="89" t="n"/>
      <c r="H19" s="207" t="n"/>
      <c r="I19" s="207" t="n"/>
      <c r="J19" s="207" t="n"/>
      <c r="K19" s="89" t="n"/>
    </row>
    <row r="21" ht="15" customHeight="1">
      <c r="A21" s="208" t="n"/>
      <c r="B21" s="229" t="n"/>
      <c r="C21" s="229" t="n"/>
      <c r="D21" s="229" t="n"/>
      <c r="E21" s="208" t="n"/>
      <c r="G21" s="208" t="n"/>
      <c r="H21" s="229" t="n"/>
      <c r="I21" s="229" t="n"/>
      <c r="J21" s="229" t="n"/>
      <c r="K21" s="208" t="n"/>
    </row>
    <row r="22" ht="15" customHeight="1">
      <c r="B22" s="30" t="n"/>
      <c r="C22" s="30" t="n"/>
    </row>
    <row r="23" ht="15" customHeight="1"/>
    <row r="24" ht="15" customHeight="1">
      <c r="A24" t="inlineStr">
        <is>
          <t>Employee Services</t>
        </is>
      </c>
      <c r="B24" s="244" t="n"/>
      <c r="C24" s="244" t="n"/>
      <c r="D24" s="244" t="n"/>
      <c r="E24" s="244" t="n"/>
      <c r="F24" s="244" t="n"/>
    </row>
    <row r="25" ht="45" customHeight="1">
      <c r="B25" s="230" t="n"/>
      <c r="C25" s="230" t="n"/>
      <c r="D25" s="230" t="n"/>
      <c r="E25" s="89" t="n"/>
      <c r="G25" s="89" t="n"/>
      <c r="H25" s="230" t="n"/>
      <c r="I25" s="230" t="n"/>
      <c r="J25" s="230" t="n"/>
      <c r="K25" s="89" t="n"/>
    </row>
    <row r="26" ht="33" customHeight="1">
      <c r="B26" s="230" t="n"/>
      <c r="C26" s="207" t="n"/>
      <c r="D26" s="207" t="n"/>
      <c r="E26" s="89" t="n"/>
      <c r="G26" s="89" t="n"/>
      <c r="H26" s="230" t="n"/>
      <c r="I26" s="207" t="n"/>
      <c r="J26" s="207" t="n"/>
      <c r="K26" s="89" t="n"/>
    </row>
    <row r="27" ht="26.4" customHeight="1">
      <c r="B27" s="230" t="n"/>
      <c r="C27" s="230" t="n"/>
      <c r="D27" s="207" t="n"/>
      <c r="E27" s="89" t="n"/>
      <c r="G27" s="89" t="n"/>
      <c r="H27" s="207" t="n"/>
      <c r="I27" s="230" t="n"/>
      <c r="J27" s="207" t="n"/>
      <c r="K27" s="89" t="n"/>
    </row>
    <row r="28" ht="15" customHeight="1">
      <c r="A28" s="1" t="n"/>
      <c r="B28" s="229" t="n"/>
      <c r="C28" s="229" t="n"/>
      <c r="D28" s="229" t="n"/>
      <c r="E28" s="208" t="n"/>
      <c r="G28" s="208" t="n"/>
      <c r="H28" s="229" t="n"/>
      <c r="I28" s="229" t="n"/>
      <c r="J28" s="229" t="n"/>
      <c r="K28" s="208" t="n"/>
    </row>
    <row r="29">
      <c r="B29" s="30" t="n"/>
      <c r="C29" s="30" t="n"/>
    </row>
    <row r="30">
      <c r="B30" s="197" t="n"/>
      <c r="C30" s="197" t="n"/>
      <c r="D30" s="197" t="n"/>
      <c r="E30" s="198" t="n"/>
      <c r="F30" s="198" t="n"/>
      <c r="G30" s="198" t="n"/>
      <c r="H30" s="197" t="n"/>
      <c r="I30" s="197" t="n"/>
      <c r="J30" s="197" t="n"/>
      <c r="K30" s="198" t="n"/>
      <c r="L30" s="198" t="n"/>
      <c r="M30" s="198" t="n"/>
      <c r="N30" s="198" t="n"/>
    </row>
    <row r="31" ht="13" customHeight="1">
      <c r="A31" s="188" t="n"/>
    </row>
    <row r="32" ht="13" customHeight="1">
      <c r="A32" s="188" t="n"/>
    </row>
    <row r="33" ht="13" customHeight="1">
      <c r="A33" s="188" t="n"/>
    </row>
  </sheetData>
  <pageMargins left="0.7" right="0.7" top="0.787401575" bottom="0.787401575" header="0.3" footer="0.3"/>
  <pageSetup orientation="portrait"/>
</worksheet>
</file>

<file path=xl/worksheets/sheet12.xml><?xml version="1.0" encoding="utf-8"?>
<worksheet xmlns="http://schemas.openxmlformats.org/spreadsheetml/2006/main">
  <sheetPr filterMode="1">
    <tabColor theme="4"/>
    <outlinePr summaryBelow="1" summaryRight="1"/>
    <pageSetUpPr/>
  </sheetPr>
  <dimension ref="A1:L35"/>
  <sheetViews>
    <sheetView workbookViewId="0">
      <selection activeCell="C18" sqref="C18"/>
    </sheetView>
  </sheetViews>
  <sheetFormatPr baseColWidth="8" defaultColWidth="10.90625" defaultRowHeight="14.25" customHeight="1"/>
  <cols>
    <col width="3" bestFit="1" customWidth="1" min="1" max="1"/>
    <col width="44.6328125" customWidth="1" min="2" max="2"/>
    <col width="19.453125" customWidth="1" min="3" max="3"/>
    <col width="13" customWidth="1" min="4" max="4"/>
    <col width="9.453125" customWidth="1" min="6" max="6"/>
    <col width="10.453125" customWidth="1" min="7" max="7"/>
    <col width="15.453125" bestFit="1" customWidth="1" min="8" max="8"/>
    <col width="74.36328125" customWidth="1" min="9" max="9"/>
    <col width="21.36328125" bestFit="1" customWidth="1" min="10" max="10"/>
    <col width="18.453125" bestFit="1" customWidth="1" min="11" max="11"/>
  </cols>
  <sheetData>
    <row r="1" ht="14.25" customHeight="1">
      <c r="A1" s="258" t="inlineStr">
        <is>
          <t>#</t>
        </is>
      </c>
      <c r="B1" s="258" t="inlineStr">
        <is>
          <t>Role</t>
        </is>
      </c>
      <c r="C1" s="258" t="inlineStr">
        <is>
          <t>Location</t>
        </is>
      </c>
      <c r="D1" s="258" t="inlineStr">
        <is>
          <t>TMS Operations</t>
        </is>
      </c>
      <c r="E1" s="258" t="inlineStr">
        <is>
          <t>Yearly working hours</t>
        </is>
      </c>
      <c r="F1" s="258" t="inlineStr">
        <is>
          <t>Weekly working hours</t>
        </is>
      </c>
      <c r="G1" s="258" t="inlineStr">
        <is>
          <t>Cost Rate</t>
        </is>
      </c>
      <c r="H1" s="259" t="inlineStr">
        <is>
          <t>Yearly FLC CZ</t>
        </is>
      </c>
      <c r="I1" s="258" t="inlineStr">
        <is>
          <t>Comment</t>
        </is>
      </c>
      <c r="J1" s="192" t="inlineStr">
        <is>
          <t>DPS Profit Margin (5%)</t>
        </is>
      </c>
      <c r="K1" s="260" t="inlineStr">
        <is>
          <t>Total Service Price</t>
        </is>
      </c>
    </row>
    <row r="2" ht="14.25" customHeight="1">
      <c r="A2" s="261" t="n">
        <v>1</v>
      </c>
      <c r="B2" s="261" t="inlineStr">
        <is>
          <t>IT Support Specialist (AOS)</t>
        </is>
      </c>
      <c r="C2" s="261" t="inlineStr">
        <is>
          <t>CZ - PRG S</t>
        </is>
      </c>
      <c r="D2" s="262" t="n">
        <v>1</v>
      </c>
      <c r="E2" s="263" t="n">
        <v>1680</v>
      </c>
      <c r="F2" s="261" t="n">
        <v>40</v>
      </c>
      <c r="G2" s="1156" t="n">
        <v>43</v>
      </c>
      <c r="H2" s="1157">
        <f>Operations!R2</f>
        <v/>
      </c>
      <c r="I2" s="261" t="inlineStr">
        <is>
          <t>Yearly FLC CZ include all employee costs +7,5% CZ profit margin +7,5% PCI increase</t>
        </is>
      </c>
      <c r="J2" s="1158">
        <f>H2*$C$10</f>
        <v/>
      </c>
      <c r="K2" s="1159">
        <f>J2+H2</f>
        <v/>
      </c>
    </row>
    <row r="3" ht="14.25" customHeight="1">
      <c r="A3" s="261" t="n">
        <v>2</v>
      </c>
      <c r="B3" s="261" t="inlineStr">
        <is>
          <t>IT Support Specialist (AOS)</t>
        </is>
      </c>
      <c r="C3" s="261" t="inlineStr">
        <is>
          <t>CZ - PRG S</t>
        </is>
      </c>
      <c r="D3" s="262" t="n">
        <v>1</v>
      </c>
      <c r="E3" s="263" t="n">
        <v>1680</v>
      </c>
      <c r="F3" s="261" t="n">
        <v>40</v>
      </c>
      <c r="G3" s="1156" t="n">
        <v>43</v>
      </c>
      <c r="H3" s="1157">
        <f>Operations!R3</f>
        <v/>
      </c>
      <c r="I3" s="261" t="inlineStr">
        <is>
          <t>Yearly FLC CZ include all employee costs +7,5% CZ profit margin +7,5% PCI increase</t>
        </is>
      </c>
      <c r="J3" s="1158">
        <f>H3*$C$10</f>
        <v/>
      </c>
      <c r="K3" s="1159">
        <f>J3+H3</f>
        <v/>
      </c>
    </row>
    <row r="4" ht="14.25" customHeight="1">
      <c r="A4" s="261" t="n">
        <v>3</v>
      </c>
      <c r="B4" s="261" t="inlineStr">
        <is>
          <t>IT Support Specialist (AOS)</t>
        </is>
      </c>
      <c r="C4" s="261" t="inlineStr">
        <is>
          <t>CZ - PRG S</t>
        </is>
      </c>
      <c r="D4" s="262" t="n">
        <v>1</v>
      </c>
      <c r="E4" s="263" t="n">
        <v>1680</v>
      </c>
      <c r="F4" s="261" t="n">
        <v>40</v>
      </c>
      <c r="G4" s="1156" t="n">
        <v>43</v>
      </c>
      <c r="H4" s="1157">
        <f>Operations!R4</f>
        <v/>
      </c>
      <c r="I4" s="261" t="inlineStr">
        <is>
          <t>Yearly FLC CZ include all employee costs +7,5% CZ profit margin +7,5% PCI increase</t>
        </is>
      </c>
      <c r="J4" s="1158">
        <f>H4*$C$10</f>
        <v/>
      </c>
      <c r="K4" s="1159">
        <f>J4+H4</f>
        <v/>
      </c>
    </row>
    <row r="5" ht="14.25" customHeight="1">
      <c r="A5" s="261" t="n">
        <v>4</v>
      </c>
      <c r="B5" s="261" t="inlineStr">
        <is>
          <t>IT Support Specialist (1st level)</t>
        </is>
      </c>
      <c r="C5" s="261" t="inlineStr">
        <is>
          <t>CZ - PRG S</t>
        </is>
      </c>
      <c r="D5" s="262" t="n">
        <v>1</v>
      </c>
      <c r="E5" s="263" t="n">
        <v>1680</v>
      </c>
      <c r="F5" s="261" t="n">
        <v>40</v>
      </c>
      <c r="G5" s="1156" t="n">
        <v>41</v>
      </c>
      <c r="H5" s="1157">
        <f>Operations!R5</f>
        <v/>
      </c>
      <c r="I5" s="261" t="inlineStr">
        <is>
          <t>Yearly FLC CZ include all employee costs +7,5% CZ profit margin +7,5% PCI increase</t>
        </is>
      </c>
      <c r="J5" s="1158">
        <f>H5*$C$10</f>
        <v/>
      </c>
      <c r="K5" s="1159">
        <f>J5+H5</f>
        <v/>
      </c>
    </row>
    <row r="6" ht="14.25" customHeight="1">
      <c r="A6" s="261" t="n">
        <v>5</v>
      </c>
      <c r="B6" s="261" t="inlineStr">
        <is>
          <t>IT Support Specialist (1st level)</t>
        </is>
      </c>
      <c r="C6" s="261" t="inlineStr">
        <is>
          <t>CZ - PRG S</t>
        </is>
      </c>
      <c r="D6" s="262" t="n">
        <v>1</v>
      </c>
      <c r="E6" s="263" t="n">
        <v>1680</v>
      </c>
      <c r="F6" s="261" t="n">
        <v>40</v>
      </c>
      <c r="G6" s="1156" t="n">
        <v>41</v>
      </c>
      <c r="H6" s="1157">
        <f>Operations!R6</f>
        <v/>
      </c>
      <c r="I6" s="261" t="inlineStr">
        <is>
          <t>Yearly FLC CZ include all employee costs +7,5% CZ profit margin +7,5% PCI increase</t>
        </is>
      </c>
      <c r="J6" s="1158">
        <f>H6*$C$10</f>
        <v/>
      </c>
      <c r="K6" s="1159">
        <f>J6+H6</f>
        <v/>
      </c>
    </row>
    <row r="7" ht="14.25" customHeight="1">
      <c r="A7" s="266" t="n">
        <v>6</v>
      </c>
      <c r="B7" s="266" t="inlineStr">
        <is>
          <t>IT Support Specialist (1st level)</t>
        </is>
      </c>
      <c r="C7" s="266" t="inlineStr">
        <is>
          <t>CZ - PRG S</t>
        </is>
      </c>
      <c r="D7" s="267" t="n">
        <v>1</v>
      </c>
      <c r="E7" s="268" t="n">
        <v>1680</v>
      </c>
      <c r="F7" s="266" t="n">
        <v>40</v>
      </c>
      <c r="G7" s="1160" t="n">
        <v>41</v>
      </c>
      <c r="H7" s="1161">
        <f>Operations!R8</f>
        <v/>
      </c>
      <c r="I7" s="266" t="inlineStr">
        <is>
          <t>Yearly FLC CZ include all employee costs +7,5% CZ profit margin +7,5% PCI increase</t>
        </is>
      </c>
      <c r="J7" s="1162">
        <f>H7*$C$10</f>
        <v/>
      </c>
      <c r="K7" s="1163">
        <f>J7+H7</f>
        <v/>
      </c>
    </row>
    <row r="8" ht="14.25" customHeight="1">
      <c r="A8" s="192" t="n"/>
      <c r="B8" s="192" t="inlineStr">
        <is>
          <t>Total Costs</t>
        </is>
      </c>
      <c r="C8" s="192" t="n"/>
      <c r="D8" s="192" t="n"/>
      <c r="E8" s="192" t="n"/>
      <c r="F8" s="192" t="n"/>
      <c r="G8" s="192" t="n"/>
      <c r="H8" s="1164">
        <f>SUM(H2:H7)</f>
        <v/>
      </c>
      <c r="I8" s="192" t="n"/>
      <c r="J8" s="1165">
        <f>SUM(J2:J7)</f>
        <v/>
      </c>
      <c r="K8" s="1164">
        <f>SUM(K2:K7)</f>
        <v/>
      </c>
    </row>
    <row r="9" ht="14.25" customHeight="1">
      <c r="A9" s="192" t="n"/>
      <c r="B9" s="192" t="n"/>
      <c r="C9" s="192" t="n"/>
      <c r="D9" s="192" t="n"/>
      <c r="E9" s="192" t="n"/>
      <c r="F9" s="192" t="n"/>
      <c r="G9" s="192" t="n"/>
      <c r="H9" s="192" t="n"/>
      <c r="I9" s="192" t="n"/>
      <c r="J9" s="1165" t="n"/>
    </row>
    <row r="10" ht="14.25" customHeight="1">
      <c r="A10" s="14" t="n"/>
      <c r="B10" s="14" t="inlineStr">
        <is>
          <t>DPS Profit Margin</t>
        </is>
      </c>
      <c r="C10" s="274" t="n">
        <v>0.05</v>
      </c>
      <c r="D10" s="14" t="n"/>
      <c r="E10" s="14" t="n"/>
      <c r="F10" s="14" t="n"/>
      <c r="G10" s="14" t="n"/>
      <c r="H10" s="1165" t="n"/>
      <c r="I10" s="1158" t="n"/>
      <c r="J10" s="14" t="n"/>
      <c r="K10" s="14" t="n"/>
    </row>
    <row r="11" ht="14.25" customHeight="1">
      <c r="A11" s="14" t="n"/>
      <c r="B11" s="236" t="inlineStr">
        <is>
          <t>DE</t>
        </is>
      </c>
      <c r="C11" s="1166">
        <f>K8-H8</f>
        <v/>
      </c>
      <c r="D11" s="14" t="n"/>
      <c r="E11" s="14" t="n"/>
      <c r="F11" s="14" t="n"/>
      <c r="G11" s="14" t="n"/>
      <c r="H11" s="1165" t="n"/>
      <c r="I11" s="14" t="n"/>
      <c r="J11" s="14" t="n"/>
      <c r="K11" s="14" t="n"/>
    </row>
    <row r="12" ht="14.25" customHeight="1">
      <c r="B12" s="236" t="inlineStr">
        <is>
          <t>CZ</t>
        </is>
      </c>
      <c r="C12" s="1166">
        <f>424694-(424694/115*100)</f>
        <v/>
      </c>
    </row>
    <row r="13" ht="14.25" customHeight="1">
      <c r="B13" s="192" t="inlineStr">
        <is>
          <t>total profit margin</t>
        </is>
      </c>
      <c r="C13" s="1167">
        <f>K8-H8</f>
        <v/>
      </c>
    </row>
    <row r="16" ht="14.25" customHeight="1">
      <c r="A16" s="14" t="n"/>
      <c r="B16" s="260" t="inlineStr">
        <is>
          <t>Cost Charging to Customer</t>
        </is>
      </c>
      <c r="C16" s="260" t="inlineStr">
        <is>
          <t>Total Service Price</t>
        </is>
      </c>
      <c r="D16" s="260" t="inlineStr">
        <is>
          <t>%</t>
        </is>
      </c>
      <c r="E16" s="260" t="inlineStr">
        <is>
          <t>Yearly</t>
        </is>
      </c>
      <c r="J16" s="14" t="n"/>
      <c r="K16" s="14" t="n"/>
    </row>
    <row r="17" ht="14.25" customHeight="1">
      <c r="A17" s="14" t="n"/>
      <c r="B17" s="254" t="inlineStr">
        <is>
          <t>GBS H2R US</t>
        </is>
      </c>
      <c r="C17" s="895">
        <f>Operations!R11*1.05</f>
        <v/>
      </c>
      <c r="D17" t="n">
        <v>34.3</v>
      </c>
      <c r="E17" s="14" t="n"/>
      <c r="J17" s="14" t="n"/>
      <c r="K17" s="14" t="n"/>
    </row>
    <row r="18" ht="14.25" customHeight="1">
      <c r="A18" s="14" t="n"/>
      <c r="B18" s="254" t="inlineStr">
        <is>
          <t>GBS H2R CN</t>
        </is>
      </c>
      <c r="C18" s="895">
        <f>Operations!R10*1.05</f>
        <v/>
      </c>
      <c r="D18" t="n">
        <v>4.6</v>
      </c>
      <c r="E18" s="14" t="n"/>
      <c r="J18" s="14" t="n"/>
      <c r="K18" s="1168" t="n"/>
    </row>
    <row r="19" ht="14.25" customHeight="1">
      <c r="A19" s="14" t="n"/>
      <c r="B19" s="254" t="inlineStr">
        <is>
          <t>P&amp;O ECO DIG</t>
        </is>
      </c>
      <c r="C19" s="895">
        <f>-Operations!R12*1.05</f>
        <v/>
      </c>
      <c r="D19" t="n">
        <v>61</v>
      </c>
      <c r="E19" s="1166" t="n"/>
      <c r="J19" s="14" t="n"/>
      <c r="K19" s="1169" t="n"/>
      <c r="L19" s="1169" t="n"/>
    </row>
    <row r="20" ht="14.25" customHeight="1">
      <c r="A20" s="14" t="n"/>
      <c r="B20" s="192" t="inlineStr">
        <is>
          <t>total</t>
        </is>
      </c>
      <c r="C20" s="919">
        <f>SUM(C17:C19)</f>
        <v/>
      </c>
      <c r="E20" s="1166" t="n"/>
      <c r="J20" s="14" t="n"/>
      <c r="K20" s="1169" t="n"/>
      <c r="L20" s="1169" t="n"/>
    </row>
    <row r="21" ht="14.25" customHeight="1">
      <c r="A21" s="14" t="n"/>
      <c r="B21" s="14" t="n"/>
      <c r="C21" s="14" t="n"/>
      <c r="D21" s="14" t="n"/>
      <c r="E21" s="14" t="n"/>
      <c r="F21" s="14" t="n"/>
      <c r="G21" s="14" t="n"/>
      <c r="H21" s="14" t="n"/>
      <c r="I21" s="14" t="n"/>
      <c r="J21" s="14" t="n"/>
      <c r="K21" s="1169" t="n"/>
      <c r="L21" s="1169" t="n"/>
    </row>
    <row r="22" ht="14.25" customHeight="1">
      <c r="A22" s="14" t="n"/>
      <c r="B22" s="14" t="n"/>
      <c r="C22" s="14" t="n"/>
      <c r="D22" s="14" t="n"/>
      <c r="E22" s="14" t="n"/>
      <c r="F22" s="14" t="n"/>
      <c r="G22" s="14" t="n"/>
      <c r="H22" s="14" t="n"/>
      <c r="I22" s="14" t="n"/>
      <c r="J22" s="14" t="n"/>
      <c r="K22" s="14" t="n"/>
    </row>
    <row r="23" ht="14.25" customHeight="1">
      <c r="A23" s="192" t="inlineStr">
        <is>
          <t>#</t>
        </is>
      </c>
      <c r="B23" s="192" t="inlineStr">
        <is>
          <t>Open issues</t>
        </is>
      </c>
      <c r="C23" s="192" t="inlineStr">
        <is>
          <t>Responsible</t>
        </is>
      </c>
      <c r="D23" s="192" t="inlineStr">
        <is>
          <t>Status</t>
        </is>
      </c>
      <c r="E23" s="192" t="inlineStr">
        <is>
          <t>Due Date</t>
        </is>
      </c>
      <c r="F23" s="192" t="inlineStr">
        <is>
          <t>Comment</t>
        </is>
      </c>
    </row>
    <row r="24" ht="14.25" customHeight="1">
      <c r="A24" s="14" t="n">
        <v>1</v>
      </c>
      <c r="B24" s="14" t="inlineStr">
        <is>
          <t>Which tool will be used for external case management?</t>
        </is>
      </c>
      <c r="C24" s="14" t="inlineStr">
        <is>
          <t>Amanda</t>
        </is>
      </c>
      <c r="D24" s="14" t="inlineStr">
        <is>
          <t>in progress</t>
        </is>
      </c>
      <c r="E24" s="14" t="n"/>
      <c r="F24" s="14" t="inlineStr">
        <is>
          <t>18.04.2024: Amanda: oHRSP will stay for external tickets</t>
        </is>
      </c>
    </row>
    <row r="25" ht="13.25" customHeight="1">
      <c r="A25" t="n">
        <v>2</v>
      </c>
      <c r="B25" t="inlineStr">
        <is>
          <t>Does DPS adds DPS profit margin (5%) on top?</t>
        </is>
      </c>
      <c r="C25" t="inlineStr">
        <is>
          <t>Björn</t>
        </is>
      </c>
      <c r="D25" t="inlineStr">
        <is>
          <t>in progress</t>
        </is>
      </c>
      <c r="E25" s="256" t="n">
        <v>45408</v>
      </c>
    </row>
    <row r="26" ht="26.4" customHeight="1">
      <c r="A26" t="n">
        <v>3</v>
      </c>
      <c r="B26" t="inlineStr">
        <is>
          <t>Ticketing tool for CN and AA region</t>
        </is>
      </c>
      <c r="C26" t="inlineStr">
        <is>
          <t>Amanda</t>
        </is>
      </c>
      <c r="D26" t="inlineStr">
        <is>
          <t>in progress</t>
        </is>
      </c>
      <c r="F26" s="247" t="inlineStr">
        <is>
          <t>Siemens GBS China supports ASEAN region
Because Siemens GBS China does not move to People Center they cannot support ASEAN region after migration</t>
        </is>
      </c>
    </row>
    <row r="27" hidden="1" ht="13.25" customHeight="1">
      <c r="A27" t="n">
        <v>4</v>
      </c>
      <c r="B27" s="257" t="inlineStr">
        <is>
          <t>Simona proposed 6. person from CZ to support ASEAN region except China</t>
        </is>
      </c>
      <c r="C27" t="inlineStr">
        <is>
          <t>Björn</t>
        </is>
      </c>
      <c r="D27" t="inlineStr">
        <is>
          <t>done</t>
        </is>
      </c>
      <c r="E27" s="256" t="n">
        <v>45407</v>
      </c>
      <c r="F27" t="inlineStr">
        <is>
          <t>Confirmed to Amir, Erika, that 6. person not needed today; can change in furute due to ReimagineTA, IC-Portal go-live or SHS transition</t>
        </is>
      </c>
    </row>
    <row r="28" hidden="1" ht="13.25" customHeight="1">
      <c r="A28" t="n">
        <v>5</v>
      </c>
      <c r="B28" s="257" t="inlineStr">
        <is>
          <t>Will DE Umlage (7.5%) be added to FLC of CZ colleagues?</t>
        </is>
      </c>
      <c r="C28" t="inlineStr">
        <is>
          <t>Adam</t>
        </is>
      </c>
      <c r="D28" t="inlineStr">
        <is>
          <t>done</t>
        </is>
      </c>
      <c r="E28" s="256" t="n">
        <v>45406</v>
      </c>
      <c r="F28" t="inlineStr">
        <is>
          <t>DE Umlage not added to FLC for CZ; see his email</t>
        </is>
      </c>
    </row>
    <row r="29" hidden="1" ht="13.25" customHeight="1">
      <c r="A29" t="n">
        <v>6</v>
      </c>
      <c r="B29" t="inlineStr">
        <is>
          <t>With whom do we align the hourly rates of support colleagues?</t>
        </is>
      </c>
      <c r="C29" t="inlineStr">
        <is>
          <t>Adam</t>
        </is>
      </c>
      <c r="D29" t="inlineStr">
        <is>
          <t>done</t>
        </is>
      </c>
      <c r="F29" t="inlineStr">
        <is>
          <t>DPS calculates them; inform Erika/Amir</t>
        </is>
      </c>
    </row>
    <row r="30" hidden="1" ht="13.25" customHeight="1">
      <c r="A30" t="n">
        <v>7</v>
      </c>
      <c r="B30" t="inlineStr">
        <is>
          <t>Do we add DPS profit margin (5%) to CZ costs</t>
        </is>
      </c>
      <c r="C30" t="inlineStr">
        <is>
          <t>Adam</t>
        </is>
      </c>
      <c r="D30" t="inlineStr">
        <is>
          <t>done</t>
        </is>
      </c>
      <c r="F30" t="inlineStr">
        <is>
          <t>yes</t>
        </is>
      </c>
    </row>
    <row r="31" ht="14.25" customHeight="1">
      <c r="A31" t="n">
        <v>8</v>
      </c>
      <c r="B31" s="14" t="inlineStr">
        <is>
          <t>Confirmation from GBS H2R US for cost charging in FY25</t>
        </is>
      </c>
      <c r="C31" t="inlineStr">
        <is>
          <t>Scott</t>
        </is>
      </c>
      <c r="D31" t="inlineStr">
        <is>
          <t>open</t>
        </is>
      </c>
    </row>
    <row r="32" ht="14.25" customHeight="1">
      <c r="A32" t="n">
        <v>9</v>
      </c>
      <c r="B32" s="14" t="inlineStr">
        <is>
          <t>Confirmation from GBS H2R CN for cost charging in FY25</t>
        </is>
      </c>
      <c r="C32" t="inlineStr">
        <is>
          <t>Lexi</t>
        </is>
      </c>
      <c r="D32" t="inlineStr">
        <is>
          <t>open</t>
        </is>
      </c>
      <c r="F32" t="inlineStr">
        <is>
          <t>18.4. For commercial part, no service cost increase for customers, keep flat to €24,710 for 2 tier support internal charging (DPS&amp; CZ team).</t>
        </is>
      </c>
    </row>
    <row r="33" ht="14.25" customHeight="1">
      <c r="A33" t="n">
        <v>10</v>
      </c>
      <c r="B33" t="inlineStr">
        <is>
          <t>Access to ServiceNow for GBS H2R CN to deliver 1st level agent service to AA countries which have implemented ServiceNow</t>
        </is>
      </c>
      <c r="C33" t="inlineStr">
        <is>
          <t>Lexi</t>
        </is>
      </c>
      <c r="D33" t="inlineStr">
        <is>
          <t>open</t>
        </is>
      </c>
      <c r="F33" t="inlineStr">
        <is>
          <t>29.4. Lexi will contact Harry to clarify in week May 6th and 10th</t>
        </is>
      </c>
    </row>
    <row r="34" ht="14.25" customHeight="1">
      <c r="A34" t="n">
        <v>11</v>
      </c>
      <c r="B34" t="inlineStr">
        <is>
          <t>China local ticket tool to support for China mainland, HK, TW</t>
        </is>
      </c>
      <c r="C34" t="inlineStr">
        <is>
          <t>Lexi</t>
        </is>
      </c>
      <c r="D34" t="inlineStr">
        <is>
          <t>open</t>
        </is>
      </c>
      <c r="F34" t="inlineStr">
        <is>
          <t>29.4. mid of May Lexi comes back with more details (vendor selected; already used for Siemens China IT)</t>
        </is>
      </c>
    </row>
    <row r="35" ht="14.25" customHeight="1">
      <c r="A35" t="n">
        <v>12</v>
      </c>
      <c r="B35" t="inlineStr">
        <is>
          <t>How does technical solution oHRSP/PEP is defined?</t>
        </is>
      </c>
      <c r="C35" t="inlineStr">
        <is>
          <t>Mirka, Meryem</t>
        </is>
      </c>
      <c r="D35" t="inlineStr">
        <is>
          <t>open</t>
        </is>
      </c>
    </row>
  </sheetData>
  <autoFilter ref="A23:F35">
    <filterColumn colId="3" hiddenButton="0" showButton="1">
      <filters>
        <filter val="in progress"/>
        <filter val="open"/>
      </filters>
    </filterColumn>
  </autoFilter>
  <pageMargins left="0.7" right="0.7" top="0.787401575" bottom="0.787401575" header="0.3" footer="0.3"/>
  <pageSetup orientation="portrait" paperSize="9"/>
</worksheet>
</file>

<file path=xl/worksheets/sheet13.xml><?xml version="1.0" encoding="utf-8"?>
<worksheet xmlns="http://schemas.openxmlformats.org/spreadsheetml/2006/main">
  <sheetPr>
    <tabColor theme="4"/>
    <outlinePr summaryBelow="1" summaryRight="1"/>
    <pageSetUpPr/>
  </sheetPr>
  <dimension ref="A1:N27"/>
  <sheetViews>
    <sheetView workbookViewId="0">
      <selection activeCell="I20" sqref="I20"/>
    </sheetView>
  </sheetViews>
  <sheetFormatPr baseColWidth="8" defaultColWidth="10.90625" defaultRowHeight="12.5"/>
  <cols>
    <col width="60.08984375" bestFit="1" customWidth="1" min="1" max="1"/>
  </cols>
  <sheetData>
    <row r="1" ht="31" customHeight="1">
      <c r="B1" s="456" t="n">
        <v>45566</v>
      </c>
      <c r="C1" s="456" t="n">
        <v>45597</v>
      </c>
      <c r="D1" s="456" t="n">
        <v>45627</v>
      </c>
      <c r="E1" s="456" t="n">
        <v>45658</v>
      </c>
      <c r="F1" s="456" t="n">
        <v>45689</v>
      </c>
      <c r="G1" s="456" t="n">
        <v>45717</v>
      </c>
      <c r="H1" s="456" t="n">
        <v>45748</v>
      </c>
      <c r="I1" s="456" t="n">
        <v>45778</v>
      </c>
      <c r="J1" s="456" t="n">
        <v>45809</v>
      </c>
      <c r="K1" s="456" t="n">
        <v>45839</v>
      </c>
      <c r="L1" s="456" t="n">
        <v>45870</v>
      </c>
      <c r="M1" s="456" t="n">
        <v>45901</v>
      </c>
      <c r="N1" s="457" t="inlineStr">
        <is>
          <t>Actual  
FY25</t>
        </is>
      </c>
    </row>
    <row r="2" ht="13.5" customHeight="1" thickBot="1">
      <c r="A2" s="1" t="inlineStr">
        <is>
          <t>Support CZ</t>
        </is>
      </c>
    </row>
    <row r="3">
      <c r="A3" s="33" t="inlineStr">
        <is>
          <t>Minarcik, Jiri</t>
        </is>
      </c>
      <c r="B3" s="891" t="n"/>
      <c r="C3" s="891" t="n"/>
      <c r="D3" s="891" t="n"/>
      <c r="E3" s="891" t="n"/>
      <c r="F3" s="891" t="n"/>
      <c r="G3" s="891" t="n"/>
      <c r="H3" s="891" t="n"/>
      <c r="I3" s="892" t="n"/>
      <c r="J3" s="892" t="n"/>
      <c r="K3" s="892" t="n"/>
      <c r="L3" s="892" t="n"/>
      <c r="M3" s="892" t="n"/>
      <c r="N3" s="893">
        <f>SUM(B3:M3)</f>
        <v/>
      </c>
    </row>
    <row r="4">
      <c r="A4" s="33" t="inlineStr">
        <is>
          <t>Nová, Miroslava</t>
        </is>
      </c>
      <c r="B4" s="891" t="n"/>
      <c r="C4" s="891" t="n"/>
      <c r="D4" s="891" t="n"/>
      <c r="E4" s="891" t="n"/>
      <c r="F4" s="891" t="n"/>
      <c r="G4" s="891" t="n"/>
      <c r="H4" s="891" t="n"/>
      <c r="I4" s="895" t="n"/>
      <c r="J4" s="895" t="n"/>
      <c r="K4" s="895" t="n"/>
      <c r="L4" s="895" t="n"/>
      <c r="M4" s="895" t="n"/>
      <c r="N4" s="896">
        <f>SUM(B4:M4)</f>
        <v/>
      </c>
    </row>
    <row r="5">
      <c r="A5" s="33" t="inlineStr">
        <is>
          <t>Augusto da Silva, Amanda</t>
        </is>
      </c>
      <c r="B5" s="891" t="n"/>
      <c r="C5" s="891" t="n"/>
      <c r="D5" s="891" t="n"/>
      <c r="E5" s="891" t="n"/>
      <c r="F5" s="891" t="n"/>
      <c r="G5" s="891" t="n"/>
      <c r="H5" s="891" t="n"/>
      <c r="I5" s="892" t="n"/>
      <c r="J5" s="892" t="n"/>
      <c r="K5" s="892" t="n"/>
      <c r="L5" s="892" t="n"/>
      <c r="M5" s="892" t="n"/>
      <c r="N5" s="896">
        <f>SUM(B5:M5)</f>
        <v/>
      </c>
    </row>
    <row r="6">
      <c r="A6" s="33" t="inlineStr">
        <is>
          <t>Timkova, Jarmila</t>
        </is>
      </c>
      <c r="B6" s="891" t="n"/>
      <c r="C6" s="891" t="n"/>
      <c r="D6" s="891" t="n"/>
      <c r="E6" s="891" t="n"/>
      <c r="F6" s="891" t="n"/>
      <c r="G6" s="891" t="n"/>
      <c r="H6" s="891" t="n"/>
      <c r="I6" s="895" t="n"/>
      <c r="J6" s="895" t="n"/>
      <c r="K6" s="895" t="n"/>
      <c r="L6" s="895" t="n"/>
      <c r="M6" s="895" t="n"/>
      <c r="N6" s="896">
        <f>SUM(B6:M6)</f>
        <v/>
      </c>
    </row>
    <row r="7">
      <c r="A7" s="33" t="inlineStr">
        <is>
          <t>Strojny, Tomasz Lech</t>
        </is>
      </c>
      <c r="B7" s="891" t="n"/>
      <c r="C7" s="891" t="n"/>
      <c r="D7" s="891" t="n"/>
      <c r="E7" s="891" t="n"/>
      <c r="F7" s="891" t="n"/>
      <c r="G7" s="891" t="n"/>
      <c r="H7" s="891" t="n"/>
      <c r="I7" s="895" t="n"/>
      <c r="J7" s="895" t="n"/>
      <c r="K7" s="895" t="n"/>
      <c r="L7" s="895" t="n"/>
      <c r="M7" s="895" t="n"/>
      <c r="N7" s="896">
        <f>SUM(B7:M7)</f>
        <v/>
      </c>
    </row>
    <row r="8">
      <c r="A8" s="33" t="inlineStr">
        <is>
          <t>Fernandes Redondo, Amanda</t>
        </is>
      </c>
      <c r="B8" s="891" t="n"/>
      <c r="C8" s="891" t="n"/>
      <c r="D8" s="891" t="n"/>
      <c r="E8" s="891" t="n"/>
      <c r="F8" s="891" t="n"/>
      <c r="G8" s="891" t="n"/>
      <c r="H8" s="891" t="n"/>
      <c r="I8" s="895" t="n"/>
      <c r="J8" s="895" t="n"/>
      <c r="K8" s="895" t="n"/>
      <c r="L8" s="895" t="n"/>
      <c r="M8" s="895" t="n"/>
      <c r="N8" s="896">
        <f>SUM(B8:M8)</f>
        <v/>
      </c>
    </row>
    <row r="9">
      <c r="A9" s="34" t="inlineStr">
        <is>
          <t>Matos, Paula</t>
        </is>
      </c>
    </row>
    <row r="10">
      <c r="A10" s="34" t="inlineStr">
        <is>
          <t>Costa, Bruno</t>
        </is>
      </c>
    </row>
    <row r="11">
      <c r="A11" s="34" t="inlineStr">
        <is>
          <t>Conceicao, Ana (ext)</t>
        </is>
      </c>
    </row>
    <row r="13" ht="13" customHeight="1">
      <c r="A13" s="787" t="inlineStr">
        <is>
          <t>TMS Experts</t>
        </is>
      </c>
    </row>
    <row r="14">
      <c r="A14" s="33" t="inlineStr">
        <is>
          <t>Minarcik, Jiri</t>
        </is>
      </c>
    </row>
    <row r="15">
      <c r="A15" s="33" t="inlineStr">
        <is>
          <t>Nová, Miroslava</t>
        </is>
      </c>
    </row>
    <row r="16">
      <c r="A16" s="33" t="inlineStr">
        <is>
          <t>Augusto da Silva, Amanda</t>
        </is>
      </c>
    </row>
    <row r="17">
      <c r="A17" s="33" t="inlineStr">
        <is>
          <t>Timkova, Jarmila</t>
        </is>
      </c>
    </row>
    <row r="18">
      <c r="A18" s="33" t="inlineStr">
        <is>
          <t>Strojny, Tomasz Lech</t>
        </is>
      </c>
    </row>
    <row r="19">
      <c r="A19" s="33" t="inlineStr">
        <is>
          <t>Fernandes Redondo, Amanda</t>
        </is>
      </c>
    </row>
    <row r="20">
      <c r="A20" s="34" t="inlineStr">
        <is>
          <t>Matos, Paula</t>
        </is>
      </c>
      <c r="I20" s="753" t="n">
        <v>46</v>
      </c>
    </row>
    <row r="21">
      <c r="A21" s="34" t="inlineStr">
        <is>
          <t>Costa, Bruno</t>
        </is>
      </c>
      <c r="I21" s="753" t="n">
        <v>840</v>
      </c>
    </row>
    <row r="22">
      <c r="A22" s="34" t="inlineStr">
        <is>
          <t>Conceicao, Ana (ext)</t>
        </is>
      </c>
    </row>
    <row r="25" ht="13" customHeight="1">
      <c r="A25" s="238" t="inlineStr">
        <is>
          <t>Support/TMS Experts CZ - charging to GBS CN H2R (China)</t>
        </is>
      </c>
      <c r="B25" s="903">
        <f>-24710*60%*1.075/12</f>
        <v/>
      </c>
      <c r="C25" s="903">
        <f>-24710*60%*1.075/12</f>
        <v/>
      </c>
      <c r="D25" s="903">
        <f>-24710*60%*1.075/12</f>
        <v/>
      </c>
      <c r="E25" s="903">
        <f>-24710*60%*1.075/12</f>
        <v/>
      </c>
      <c r="F25" s="903">
        <f>(-24710*60%*1.075)/12</f>
        <v/>
      </c>
      <c r="G25" s="903">
        <f>-24710*60%*1.075/12</f>
        <v/>
      </c>
      <c r="H25" s="903">
        <f>-24710*60%*1.075/12</f>
        <v/>
      </c>
      <c r="I25" s="903">
        <f>-24710*60%*1.075/12</f>
        <v/>
      </c>
      <c r="J25" s="903">
        <f>-24710*60%*1.075/12</f>
        <v/>
      </c>
      <c r="K25" s="903">
        <f>-24710*60%*1.075/12</f>
        <v/>
      </c>
      <c r="L25" s="903">
        <f>-24710*60%*1.075/12</f>
        <v/>
      </c>
      <c r="M25" s="903">
        <f>-24710*60%*1.075/12</f>
        <v/>
      </c>
      <c r="N25" s="904">
        <f>SUM(B25:M25)</f>
        <v/>
      </c>
    </row>
    <row r="26" ht="13" customHeight="1">
      <c r="A26" s="238" t="inlineStr">
        <is>
          <t>Support/TMS Experts CZ - charging to GBS H2R US (USA/Canada)</t>
        </is>
      </c>
      <c r="B26" s="903">
        <f>-103000*1.15/12</f>
        <v/>
      </c>
      <c r="C26" s="903">
        <f>-103000*1.15/12</f>
        <v/>
      </c>
      <c r="D26" s="903">
        <f>-103000*1.15/12</f>
        <v/>
      </c>
      <c r="E26" s="903">
        <f>-103000*1.15/12</f>
        <v/>
      </c>
      <c r="F26" s="903">
        <f>-103000*1.15/12</f>
        <v/>
      </c>
      <c r="G26" s="903">
        <f>-103000*1.15/12</f>
        <v/>
      </c>
      <c r="H26" s="903">
        <f>-103000*1.15/12</f>
        <v/>
      </c>
      <c r="I26" s="903">
        <f>-103000*1.15/12</f>
        <v/>
      </c>
      <c r="J26" s="903">
        <f>-103000*1.15/12</f>
        <v/>
      </c>
      <c r="K26" s="903">
        <f>-103000*1.15/12</f>
        <v/>
      </c>
      <c r="L26" s="903">
        <f>-103000*1.15/12</f>
        <v/>
      </c>
      <c r="M26" s="903">
        <f>-103000*1.15/12</f>
        <v/>
      </c>
      <c r="N26" s="904">
        <f>SUM(B26:M26)</f>
        <v/>
      </c>
    </row>
    <row r="27" ht="13" customHeight="1">
      <c r="A27" s="238" t="inlineStr">
        <is>
          <t>Support/TMS Experts CZ - charging to P&amp;O ECO DIG</t>
        </is>
      </c>
      <c r="B27" s="903">
        <f>SUM(B2:B26)</f>
        <v/>
      </c>
      <c r="C27" s="903">
        <f>SUM(C2:C26)</f>
        <v/>
      </c>
      <c r="D27" s="903">
        <f>SUM(D2:D26)</f>
        <v/>
      </c>
      <c r="E27" s="903">
        <f>SUM(E2:E26)</f>
        <v/>
      </c>
      <c r="F27" s="903">
        <f>SUM(F2:F26)</f>
        <v/>
      </c>
      <c r="G27" s="903">
        <f>SUM(G2:G26)</f>
        <v/>
      </c>
      <c r="H27" s="903">
        <f>SUM(H2:H26)</f>
        <v/>
      </c>
      <c r="I27" s="903">
        <f>SUM(I2:I26)</f>
        <v/>
      </c>
      <c r="J27" s="903">
        <f>SUM(J2:J26)</f>
        <v/>
      </c>
      <c r="K27" s="903">
        <f>SUM(K2:K26)</f>
        <v/>
      </c>
      <c r="L27" s="903">
        <f>SUM(L2:L26)</f>
        <v/>
      </c>
      <c r="M27" s="903">
        <f>SUM(M2:M26)</f>
        <v/>
      </c>
      <c r="N27" s="904">
        <f>SUM(N2:N26)</f>
        <v/>
      </c>
    </row>
  </sheetData>
  <pageMargins left="0.7" right="0.7" top="0.787401575" bottom="0.787401575" header="0.3" footer="0.3"/>
</worksheet>
</file>

<file path=xl/worksheets/sheet14.xml><?xml version="1.0" encoding="utf-8"?>
<worksheet xmlns="http://schemas.openxmlformats.org/spreadsheetml/2006/main">
  <sheetPr>
    <tabColor theme="4"/>
    <outlinePr summaryBelow="1" summaryRight="1"/>
    <pageSetUpPr/>
  </sheetPr>
  <dimension ref="A1:Y57"/>
  <sheetViews>
    <sheetView topLeftCell="A18" workbookViewId="0">
      <selection activeCell="H39" sqref="H39"/>
    </sheetView>
  </sheetViews>
  <sheetFormatPr baseColWidth="8" defaultColWidth="10.90625" defaultRowHeight="12.5"/>
  <cols>
    <col width="24.08984375" customWidth="1" min="1" max="1"/>
    <col width="30" customWidth="1" min="2" max="2"/>
    <col width="12.90625" customWidth="1" min="3" max="3"/>
    <col width="13.36328125" customWidth="1" min="4" max="4"/>
    <col width="17.54296875" customWidth="1" min="5" max="5"/>
  </cols>
  <sheetData>
    <row r="1">
      <c r="G1" t="inlineStr">
        <is>
          <t>FY24</t>
        </is>
      </c>
      <c r="Q1" t="inlineStr">
        <is>
          <t>FY25</t>
        </is>
      </c>
    </row>
    <row r="2" ht="15.5" customHeight="1">
      <c r="A2" s="848" t="inlineStr">
        <is>
          <t>Ramp down Eightfold</t>
        </is>
      </c>
      <c r="Q2" t="inlineStr">
        <is>
          <t>SOW#4</t>
        </is>
      </c>
    </row>
    <row r="4" ht="15.5" customHeight="1">
      <c r="A4" s="848" t="inlineStr">
        <is>
          <t>Productivity</t>
        </is>
      </c>
      <c r="B4" s="848" t="inlineStr">
        <is>
          <t>Eightfold Crew</t>
        </is>
      </c>
      <c r="C4" s="409" t="inlineStr">
        <is>
          <t>Savings</t>
        </is>
      </c>
      <c r="D4" s="409" t="inlineStr">
        <is>
          <t>Costs in FY25</t>
        </is>
      </c>
      <c r="G4" t="inlineStr">
        <is>
          <t>March 2024</t>
        </is>
      </c>
      <c r="H4" t="inlineStr">
        <is>
          <t>SOW#2 SE for EE Ops</t>
        </is>
      </c>
    </row>
    <row r="5">
      <c r="A5" t="inlineStr">
        <is>
          <t>stop booking Feb - Sep 2025</t>
        </is>
      </c>
      <c r="B5" s="295" t="inlineStr">
        <is>
          <t>Pires Rosa, Claudia (ext)</t>
        </is>
      </c>
      <c r="C5" s="167" t="n">
        <v>51000</v>
      </c>
    </row>
    <row r="6">
      <c r="B6" s="295" t="inlineStr">
        <is>
          <t>Matos Oliveira, Ana Rita</t>
        </is>
      </c>
      <c r="C6" s="167" t="n">
        <v>38250</v>
      </c>
      <c r="D6" s="167" t="n"/>
    </row>
    <row r="7">
      <c r="B7" s="304" t="inlineStr">
        <is>
          <t>Testing</t>
        </is>
      </c>
      <c r="C7" s="952">
        <f>SUM(C5:C6)</f>
        <v/>
      </c>
      <c r="D7" s="952" t="n">
        <v>-5100</v>
      </c>
    </row>
    <row r="8">
      <c r="B8" s="295" t="inlineStr">
        <is>
          <t>Helbing, Björn (33%)</t>
        </is>
      </c>
      <c r="C8" s="167" t="n">
        <v>47840</v>
      </c>
    </row>
    <row r="9">
      <c r="B9" s="295" t="inlineStr">
        <is>
          <t>Zouine, Meryem</t>
        </is>
      </c>
      <c r="C9" s="167" t="n">
        <v>67678</v>
      </c>
    </row>
    <row r="10">
      <c r="B10" s="295" t="inlineStr">
        <is>
          <t>Bicho, Rita (33%)</t>
        </is>
      </c>
      <c r="C10" s="167" t="n">
        <v>22559</v>
      </c>
    </row>
    <row r="11">
      <c r="B11" s="396" t="inlineStr">
        <is>
          <t>Service Management</t>
        </is>
      </c>
      <c r="C11" s="1170">
        <f>SUM(C8:C10)</f>
        <v/>
      </c>
      <c r="D11" s="1170" t="n">
        <v>-13944</v>
      </c>
    </row>
    <row r="12">
      <c r="C12" s="1171">
        <f>SUM(C7+C11)</f>
        <v/>
      </c>
      <c r="D12" s="1171">
        <f>SUM(D7+D11)</f>
        <v/>
      </c>
      <c r="E12" t="inlineStr">
        <is>
          <t>for remaining activities</t>
        </is>
      </c>
    </row>
    <row r="13">
      <c r="C13" s="1172">
        <f>SUM(C12:D12)</f>
        <v/>
      </c>
    </row>
    <row r="14">
      <c r="B14" t="inlineStr">
        <is>
          <t>JCC</t>
        </is>
      </c>
      <c r="C14" t="n">
        <v>5000</v>
      </c>
    </row>
    <row r="15">
      <c r="B15" t="inlineStr">
        <is>
          <t>DirX</t>
        </is>
      </c>
      <c r="C15" t="n">
        <v>20000</v>
      </c>
    </row>
    <row r="16">
      <c r="B16" s="304" t="inlineStr">
        <is>
          <t>Total</t>
        </is>
      </c>
      <c r="C16" s="1173">
        <f>SUM(C13:C15)</f>
        <v/>
      </c>
      <c r="G16" t="inlineStr">
        <is>
          <t>SOW#3</t>
        </is>
      </c>
      <c r="H16" t="inlineStr">
        <is>
          <t>June 2024</t>
        </is>
      </c>
    </row>
    <row r="17">
      <c r="V17" s="410" t="inlineStr">
        <is>
          <t>FY24</t>
        </is>
      </c>
      <c r="W17" s="410" t="n">
        <v>187706</v>
      </c>
    </row>
    <row r="18">
      <c r="V18" s="410" t="inlineStr">
        <is>
          <t>FY25</t>
        </is>
      </c>
      <c r="W18" s="412" t="n">
        <v>140442</v>
      </c>
    </row>
    <row r="19" ht="13" customHeight="1">
      <c r="B19" t="inlineStr">
        <is>
          <t>new tasks:</t>
        </is>
      </c>
      <c r="W19" s="411">
        <f>N33-140442</f>
        <v/>
      </c>
    </row>
    <row r="20">
      <c r="B20" s="71" t="inlineStr">
        <is>
          <t>- Preboarding Project</t>
        </is>
      </c>
    </row>
    <row r="21">
      <c r="B21" s="71" t="inlineStr">
        <is>
          <t>- support in other remaining Avature change requests</t>
        </is>
      </c>
    </row>
    <row r="22">
      <c r="V22" t="inlineStr">
        <is>
          <t>Costs</t>
        </is>
      </c>
    </row>
    <row r="23">
      <c r="S23" t="inlineStr">
        <is>
          <t>Eightfold</t>
        </is>
      </c>
      <c r="V23" t="inlineStr">
        <is>
          <t>1. Q</t>
        </is>
      </c>
      <c r="W23" t="n">
        <v>140442</v>
      </c>
      <c r="X23" t="n">
        <v>140442</v>
      </c>
    </row>
    <row r="24">
      <c r="V24" t="inlineStr">
        <is>
          <t>2. - 4. Q</t>
        </is>
      </c>
      <c r="W24" s="38" t="n">
        <v>421326</v>
      </c>
      <c r="X24" s="720" t="n">
        <v>160000</v>
      </c>
      <c r="Y24" t="inlineStr">
        <is>
          <t>Productivity</t>
        </is>
      </c>
    </row>
    <row r="25">
      <c r="X25" t="n">
        <v>300000</v>
      </c>
      <c r="Y25" t="inlineStr">
        <is>
          <t>agrreed with P&amp;O</t>
        </is>
      </c>
    </row>
    <row r="26">
      <c r="B26" s="647" t="n"/>
      <c r="C26" s="647" t="inlineStr">
        <is>
          <t>FY24</t>
        </is>
      </c>
      <c r="D26" s="647" t="inlineStr">
        <is>
          <t>FY25</t>
        </is>
      </c>
      <c r="E26" s="647" t="inlineStr">
        <is>
          <t>Savings</t>
        </is>
      </c>
    </row>
    <row r="27" ht="13" customHeight="1">
      <c r="B27" s="647" t="inlineStr">
        <is>
          <t>Eightfold</t>
        </is>
      </c>
      <c r="C27" s="647" t="n">
        <v>276118</v>
      </c>
      <c r="D27" s="647" t="n">
        <v>114914</v>
      </c>
      <c r="E27" s="747">
        <f>SUM(C27-D27)</f>
        <v/>
      </c>
      <c r="W27" s="1">
        <f>SUM(W24-W23)</f>
        <v/>
      </c>
    </row>
    <row r="28">
      <c r="B28" s="647" t="inlineStr">
        <is>
          <t>TuPu</t>
        </is>
      </c>
      <c r="C28" s="647" t="n">
        <v>15773</v>
      </c>
      <c r="D28" s="647" t="n">
        <v>0</v>
      </c>
      <c r="E28" s="747">
        <f>SUM(C28-D28)</f>
        <v/>
      </c>
      <c r="S28" t="inlineStr">
        <is>
          <t>Avature</t>
        </is>
      </c>
      <c r="W28" s="38" t="n">
        <v>240000</v>
      </c>
    </row>
    <row r="29" ht="13" customHeight="1">
      <c r="W29" s="1">
        <f>SUM(W27-W28)</f>
        <v/>
      </c>
    </row>
    <row r="30">
      <c r="B30" t="inlineStr">
        <is>
          <t>Avature</t>
        </is>
      </c>
      <c r="C30" t="n">
        <v>1033627</v>
      </c>
      <c r="D30" t="n">
        <v>1311461</v>
      </c>
      <c r="E30">
        <f>SUM(C30-D30)</f>
        <v/>
      </c>
    </row>
    <row r="31">
      <c r="N31" t="n">
        <v>43150</v>
      </c>
    </row>
    <row r="32">
      <c r="N32" s="38" t="n">
        <v>144556</v>
      </c>
    </row>
    <row r="33">
      <c r="N33">
        <f>SUM(N31:N32)</f>
        <v/>
      </c>
    </row>
    <row r="34" ht="13" customHeight="1">
      <c r="A34" s="749" t="inlineStr">
        <is>
          <t>25% of every CR / Project</t>
        </is>
      </c>
      <c r="B34" s="749" t="inlineStr">
        <is>
          <t>Eightfold Crew</t>
        </is>
      </c>
      <c r="C34" s="647" t="n"/>
      <c r="D34" s="750" t="n">
        <v>0.25</v>
      </c>
    </row>
    <row r="35">
      <c r="A35" s="647" t="inlineStr">
        <is>
          <t>Oct 24 - March 25</t>
        </is>
      </c>
      <c r="B35" s="647" t="inlineStr">
        <is>
          <t>FTE</t>
        </is>
      </c>
      <c r="C35" s="647" t="n">
        <v>89580</v>
      </c>
      <c r="D35" s="647">
        <f>C35*D34</f>
        <v/>
      </c>
    </row>
    <row r="36">
      <c r="B36" s="647" t="inlineStr">
        <is>
          <t>Int. Provider</t>
        </is>
      </c>
      <c r="C36" s="647" t="n">
        <v>2427</v>
      </c>
      <c r="D36" s="647">
        <f>C36*D34</f>
        <v/>
      </c>
    </row>
    <row r="37">
      <c r="B37" s="647" t="inlineStr">
        <is>
          <t>ext. Provider (Eightfold)</t>
        </is>
      </c>
      <c r="C37" s="647" t="n">
        <v>0</v>
      </c>
      <c r="D37" s="647" t="n">
        <v>0</v>
      </c>
    </row>
    <row r="38">
      <c r="B38" s="647" t="n"/>
      <c r="C38" s="647">
        <f>SUM(C35:C37)</f>
        <v/>
      </c>
      <c r="D38" s="747">
        <f>SUM(D35:D37)</f>
        <v/>
      </c>
      <c r="E38">
        <f>C38*D34</f>
        <v/>
      </c>
    </row>
    <row r="39">
      <c r="B39" s="647" t="n"/>
      <c r="C39" s="647" t="n"/>
      <c r="D39" s="647" t="n"/>
    </row>
    <row r="40" ht="13" customHeight="1">
      <c r="B40" s="749" t="inlineStr">
        <is>
          <t>Avature Crew</t>
        </is>
      </c>
      <c r="C40" s="647" t="n"/>
      <c r="D40" s="647" t="n"/>
    </row>
    <row r="41">
      <c r="B41" s="647" t="inlineStr">
        <is>
          <t>FTE</t>
        </is>
      </c>
      <c r="C41" s="647" t="n">
        <v>120734</v>
      </c>
      <c r="D41" s="647">
        <f>C41*D34</f>
        <v/>
      </c>
    </row>
    <row r="42">
      <c r="B42" s="647" t="inlineStr">
        <is>
          <t>Int. Provider</t>
        </is>
      </c>
      <c r="C42" s="647" t="n">
        <v>3871</v>
      </c>
      <c r="D42" s="647">
        <f>C42*D34</f>
        <v/>
      </c>
    </row>
    <row r="43">
      <c r="B43" s="647" t="inlineStr">
        <is>
          <t>ext. Provider (Avature)</t>
        </is>
      </c>
      <c r="C43" s="647" t="n">
        <v>0</v>
      </c>
      <c r="D43" s="647" t="n">
        <v>0</v>
      </c>
    </row>
    <row r="44">
      <c r="B44" s="647" t="n"/>
      <c r="C44" s="647">
        <f>SUM(C41:C43)</f>
        <v/>
      </c>
      <c r="D44" s="747">
        <f>SUM(D41:D43)</f>
        <v/>
      </c>
      <c r="E44">
        <f>C44*D34</f>
        <v/>
      </c>
    </row>
    <row r="45">
      <c r="B45" s="647" t="n"/>
      <c r="C45" s="647" t="n"/>
      <c r="D45" s="647" t="n"/>
    </row>
    <row r="46" ht="13" customHeight="1">
      <c r="B46" s="749" t="inlineStr">
        <is>
          <t>Avature ext. Careers Portal Crew</t>
        </is>
      </c>
      <c r="C46" s="647" t="n"/>
      <c r="D46" s="647" t="n"/>
    </row>
    <row r="47">
      <c r="B47" s="647" t="inlineStr">
        <is>
          <t>FTE</t>
        </is>
      </c>
      <c r="C47" s="647" t="n">
        <v>22228</v>
      </c>
      <c r="D47" s="647">
        <f>C47*D34</f>
        <v/>
      </c>
    </row>
    <row r="48">
      <c r="B48" s="647" t="inlineStr">
        <is>
          <t>Int. Provider</t>
        </is>
      </c>
      <c r="C48" s="647" t="n">
        <v>0</v>
      </c>
      <c r="D48" s="647">
        <f>C48*D34</f>
        <v/>
      </c>
    </row>
    <row r="49">
      <c r="B49" s="647" t="inlineStr">
        <is>
          <t>ext. Provider (Avature)</t>
        </is>
      </c>
      <c r="C49" s="647" t="n">
        <v>0</v>
      </c>
      <c r="D49" s="647">
        <f>C49*D34</f>
        <v/>
      </c>
    </row>
    <row r="50">
      <c r="B50" s="647" t="n"/>
      <c r="C50" s="647">
        <f>SUM(C47:C49)</f>
        <v/>
      </c>
      <c r="D50" s="747">
        <f>SUM(D47:D49)</f>
        <v/>
      </c>
      <c r="E50">
        <f>C50*D34</f>
        <v/>
      </c>
    </row>
    <row r="51">
      <c r="B51" s="647" t="n"/>
      <c r="C51" s="647" t="n"/>
      <c r="D51" s="647" t="n"/>
    </row>
    <row r="52" ht="13" customHeight="1">
      <c r="B52" s="749" t="inlineStr">
        <is>
          <t>Avature Preboarding</t>
        </is>
      </c>
      <c r="C52" s="647" t="n"/>
      <c r="D52" s="647" t="n"/>
    </row>
    <row r="53">
      <c r="B53" s="647" t="inlineStr">
        <is>
          <t>FTE</t>
        </is>
      </c>
      <c r="C53" s="647" t="n">
        <v>5986</v>
      </c>
      <c r="D53" s="647">
        <f>C53*D34</f>
        <v/>
      </c>
    </row>
    <row r="54">
      <c r="B54" s="647" t="inlineStr">
        <is>
          <t>Int. Provider</t>
        </is>
      </c>
      <c r="C54" s="647" t="n">
        <v>0</v>
      </c>
      <c r="D54" s="647">
        <f>C54*D34</f>
        <v/>
      </c>
    </row>
    <row r="55">
      <c r="B55" s="647" t="inlineStr">
        <is>
          <t>ext. Provider (Avature)</t>
        </is>
      </c>
      <c r="C55" s="647" t="n">
        <v>0</v>
      </c>
      <c r="D55" s="647">
        <f>C55*D34</f>
        <v/>
      </c>
    </row>
    <row r="56">
      <c r="B56" s="647" t="n"/>
      <c r="C56" s="647">
        <f>SUM(C53:C55)</f>
        <v/>
      </c>
      <c r="D56" s="747">
        <f>SUM(D53:D55)</f>
        <v/>
      </c>
      <c r="E56" s="38">
        <f>C56*D34</f>
        <v/>
      </c>
    </row>
    <row r="57" ht="13" customHeight="1">
      <c r="B57" s="647" t="n"/>
      <c r="C57" s="647" t="n"/>
      <c r="D57" s="751">
        <f>D38+D44+D50+D56</f>
        <v/>
      </c>
      <c r="E57" s="748">
        <f>SUM(E38:E56)</f>
        <v/>
      </c>
    </row>
  </sheetData>
  <mergeCells count="1">
    <mergeCell ref="A2:B2"/>
  </mergeCells>
  <pageMargins left="0.7" right="0.7" top="0.787401575" bottom="0.787401575" header="0.3" footer="0.3"/>
</worksheet>
</file>

<file path=xl/worksheets/sheet15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3:D8"/>
  <sheetViews>
    <sheetView topLeftCell="B1" workbookViewId="0">
      <selection activeCell="B7" sqref="B7"/>
    </sheetView>
  </sheetViews>
  <sheetFormatPr baseColWidth="8" defaultColWidth="10.08984375" defaultRowHeight="10"/>
  <cols>
    <col width="10.08984375" customWidth="1" style="89" min="1" max="1"/>
    <col width="23.54296875" bestFit="1" customWidth="1" style="89" min="2" max="2"/>
    <col width="10.08984375" customWidth="1" style="89" min="3" max="16384"/>
  </cols>
  <sheetData>
    <row r="3" ht="12.5" customHeight="1"/>
    <row r="4" ht="15.5" customHeight="1">
      <c r="B4" s="848" t="inlineStr">
        <is>
          <t>VCC</t>
        </is>
      </c>
      <c r="C4" t="inlineStr">
        <is>
          <t>FY25</t>
        </is>
      </c>
      <c r="D4" t="inlineStr">
        <is>
          <t>FY26</t>
        </is>
      </c>
    </row>
    <row r="5" ht="12.5" customHeight="1"/>
    <row r="6" ht="12.5" customHeight="1">
      <c r="B6" t="inlineStr">
        <is>
          <t>lower costs to the customer</t>
        </is>
      </c>
      <c r="D6" t="inlineStr">
        <is>
          <t>Eightfold</t>
        </is>
      </c>
    </row>
    <row r="7" ht="12.5" customHeight="1">
      <c r="B7" t="inlineStr">
        <is>
          <t xml:space="preserve">25% of every CR </t>
        </is>
      </c>
    </row>
    <row r="8" ht="12.5" customHeight="1"/>
  </sheetData>
  <pageMargins left="0.7" right="0.7" top="0.787401575" bottom="0.787401575" header="0.3" footer="0.3"/>
  <pageSetup orientation="portrait" paperSize="9"/>
</worksheet>
</file>

<file path=xl/worksheets/sheet16.xml><?xml version="1.0" encoding="utf-8"?>
<worksheet xmlns="http://schemas.openxmlformats.org/spreadsheetml/2006/main">
  <sheetPr>
    <tabColor rgb="FF92D050"/>
    <outlinePr summaryBelow="1" summaryRight="1"/>
    <pageSetUpPr/>
  </sheetPr>
  <dimension ref="A1:H19"/>
  <sheetViews>
    <sheetView workbookViewId="0">
      <selection activeCell="H2" sqref="H2:H6"/>
    </sheetView>
  </sheetViews>
  <sheetFormatPr baseColWidth="8" defaultColWidth="11.453125" defaultRowHeight="12.5"/>
  <cols>
    <col width="25.6328125" customWidth="1" min="3" max="3"/>
    <col width="15.08984375" customWidth="1" min="4" max="4"/>
  </cols>
  <sheetData>
    <row r="1" ht="37.5" customHeight="1">
      <c r="A1" s="178" t="inlineStr">
        <is>
          <t>Phase</t>
        </is>
      </c>
      <c r="B1" s="178" t="n"/>
      <c r="C1" s="178" t="inlineStr">
        <is>
          <t>Scope Position</t>
        </is>
      </c>
      <c r="D1" s="849" t="inlineStr">
        <is>
          <t>Unit
(e.g. NO. of Recruiters)</t>
        </is>
      </c>
      <c r="E1" s="178" t="inlineStr">
        <is>
          <t>Unit Cost</t>
        </is>
      </c>
      <c r="F1" s="212" t="inlineStr">
        <is>
          <t>Units
S'Industry</t>
        </is>
      </c>
      <c r="G1" s="849" t="inlineStr">
        <is>
          <t>Total
S'Industry €</t>
        </is>
      </c>
      <c r="H1" s="212" t="inlineStr">
        <is>
          <t>Sum (gross)€
VAT:6%</t>
        </is>
      </c>
    </row>
    <row r="2">
      <c r="A2" s="850" t="inlineStr">
        <is>
          <t>Year 5</t>
        </is>
      </c>
      <c r="B2" s="850" t="inlineStr">
        <is>
          <t>Recurring</t>
        </is>
      </c>
      <c r="C2" s="178" t="inlineStr">
        <is>
          <t>WeChat platform(ENG&amp;CHN)</t>
        </is>
      </c>
      <c r="D2" s="849" t="inlineStr">
        <is>
          <t>Fixed</t>
        </is>
      </c>
      <c r="E2" s="176" t="n">
        <v>3587.15</v>
      </c>
      <c r="F2" s="178" t="n">
        <v>1</v>
      </c>
      <c r="G2" s="176">
        <f>E2*F2</f>
        <v/>
      </c>
      <c r="H2" s="176">
        <f>G2*1.06</f>
        <v/>
      </c>
    </row>
    <row r="3">
      <c r="A3" s="1070" t="n"/>
      <c r="B3" s="1070" t="n"/>
      <c r="C3" s="178" t="inlineStr">
        <is>
          <t>China Job Portal</t>
        </is>
      </c>
      <c r="D3" s="1070" t="n"/>
      <c r="E3" s="176" t="n">
        <v>3587.15</v>
      </c>
      <c r="F3" s="178" t="n">
        <v>1</v>
      </c>
      <c r="G3" s="176">
        <f>E3*F3</f>
        <v/>
      </c>
      <c r="H3" s="176">
        <f>G3*1.06</f>
        <v/>
      </c>
    </row>
    <row r="4">
      <c r="A4" s="1070" t="n"/>
      <c r="B4" s="1070" t="n"/>
      <c r="C4" s="178" t="inlineStr">
        <is>
          <t>SMS Service(30,000messages)</t>
        </is>
      </c>
      <c r="D4" s="1070" t="n"/>
      <c r="E4" s="176" t="n">
        <v>179.36</v>
      </c>
      <c r="F4" s="178" t="n">
        <v>1</v>
      </c>
      <c r="G4" s="176">
        <f>E4*F4</f>
        <v/>
      </c>
      <c r="H4" s="176">
        <f>G4*1.06</f>
        <v/>
      </c>
    </row>
    <row r="5">
      <c r="A5" s="1070" t="n"/>
      <c r="B5" s="1070" t="n"/>
      <c r="C5" s="178" t="inlineStr">
        <is>
          <t>Intergration Maintenance</t>
        </is>
      </c>
      <c r="D5" s="1070" t="n"/>
      <c r="E5" s="176" t="n">
        <v>1425.09</v>
      </c>
      <c r="F5" s="178" t="n">
        <v>1</v>
      </c>
      <c r="G5" s="176">
        <f>E5*F5</f>
        <v/>
      </c>
      <c r="H5" s="176">
        <f>G5*1.06</f>
        <v/>
      </c>
    </row>
    <row r="6">
      <c r="A6" s="1070" t="n"/>
      <c r="B6" s="1070" t="n"/>
      <c r="C6" s="178" t="inlineStr">
        <is>
          <t>MyID Intergration</t>
        </is>
      </c>
      <c r="D6" s="1071" t="n"/>
      <c r="E6" s="176" t="n">
        <v>427.77</v>
      </c>
      <c r="F6" s="178" t="n">
        <v>1</v>
      </c>
      <c r="G6" s="176">
        <f>E6*F6</f>
        <v/>
      </c>
      <c r="H6" s="176">
        <f>G6*1.06</f>
        <v/>
      </c>
    </row>
    <row r="7">
      <c r="A7" s="1070" t="n"/>
      <c r="B7" s="1070" t="n"/>
      <c r="C7" s="850" t="inlineStr">
        <is>
          <t>Job Distribution &amp; Sourcing</t>
        </is>
      </c>
      <c r="D7" s="850" t="inlineStr">
        <is>
          <t># of Recruiters</t>
        </is>
      </c>
      <c r="E7" s="176" t="n">
        <v>608.38</v>
      </c>
      <c r="F7" s="178" t="n">
        <v>39</v>
      </c>
      <c r="G7" s="176">
        <f>E7*F7</f>
        <v/>
      </c>
      <c r="H7" s="176">
        <f>G7*1.06</f>
        <v/>
      </c>
    </row>
    <row r="8">
      <c r="A8" s="1070" t="n"/>
      <c r="B8" s="1070" t="n"/>
      <c r="C8" s="1070" t="n"/>
      <c r="D8" s="1070" t="n"/>
      <c r="E8" s="176" t="n">
        <v>506.99</v>
      </c>
      <c r="F8" s="178" t="n">
        <v>16</v>
      </c>
      <c r="G8" s="176">
        <f>E8*F8</f>
        <v/>
      </c>
      <c r="H8" s="176">
        <f>G8*1.06</f>
        <v/>
      </c>
    </row>
    <row r="9" ht="37.5" customHeight="1">
      <c r="A9" s="178" t="n"/>
      <c r="B9" s="178" t="n"/>
      <c r="C9" s="178" t="n"/>
      <c r="D9" s="178" t="n"/>
      <c r="E9" s="176" t="n"/>
      <c r="F9" s="278" t="inlineStr">
        <is>
          <t>Including 15 accounts for SHS</t>
        </is>
      </c>
      <c r="G9" s="212">
        <f>SUM(G2:G8)</f>
        <v/>
      </c>
      <c r="H9" s="279">
        <f>SUM(H2:H8)</f>
        <v/>
      </c>
    </row>
    <row r="13" ht="13" customHeight="1" thickBot="1"/>
    <row r="14" ht="14" customHeight="1">
      <c r="A14" s="1174" t="inlineStr">
        <is>
          <t>Business</t>
        </is>
      </c>
      <c r="B14" s="1174" t="inlineStr">
        <is>
          <t>Initially defined</t>
        </is>
      </c>
      <c r="C14" s="1175" t="inlineStr">
        <is>
          <t>Prolongation</t>
        </is>
      </c>
      <c r="D14" s="1176" t="n"/>
      <c r="E14" s="1177" t="n"/>
      <c r="F14" s="852" t="inlineStr">
        <is>
          <t>Total</t>
        </is>
      </c>
    </row>
    <row r="15" ht="14.5" customHeight="1" thickBot="1">
      <c r="A15" s="1178" t="n"/>
      <c r="B15" s="1178" t="n"/>
      <c r="C15" s="1179" t="n">
        <v>45276</v>
      </c>
      <c r="D15" s="1180" t="n"/>
      <c r="E15" s="1181" t="n"/>
      <c r="F15" s="853" t="n"/>
    </row>
    <row r="16" ht="14.5" customHeight="1" thickBot="1">
      <c r="A16" s="853" t="inlineStr">
        <is>
          <t>SAG</t>
        </is>
      </c>
      <c r="B16" s="81" t="n">
        <v>40</v>
      </c>
      <c r="C16" s="1174" t="n"/>
      <c r="D16" s="81" t="inlineStr">
        <is>
          <t>SAG</t>
        </is>
      </c>
      <c r="E16" s="81" t="n">
        <v>40</v>
      </c>
      <c r="F16" s="81" t="n">
        <v>40</v>
      </c>
      <c r="G16" t="inlineStr">
        <is>
          <t>without innomotics</t>
        </is>
      </c>
    </row>
    <row r="17" ht="14.5" customHeight="1" thickBot="1">
      <c r="A17" s="853" t="inlineStr">
        <is>
          <t>SHS</t>
        </is>
      </c>
      <c r="B17" s="81" t="n">
        <v>15</v>
      </c>
      <c r="C17" s="1178" t="n"/>
      <c r="D17" s="81" t="inlineStr">
        <is>
          <t>SHS</t>
        </is>
      </c>
      <c r="E17" s="81" t="n">
        <v>15</v>
      </c>
      <c r="F17" s="81" t="n">
        <v>15</v>
      </c>
    </row>
    <row r="18" ht="14.5" customHeight="1" thickBot="1">
      <c r="A18" s="138" t="inlineStr">
        <is>
          <t>Total</t>
        </is>
      </c>
      <c r="B18" s="84" t="n">
        <v>55</v>
      </c>
      <c r="C18" s="143" t="n"/>
      <c r="D18" s="82" t="n"/>
      <c r="E18" s="81" t="n">
        <v>55</v>
      </c>
      <c r="F18" s="81" t="n">
        <v>55</v>
      </c>
    </row>
    <row r="19" ht="14.5" customHeight="1" thickBot="1">
      <c r="A19" s="145" t="inlineStr">
        <is>
          <t>EUR</t>
        </is>
      </c>
      <c r="B19" s="232" t="n">
        <v>43508</v>
      </c>
      <c r="C19" s="141" t="n"/>
      <c r="D19" s="144" t="n"/>
      <c r="E19" s="1182" t="n"/>
      <c r="F19" s="233" t="n">
        <v>43508</v>
      </c>
    </row>
  </sheetData>
  <mergeCells count="10">
    <mergeCell ref="D2:D6"/>
    <mergeCell ref="C14:E14"/>
    <mergeCell ref="D7:D8"/>
    <mergeCell ref="C7:C8"/>
    <mergeCell ref="B14:B15"/>
    <mergeCell ref="A2:A8"/>
    <mergeCell ref="B2:B8"/>
    <mergeCell ref="C16:C17"/>
    <mergeCell ref="C15:E15"/>
    <mergeCell ref="A14:A15"/>
  </mergeCells>
  <pageMargins left="0.7" right="0.7" top="0.787401575" bottom="0.787401575" header="0.3" footer="0.3"/>
  <pageSetup orientation="portrait"/>
</worksheet>
</file>

<file path=xl/worksheets/sheet17.xml><?xml version="1.0" encoding="utf-8"?>
<worksheet xmlns="http://schemas.openxmlformats.org/spreadsheetml/2006/main">
  <sheetPr>
    <tabColor rgb="FF92D050"/>
    <outlinePr summaryBelow="1" summaryRight="1"/>
    <pageSetUpPr/>
  </sheetPr>
  <dimension ref="A2:Q95"/>
  <sheetViews>
    <sheetView topLeftCell="A15" zoomScale="85" zoomScaleNormal="85" workbookViewId="0">
      <selection activeCell="H49" sqref="H49"/>
    </sheetView>
  </sheetViews>
  <sheetFormatPr baseColWidth="8" defaultColWidth="11.453125" defaultRowHeight="12.5"/>
  <cols>
    <col width="14" customWidth="1" min="1" max="1"/>
    <col width="16.08984375" customWidth="1" min="2" max="2"/>
    <col width="22.36328125" customWidth="1" min="3" max="3"/>
  </cols>
  <sheetData>
    <row r="1" ht="13.5" customHeight="1"/>
    <row r="2" ht="13.5" customHeight="1">
      <c r="A2" s="170" t="inlineStr">
        <is>
          <t>#</t>
        </is>
      </c>
      <c r="B2" s="170" t="inlineStr">
        <is>
          <t>Phase</t>
        </is>
      </c>
      <c r="C2" s="170" t="n"/>
      <c r="D2" s="170" t="inlineStr">
        <is>
          <t>Scope Position</t>
        </is>
      </c>
      <c r="E2" s="171" t="inlineStr">
        <is>
          <t>Unit
(e.g. NO. of Recruiters)</t>
        </is>
      </c>
      <c r="F2" s="172" t="inlineStr">
        <is>
          <t>List Unit Price
(€)</t>
        </is>
      </c>
      <c r="G2" s="172" t="inlineStr">
        <is>
          <t>Unit Cost 
After Discount</t>
        </is>
      </c>
      <c r="H2" s="173" t="inlineStr">
        <is>
          <t>Discount Rate</t>
        </is>
      </c>
      <c r="I2" s="170" t="inlineStr">
        <is>
          <t>Accounts Range</t>
        </is>
      </c>
      <c r="J2" s="174" t="inlineStr">
        <is>
          <t xml:space="preserve">Units
</t>
        </is>
      </c>
      <c r="K2" s="172" t="inlineStr">
        <is>
          <t>Total
(net) €</t>
        </is>
      </c>
      <c r="L2" s="175" t="inlineStr">
        <is>
          <t>Sum (gross) €
VAT:6%</t>
        </is>
      </c>
      <c r="M2" s="172" t="inlineStr">
        <is>
          <t>Service Range</t>
        </is>
      </c>
    </row>
    <row r="3" ht="13.5" customHeight="1">
      <c r="A3" s="178" t="n">
        <v>1</v>
      </c>
      <c r="B3" s="178" t="inlineStr">
        <is>
          <t>Year 2</t>
        </is>
      </c>
      <c r="C3" s="178" t="inlineStr">
        <is>
          <t>Recurring</t>
        </is>
      </c>
      <c r="D3" s="178" t="inlineStr">
        <is>
          <t>Job Distribution &amp; Sourcing</t>
        </is>
      </c>
      <c r="E3" s="178" t="inlineStr">
        <is>
          <t># of Recruiters</t>
        </is>
      </c>
      <c r="F3" s="176" t="n">
        <v>1013.97</v>
      </c>
      <c r="G3" s="176">
        <f>F3*(1-H3)</f>
        <v/>
      </c>
      <c r="H3" s="177" t="n">
        <v>0.4</v>
      </c>
      <c r="I3" s="178" t="inlineStr">
        <is>
          <t xml:space="preserve">1-39 Users </t>
        </is>
      </c>
      <c r="J3" s="178" t="n">
        <v>0</v>
      </c>
      <c r="K3" s="176">
        <f>G3*J3</f>
        <v/>
      </c>
      <c r="L3" s="176">
        <f>K3*1.06</f>
        <v/>
      </c>
      <c r="M3" s="178" t="inlineStr">
        <is>
          <t>12 months</t>
        </is>
      </c>
    </row>
    <row r="4" ht="13.5" customHeight="1">
      <c r="A4" s="1070" t="n"/>
      <c r="B4" s="1070" t="n"/>
      <c r="C4" s="1070" t="n"/>
      <c r="D4" s="1070" t="n"/>
      <c r="E4" s="1070" t="n"/>
      <c r="F4" s="1070" t="n"/>
      <c r="G4" s="176">
        <f>F3*(1-H4)</f>
        <v/>
      </c>
      <c r="H4" s="177" t="n">
        <v>0.5</v>
      </c>
      <c r="I4" s="178" t="inlineStr">
        <is>
          <t xml:space="preserve">40-69 Users </t>
        </is>
      </c>
      <c r="J4" s="178" t="n">
        <v>0</v>
      </c>
      <c r="K4" s="176">
        <f>G4*J4</f>
        <v/>
      </c>
      <c r="L4" s="176">
        <f>K4*1.06</f>
        <v/>
      </c>
      <c r="M4" s="1070" t="n"/>
    </row>
    <row r="5">
      <c r="A5" s="1070" t="n"/>
      <c r="B5" s="1070" t="n"/>
      <c r="C5" s="1070" t="n"/>
      <c r="D5" s="1070" t="n"/>
      <c r="E5" s="1070" t="n"/>
      <c r="F5" s="1070" t="n"/>
      <c r="G5" s="176">
        <f>F3*(1-H5)</f>
        <v/>
      </c>
      <c r="H5" s="177" t="n">
        <v>0.6</v>
      </c>
      <c r="I5" s="178" t="inlineStr">
        <is>
          <t xml:space="preserve">70-99 Users </t>
        </is>
      </c>
      <c r="J5" s="178" t="n">
        <v>19</v>
      </c>
      <c r="K5" s="176">
        <f>G5*J5</f>
        <v/>
      </c>
      <c r="L5" s="176">
        <f>K5*1.06</f>
        <v/>
      </c>
      <c r="M5" s="1070" t="n"/>
    </row>
    <row r="6">
      <c r="A6" s="1071" t="n"/>
      <c r="B6" s="1071" t="n"/>
      <c r="C6" s="1071" t="n"/>
      <c r="D6" s="1071" t="n"/>
      <c r="E6" s="1071" t="n"/>
      <c r="F6" s="1071" t="n"/>
      <c r="G6" s="176" t="n">
        <v>380</v>
      </c>
      <c r="H6" s="177" t="inlineStr">
        <is>
          <t>fixed fee</t>
        </is>
      </c>
      <c r="I6" s="178" t="inlineStr">
        <is>
          <t xml:space="preserve">100-200 Users </t>
        </is>
      </c>
      <c r="J6" s="178" t="n">
        <v>1</v>
      </c>
      <c r="K6" s="176">
        <f>G6*J6</f>
        <v/>
      </c>
      <c r="L6" s="176">
        <f>K6*1.06</f>
        <v/>
      </c>
      <c r="M6" s="1070" t="n"/>
    </row>
    <row r="7">
      <c r="A7" s="179" t="n"/>
      <c r="B7" s="179" t="n"/>
      <c r="C7" s="179" t="n"/>
      <c r="D7" s="179" t="n"/>
      <c r="E7" s="179" t="n"/>
      <c r="F7" s="180" t="n"/>
      <c r="G7" s="180" t="n"/>
      <c r="H7" s="181" t="n"/>
      <c r="I7" s="178" t="inlineStr">
        <is>
          <t>Total</t>
        </is>
      </c>
      <c r="J7" s="178">
        <f>SUM(J3:J6)</f>
        <v/>
      </c>
      <c r="K7" s="176">
        <f>SUM(K3:K6)</f>
        <v/>
      </c>
      <c r="L7" s="176">
        <f>K7*1.06</f>
        <v/>
      </c>
      <c r="M7" s="1071" t="n"/>
    </row>
    <row r="8">
      <c r="A8" s="169" t="n"/>
      <c r="B8" s="169" t="n"/>
      <c r="C8" s="169" t="n"/>
      <c r="D8" s="169" t="n"/>
      <c r="E8" s="169" t="n"/>
      <c r="F8" s="182" t="n"/>
      <c r="G8" s="182" t="n"/>
      <c r="H8" s="183" t="n"/>
      <c r="I8" s="169" t="n"/>
      <c r="J8" s="169" t="n"/>
      <c r="K8" s="182" t="n"/>
      <c r="L8" s="182" t="n"/>
      <c r="M8" s="169" t="n"/>
    </row>
    <row r="9" ht="13" customHeight="1" thickBot="1"/>
    <row r="10" ht="13.5" customHeight="1">
      <c r="B10" s="1174" t="inlineStr">
        <is>
          <t>Business</t>
        </is>
      </c>
      <c r="C10" s="1174" t="inlineStr">
        <is>
          <t>Initially defined</t>
        </is>
      </c>
      <c r="D10" s="1175" t="inlineStr">
        <is>
          <t>Additional added</t>
        </is>
      </c>
      <c r="E10" s="1176" t="n"/>
      <c r="F10" s="1177" t="n"/>
      <c r="G10" s="1175" t="inlineStr">
        <is>
          <t>Additional added</t>
        </is>
      </c>
      <c r="H10" s="1176" t="n"/>
      <c r="I10" s="1177" t="n"/>
      <c r="J10" s="1175" t="inlineStr">
        <is>
          <t>Additional added</t>
        </is>
      </c>
      <c r="K10" s="1176" t="n"/>
      <c r="L10" s="1177" t="n"/>
      <c r="M10" s="1174" t="inlineStr">
        <is>
          <t>Total</t>
        </is>
      </c>
    </row>
    <row r="11" ht="14.5" customHeight="1" thickBot="1">
      <c r="A11" t="inlineStr">
        <is>
          <t>FY21</t>
        </is>
      </c>
      <c r="B11" s="1178" t="n"/>
      <c r="C11" s="1178" t="n"/>
      <c r="D11" s="1179" t="n">
        <v>44166</v>
      </c>
      <c r="E11" s="1180" t="n"/>
      <c r="F11" s="1181" t="n"/>
      <c r="G11" s="1179" t="n">
        <v>44358</v>
      </c>
      <c r="H11" s="1180" t="n"/>
      <c r="I11" s="1181" t="n"/>
      <c r="J11" s="1179" t="n">
        <v>44448</v>
      </c>
      <c r="K11" s="1180" t="n"/>
      <c r="L11" s="1181" t="n"/>
      <c r="M11" s="1178" t="n"/>
    </row>
    <row r="12" ht="14.5" customHeight="1" thickBot="1">
      <c r="A12" t="inlineStr">
        <is>
          <t>First year</t>
        </is>
      </c>
      <c r="B12" s="853" t="inlineStr">
        <is>
          <t>SAG</t>
        </is>
      </c>
      <c r="C12" s="81" t="n">
        <v>25</v>
      </c>
      <c r="D12" s="1174" t="n">
        <v>40</v>
      </c>
      <c r="E12" s="81" t="inlineStr">
        <is>
          <t>SAG</t>
        </is>
      </c>
      <c r="F12" s="81" t="n">
        <v>24</v>
      </c>
      <c r="G12" s="1174" t="n">
        <v>14</v>
      </c>
      <c r="H12" s="81" t="inlineStr">
        <is>
          <t>SAG</t>
        </is>
      </c>
      <c r="I12" s="81" t="n">
        <v>10</v>
      </c>
      <c r="J12" s="1174" t="n">
        <v>10</v>
      </c>
      <c r="K12" s="81" t="inlineStr">
        <is>
          <t>SAG</t>
        </is>
      </c>
      <c r="L12" s="81" t="n">
        <v>10</v>
      </c>
      <c r="M12" s="81" t="n">
        <v>69</v>
      </c>
    </row>
    <row r="13" ht="14.5" customHeight="1" thickBot="1">
      <c r="B13" s="853" t="inlineStr">
        <is>
          <t>SHS</t>
        </is>
      </c>
      <c r="C13" s="81" t="n">
        <v>0</v>
      </c>
      <c r="D13" s="1178" t="n"/>
      <c r="E13" s="81" t="inlineStr">
        <is>
          <t>SHS</t>
        </is>
      </c>
      <c r="F13" s="81" t="n">
        <v>16</v>
      </c>
      <c r="G13" s="1178" t="n"/>
      <c r="H13" s="81" t="inlineStr">
        <is>
          <t>SHS</t>
        </is>
      </c>
      <c r="I13" s="81" t="n">
        <v>4</v>
      </c>
      <c r="J13" s="1178" t="n"/>
      <c r="K13" s="81" t="inlineStr">
        <is>
          <t>SHS</t>
        </is>
      </c>
      <c r="L13" s="81" t="n">
        <v>0</v>
      </c>
      <c r="M13" s="81" t="n">
        <v>20</v>
      </c>
    </row>
    <row r="14" ht="14.5" customHeight="1" thickBot="1">
      <c r="B14" s="853" t="inlineStr">
        <is>
          <t>SE</t>
        </is>
      </c>
      <c r="C14" s="81" t="n">
        <v>5</v>
      </c>
      <c r="D14" s="81" t="n">
        <v>0</v>
      </c>
      <c r="E14" s="81" t="inlineStr">
        <is>
          <t>SE</t>
        </is>
      </c>
      <c r="F14" s="81" t="n">
        <v>0</v>
      </c>
      <c r="G14" s="81" t="n">
        <v>0</v>
      </c>
      <c r="H14" s="81" t="inlineStr">
        <is>
          <t>SE</t>
        </is>
      </c>
      <c r="I14" s="81" t="n">
        <v>0</v>
      </c>
      <c r="J14" s="81" t="n">
        <v>0</v>
      </c>
      <c r="K14" s="81" t="inlineStr">
        <is>
          <t>SE</t>
        </is>
      </c>
      <c r="L14" s="81" t="n">
        <v>0</v>
      </c>
      <c r="M14" s="81" t="n">
        <v>5</v>
      </c>
    </row>
    <row r="15" ht="14.5" customHeight="1" thickBot="1">
      <c r="B15" s="853" t="inlineStr">
        <is>
          <t>Total</t>
        </is>
      </c>
      <c r="C15" s="184" t="n">
        <v>30</v>
      </c>
      <c r="D15" s="184" t="n">
        <v>40</v>
      </c>
      <c r="E15" s="82" t="n"/>
      <c r="F15" s="82" t="n"/>
      <c r="G15" s="184" t="n">
        <v>14</v>
      </c>
      <c r="H15" s="82" t="n"/>
      <c r="I15" s="82" t="n"/>
      <c r="J15" s="184" t="n">
        <v>10</v>
      </c>
      <c r="K15" s="82" t="n"/>
      <c r="L15" s="82" t="n"/>
      <c r="M15" s="82" t="n"/>
    </row>
    <row r="16" ht="14.5" customHeight="1" thickBot="1">
      <c r="B16" s="853" t="inlineStr">
        <is>
          <t>Ground Total</t>
        </is>
      </c>
      <c r="C16" s="82" t="n"/>
      <c r="D16" s="82" t="n"/>
      <c r="E16" s="82" t="n"/>
      <c r="F16" s="82" t="n"/>
      <c r="G16" s="82" t="n"/>
      <c r="H16" s="82" t="n"/>
      <c r="I16" s="82" t="n"/>
      <c r="J16" s="82" t="n"/>
      <c r="K16" s="82" t="n"/>
      <c r="L16" s="82" t="n"/>
      <c r="M16" s="81" t="n">
        <v>94</v>
      </c>
    </row>
    <row r="19" ht="13" customHeight="1" thickBot="1"/>
    <row r="20" ht="13.5" customHeight="1">
      <c r="B20" s="1174" t="inlineStr">
        <is>
          <t>Business</t>
        </is>
      </c>
      <c r="C20" s="1174" t="inlineStr">
        <is>
          <t>Initially defined</t>
        </is>
      </c>
      <c r="D20" s="1175" t="inlineStr">
        <is>
          <t>Prolongation</t>
        </is>
      </c>
      <c r="E20" s="1176" t="n"/>
      <c r="F20" s="1177" t="n"/>
      <c r="G20" s="1175" t="inlineStr">
        <is>
          <t>Additional  Required</t>
        </is>
      </c>
      <c r="H20" s="1176" t="n"/>
      <c r="I20" s="1177" t="n"/>
      <c r="J20" s="1175" t="inlineStr">
        <is>
          <t>Prolongation</t>
        </is>
      </c>
      <c r="K20" s="1176" t="n"/>
      <c r="L20" s="1177" t="n"/>
      <c r="M20" s="1175" t="inlineStr">
        <is>
          <t xml:space="preserve">Prolongation </t>
        </is>
      </c>
      <c r="N20" s="1176" t="n"/>
      <c r="O20" s="1177" t="n"/>
      <c r="P20" s="852" t="inlineStr">
        <is>
          <t>Total</t>
        </is>
      </c>
    </row>
    <row r="21" ht="14.5" customHeight="1" thickBot="1">
      <c r="A21" t="inlineStr">
        <is>
          <t>FY22</t>
        </is>
      </c>
      <c r="B21" s="1178" t="n"/>
      <c r="C21" s="1178" t="n"/>
      <c r="D21" s="1179" t="n">
        <v>44531</v>
      </c>
      <c r="E21" s="1180" t="n"/>
      <c r="F21" s="1181" t="n"/>
      <c r="G21" s="1179" t="n">
        <v>44692</v>
      </c>
      <c r="H21" s="1180" t="n"/>
      <c r="I21" s="1181" t="n"/>
      <c r="J21" s="1179" t="n">
        <v>44723</v>
      </c>
      <c r="K21" s="1180" t="n"/>
      <c r="L21" s="1181" t="n"/>
      <c r="M21" s="1179" t="n">
        <v>44813</v>
      </c>
      <c r="N21" s="1180" t="n"/>
      <c r="O21" s="1181" t="n"/>
      <c r="P21" s="853" t="n"/>
    </row>
    <row r="22" ht="14.5" customHeight="1" thickBot="1">
      <c r="A22" t="inlineStr">
        <is>
          <t>Second year</t>
        </is>
      </c>
      <c r="B22" s="853" t="inlineStr">
        <is>
          <t>SAG</t>
        </is>
      </c>
      <c r="C22" s="81" t="n">
        <v>25</v>
      </c>
      <c r="D22" s="1174" t="n">
        <v>40</v>
      </c>
      <c r="E22" s="81" t="inlineStr">
        <is>
          <t>SAG</t>
        </is>
      </c>
      <c r="F22" s="81" t="n">
        <v>24</v>
      </c>
      <c r="G22" s="852" t="n">
        <v>6</v>
      </c>
      <c r="H22" s="81" t="inlineStr">
        <is>
          <t>SAG</t>
        </is>
      </c>
      <c r="I22" s="81" t="n">
        <v>6</v>
      </c>
      <c r="J22" s="1174" t="n">
        <v>14</v>
      </c>
      <c r="K22" s="81" t="inlineStr">
        <is>
          <t>SAG</t>
        </is>
      </c>
      <c r="L22" s="81" t="n">
        <v>10</v>
      </c>
      <c r="M22" s="852" t="n">
        <v>10</v>
      </c>
      <c r="N22" s="81" t="inlineStr">
        <is>
          <t>SAG</t>
        </is>
      </c>
      <c r="O22" s="81" t="n">
        <v>10</v>
      </c>
      <c r="P22" s="81" t="n">
        <v>75</v>
      </c>
    </row>
    <row r="23" ht="14.5" customHeight="1" thickBot="1">
      <c r="B23" s="853" t="inlineStr">
        <is>
          <t>SHS</t>
        </is>
      </c>
      <c r="C23" s="81" t="n">
        <v>0</v>
      </c>
      <c r="D23" s="1178" t="n"/>
      <c r="E23" s="81" t="inlineStr">
        <is>
          <t>SHS</t>
        </is>
      </c>
      <c r="F23" s="81" t="n">
        <v>16</v>
      </c>
      <c r="G23" s="853" t="n"/>
      <c r="H23" s="81" t="inlineStr">
        <is>
          <t>SHS</t>
        </is>
      </c>
      <c r="I23" s="81" t="n">
        <v>0</v>
      </c>
      <c r="J23" s="1178" t="n"/>
      <c r="K23" s="81" t="inlineStr">
        <is>
          <t>SHS</t>
        </is>
      </c>
      <c r="L23" s="81" t="n">
        <v>4</v>
      </c>
      <c r="M23" s="853" t="n"/>
      <c r="N23" s="81" t="inlineStr">
        <is>
          <t>SHS</t>
        </is>
      </c>
      <c r="O23" s="81" t="n">
        <v>0</v>
      </c>
      <c r="P23" s="81" t="n">
        <v>20</v>
      </c>
    </row>
    <row r="24" ht="14.5" customHeight="1" thickBot="1">
      <c r="B24" s="853" t="inlineStr">
        <is>
          <t>SE</t>
        </is>
      </c>
      <c r="C24" s="81" t="n">
        <v>5</v>
      </c>
      <c r="D24" s="81" t="n">
        <v>0</v>
      </c>
      <c r="E24" s="81" t="inlineStr">
        <is>
          <t>SE</t>
        </is>
      </c>
      <c r="F24" s="81" t="n">
        <v>0</v>
      </c>
      <c r="G24" s="81" t="n">
        <v>0</v>
      </c>
      <c r="H24" s="81" t="inlineStr">
        <is>
          <t>SE</t>
        </is>
      </c>
      <c r="I24" s="81" t="n">
        <v>0</v>
      </c>
      <c r="J24" s="81" t="n">
        <v>0</v>
      </c>
      <c r="K24" s="81" t="inlineStr">
        <is>
          <t>SE</t>
        </is>
      </c>
      <c r="L24" s="81" t="n">
        <v>0</v>
      </c>
      <c r="M24" s="81" t="n">
        <v>0</v>
      </c>
      <c r="N24" s="81" t="inlineStr">
        <is>
          <t>SE</t>
        </is>
      </c>
      <c r="O24" s="81" t="n">
        <v>0</v>
      </c>
      <c r="P24" s="81" t="n">
        <v>5</v>
      </c>
    </row>
    <row r="25" ht="14.5" customHeight="1" thickBot="1">
      <c r="B25" s="853" t="inlineStr">
        <is>
          <t>Total</t>
        </is>
      </c>
      <c r="C25" s="84" t="n">
        <v>30</v>
      </c>
      <c r="D25" s="84" t="n">
        <v>40</v>
      </c>
      <c r="E25" s="82" t="n"/>
      <c r="F25" s="82" t="n"/>
      <c r="G25" s="84" t="n">
        <v>6</v>
      </c>
      <c r="H25" s="82" t="n"/>
      <c r="I25" s="82" t="n"/>
      <c r="J25" s="84" t="n">
        <v>14</v>
      </c>
      <c r="K25" s="82" t="n"/>
      <c r="L25" s="82" t="n"/>
      <c r="M25" s="84" t="n">
        <v>10</v>
      </c>
      <c r="N25" s="82" t="n"/>
      <c r="O25" s="82" t="n"/>
      <c r="P25" s="82" t="n"/>
    </row>
    <row r="26" ht="14.5" customHeight="1" thickBot="1">
      <c r="B26" s="853" t="inlineStr">
        <is>
          <t>Ground Total</t>
        </is>
      </c>
      <c r="C26" s="82" t="n">
        <v>30</v>
      </c>
      <c r="D26" s="82" t="inlineStr">
        <is>
          <t>39 + 1</t>
        </is>
      </c>
      <c r="E26" s="82" t="n"/>
      <c r="F26" s="82" t="n">
        <v>70</v>
      </c>
      <c r="G26" s="82" t="n"/>
      <c r="H26" s="82" t="n"/>
      <c r="I26" s="82" t="n"/>
      <c r="J26" s="82" t="n"/>
      <c r="K26" s="82" t="n"/>
      <c r="L26" s="82" t="n"/>
      <c r="M26" s="82" t="n"/>
      <c r="N26" s="82" t="n"/>
      <c r="O26" s="82" t="n"/>
      <c r="P26" s="81" t="n">
        <v>100</v>
      </c>
    </row>
    <row r="27" ht="14.5" customHeight="1" thickBot="1">
      <c r="B27" s="145" t="inlineStr">
        <is>
          <t>EUR</t>
        </is>
      </c>
      <c r="C27" s="1182" t="n">
        <v>19347</v>
      </c>
      <c r="D27" s="1182" t="n">
        <v>22357</v>
      </c>
      <c r="E27" s="144" t="n"/>
      <c r="F27" s="1182" t="n">
        <v>41704</v>
      </c>
      <c r="G27" s="141" t="n"/>
      <c r="H27" s="141" t="n"/>
      <c r="I27" s="1183" t="inlineStr">
        <is>
          <t>19 +  1</t>
        </is>
      </c>
      <c r="J27" s="1184" t="n"/>
      <c r="K27" s="141" t="n"/>
      <c r="L27" s="1182" t="n">
        <v>8572</v>
      </c>
      <c r="M27" s="141" t="n"/>
      <c r="N27" s="141" t="n">
        <v>10</v>
      </c>
      <c r="O27" s="1182" t="n">
        <v>4300</v>
      </c>
      <c r="P27" s="139" t="n"/>
    </row>
    <row r="29" ht="13" customHeight="1" thickBot="1"/>
    <row r="30" ht="13.5" customHeight="1">
      <c r="B30" s="1174" t="inlineStr">
        <is>
          <t>Business</t>
        </is>
      </c>
      <c r="C30" s="1174" t="inlineStr">
        <is>
          <t>Initially defined</t>
        </is>
      </c>
      <c r="D30" s="1175" t="inlineStr">
        <is>
          <t>Prolongation</t>
        </is>
      </c>
      <c r="E30" s="1176" t="n"/>
      <c r="F30" s="1177" t="n"/>
      <c r="G30" s="1175" t="inlineStr">
        <is>
          <t>Prolongation</t>
        </is>
      </c>
      <c r="H30" s="1176" t="n"/>
      <c r="I30" s="1177" t="n"/>
      <c r="J30" s="1175" t="inlineStr">
        <is>
          <t>Prolongation</t>
        </is>
      </c>
      <c r="K30" s="1176" t="n"/>
      <c r="L30" s="1177" t="n"/>
      <c r="M30" s="1175" t="inlineStr">
        <is>
          <t xml:space="preserve">Prolongation </t>
        </is>
      </c>
      <c r="N30" s="1176" t="n"/>
      <c r="O30" s="1177" t="n"/>
      <c r="P30" s="852" t="inlineStr">
        <is>
          <t>Total</t>
        </is>
      </c>
    </row>
    <row r="31" ht="14.5" customHeight="1" thickBot="1">
      <c r="A31" t="inlineStr">
        <is>
          <t>FY23</t>
        </is>
      </c>
      <c r="B31" s="1178" t="n"/>
      <c r="C31" s="1178" t="n"/>
      <c r="D31" s="1179" t="n">
        <v>44896</v>
      </c>
      <c r="E31" s="1180" t="n"/>
      <c r="F31" s="1181" t="n"/>
      <c r="G31" s="1179" t="n">
        <v>45057</v>
      </c>
      <c r="H31" s="1180" t="n"/>
      <c r="I31" s="1181" t="n"/>
      <c r="J31" s="1179" t="n">
        <v>45088</v>
      </c>
      <c r="K31" s="1180" t="n"/>
      <c r="L31" s="1181" t="n"/>
      <c r="M31" s="1179" t="n">
        <v>45178</v>
      </c>
      <c r="N31" s="1180" t="n"/>
      <c r="O31" s="1181" t="n"/>
      <c r="P31" s="853" t="n"/>
    </row>
    <row r="32" ht="14.5" customHeight="1" thickBot="1">
      <c r="A32" t="inlineStr">
        <is>
          <t>Third year</t>
        </is>
      </c>
      <c r="B32" s="853" t="inlineStr">
        <is>
          <t>SAG</t>
        </is>
      </c>
      <c r="C32" s="81" t="n">
        <v>25</v>
      </c>
      <c r="D32" s="1174" t="n">
        <v>40</v>
      </c>
      <c r="E32" s="81" t="inlineStr">
        <is>
          <t>SAG</t>
        </is>
      </c>
      <c r="F32" s="81" t="n">
        <v>24</v>
      </c>
      <c r="G32" s="852" t="n">
        <v>6</v>
      </c>
      <c r="H32" s="81" t="inlineStr">
        <is>
          <t>SAG</t>
        </is>
      </c>
      <c r="I32" s="81" t="n">
        <v>6</v>
      </c>
      <c r="J32" s="1174" t="n">
        <v>14</v>
      </c>
      <c r="K32" s="81" t="inlineStr">
        <is>
          <t>SAG</t>
        </is>
      </c>
      <c r="L32" s="81" t="n">
        <v>10</v>
      </c>
      <c r="M32" s="852" t="n">
        <v>10</v>
      </c>
      <c r="N32" s="81" t="inlineStr">
        <is>
          <t>SAG</t>
        </is>
      </c>
      <c r="O32" s="81" t="n">
        <v>10</v>
      </c>
      <c r="P32" s="81" t="n">
        <v>75</v>
      </c>
    </row>
    <row r="33" ht="14.5" customHeight="1" thickBot="1">
      <c r="B33" s="853" t="inlineStr">
        <is>
          <t>SHS</t>
        </is>
      </c>
      <c r="C33" s="81" t="n">
        <v>0</v>
      </c>
      <c r="D33" s="1178" t="n"/>
      <c r="E33" s="81" t="inlineStr">
        <is>
          <t>SHS</t>
        </is>
      </c>
      <c r="F33" s="81" t="n">
        <v>16</v>
      </c>
      <c r="G33" s="853" t="n"/>
      <c r="H33" s="81" t="inlineStr">
        <is>
          <t>SHS</t>
        </is>
      </c>
      <c r="I33" s="81" t="n">
        <v>0</v>
      </c>
      <c r="J33" s="1178" t="n"/>
      <c r="K33" s="81" t="inlineStr">
        <is>
          <t>SHS</t>
        </is>
      </c>
      <c r="L33" s="81" t="n">
        <v>4</v>
      </c>
      <c r="M33" s="853" t="n"/>
      <c r="N33" s="81" t="inlineStr">
        <is>
          <t>SHS</t>
        </is>
      </c>
      <c r="O33" s="81" t="n">
        <v>0</v>
      </c>
      <c r="P33" s="81" t="n">
        <v>20</v>
      </c>
    </row>
    <row r="34" ht="14.5" customHeight="1" thickBot="1">
      <c r="B34" s="853" t="inlineStr">
        <is>
          <t>SE</t>
        </is>
      </c>
      <c r="C34" s="81" t="n">
        <v>0</v>
      </c>
      <c r="D34" s="81" t="n">
        <v>0</v>
      </c>
      <c r="E34" s="81" t="inlineStr">
        <is>
          <t>SE</t>
        </is>
      </c>
      <c r="F34" s="81" t="n">
        <v>0</v>
      </c>
      <c r="G34" s="81" t="n">
        <v>0</v>
      </c>
      <c r="H34" s="81" t="inlineStr">
        <is>
          <t>SE</t>
        </is>
      </c>
      <c r="I34" s="81" t="n">
        <v>0</v>
      </c>
      <c r="J34" s="81" t="n">
        <v>0</v>
      </c>
      <c r="K34" s="81" t="inlineStr">
        <is>
          <t>SE</t>
        </is>
      </c>
      <c r="L34" s="81" t="n">
        <v>0</v>
      </c>
      <c r="M34" s="81" t="n">
        <v>0</v>
      </c>
      <c r="N34" s="81" t="inlineStr">
        <is>
          <t>SE</t>
        </is>
      </c>
      <c r="O34" s="81" t="n">
        <v>0</v>
      </c>
      <c r="P34" s="81" t="n">
        <v>0</v>
      </c>
    </row>
    <row r="35" ht="14.5" customHeight="1" thickBot="1">
      <c r="B35" s="138" t="inlineStr">
        <is>
          <t>Total</t>
        </is>
      </c>
      <c r="C35" s="84" t="n">
        <v>25</v>
      </c>
      <c r="D35" s="84" t="n">
        <v>40</v>
      </c>
      <c r="E35" s="82" t="n"/>
      <c r="F35" s="82" t="n"/>
      <c r="G35" s="84" t="n">
        <v>6</v>
      </c>
      <c r="H35" s="82" t="n"/>
      <c r="I35" s="82" t="n"/>
      <c r="J35" s="84" t="n">
        <v>14</v>
      </c>
      <c r="K35" s="82" t="n"/>
      <c r="L35" s="82" t="n"/>
      <c r="M35" s="185" t="n">
        <v>10</v>
      </c>
      <c r="N35" s="82" t="n"/>
      <c r="O35" s="82" t="n"/>
      <c r="P35" s="82" t="n"/>
    </row>
    <row r="36" ht="14.5" customHeight="1" thickBot="1">
      <c r="B36" s="147" t="inlineStr">
        <is>
          <t>Ground Total</t>
        </is>
      </c>
      <c r="C36" s="140" t="n"/>
      <c r="D36" s="140" t="n"/>
      <c r="E36" s="140" t="n"/>
      <c r="F36" s="84" t="n">
        <v>65</v>
      </c>
      <c r="G36" s="140" t="n"/>
      <c r="H36" s="140" t="n"/>
      <c r="I36" s="143" t="n">
        <v>71</v>
      </c>
      <c r="J36" s="140" t="n"/>
      <c r="K36" s="140" t="n"/>
      <c r="L36" s="143" t="n">
        <v>85</v>
      </c>
      <c r="M36" s="140" t="n"/>
      <c r="N36" s="140" t="n"/>
      <c r="O36" s="143" t="n">
        <v>95</v>
      </c>
      <c r="P36" s="142" t="n">
        <v>95</v>
      </c>
    </row>
    <row r="37" ht="14.25" customHeight="1" thickBot="1">
      <c r="B37" s="145" t="inlineStr">
        <is>
          <t>EUR</t>
        </is>
      </c>
      <c r="C37" s="146" t="n"/>
      <c r="D37" s="141" t="n"/>
      <c r="E37" s="144" t="inlineStr">
        <is>
          <t>39 + 26</t>
        </is>
      </c>
      <c r="F37" s="1182" t="n">
        <v>39124</v>
      </c>
      <c r="G37" s="141" t="n"/>
      <c r="H37" s="141" t="inlineStr">
        <is>
          <t>4 + 2</t>
        </is>
      </c>
      <c r="I37" s="1182" t="n">
        <v>3010</v>
      </c>
      <c r="J37" s="141" t="n"/>
      <c r="K37" s="141" t="n">
        <v>14</v>
      </c>
      <c r="L37" s="1182" t="n">
        <v>6019</v>
      </c>
      <c r="M37" s="141" t="n"/>
      <c r="N37" s="141" t="n">
        <v>10</v>
      </c>
      <c r="O37" s="1182" t="n">
        <v>4300</v>
      </c>
      <c r="P37" s="139" t="n"/>
    </row>
    <row r="40">
      <c r="A40" t="inlineStr">
        <is>
          <t>FY24</t>
        </is>
      </c>
    </row>
    <row r="41" ht="14.25" customHeight="1">
      <c r="A41" t="inlineStr">
        <is>
          <t>4th year</t>
        </is>
      </c>
    </row>
    <row r="42" ht="13" customHeight="1" thickBot="1"/>
    <row r="43" ht="14.25" customHeight="1">
      <c r="B43" s="1174" t="inlineStr">
        <is>
          <t>Business</t>
        </is>
      </c>
      <c r="C43" s="1174" t="inlineStr">
        <is>
          <t>Initially defined</t>
        </is>
      </c>
      <c r="D43" s="1175" t="inlineStr">
        <is>
          <t>Prolongation</t>
        </is>
      </c>
      <c r="E43" s="1176" t="n"/>
      <c r="F43" s="1177" t="n"/>
      <c r="G43" s="852" t="inlineStr">
        <is>
          <t>Total</t>
        </is>
      </c>
    </row>
    <row r="44" ht="14.5" customHeight="1" thickBot="1">
      <c r="B44" s="1178" t="n"/>
      <c r="C44" s="1178" t="n"/>
      <c r="D44" s="1179" t="n">
        <v>45276</v>
      </c>
      <c r="E44" s="1180" t="n"/>
      <c r="F44" s="1181" t="n"/>
      <c r="G44" s="853" t="n"/>
    </row>
    <row r="45" ht="14.5" customHeight="1" thickBot="1">
      <c r="B45" s="853" t="inlineStr">
        <is>
          <t>SAG</t>
        </is>
      </c>
      <c r="C45" s="81" t="n">
        <v>60</v>
      </c>
      <c r="D45" s="1174" t="n"/>
      <c r="E45" s="81" t="inlineStr">
        <is>
          <t>SAG</t>
        </is>
      </c>
      <c r="F45" s="81" t="n">
        <v>60</v>
      </c>
      <c r="G45" s="81" t="n">
        <v>60</v>
      </c>
    </row>
    <row r="46" ht="14.5" customHeight="1" thickBot="1">
      <c r="B46" s="853" t="inlineStr">
        <is>
          <t>SHS</t>
        </is>
      </c>
      <c r="C46" s="81" t="n">
        <v>15</v>
      </c>
      <c r="D46" s="1178" t="n"/>
      <c r="E46" s="81" t="inlineStr">
        <is>
          <t>SHS</t>
        </is>
      </c>
      <c r="F46" s="81" t="n">
        <v>15</v>
      </c>
      <c r="G46" s="81" t="n">
        <v>15</v>
      </c>
    </row>
    <row r="47" ht="14.5" customHeight="1" thickBot="1">
      <c r="B47" s="138" t="inlineStr">
        <is>
          <t>Total</t>
        </is>
      </c>
      <c r="C47" s="84" t="n">
        <v>75</v>
      </c>
      <c r="D47" s="143" t="n"/>
      <c r="E47" s="82" t="n"/>
      <c r="F47" s="81" t="n">
        <v>75</v>
      </c>
      <c r="G47" s="81" t="n">
        <v>75</v>
      </c>
    </row>
    <row r="48" ht="14.5" customHeight="1" thickBot="1">
      <c r="B48" s="145" t="inlineStr">
        <is>
          <t>EUR</t>
        </is>
      </c>
      <c r="C48" s="232" t="n">
        <v>43508</v>
      </c>
      <c r="D48" s="141" t="n"/>
      <c r="E48" s="144" t="n"/>
      <c r="F48" s="1182" t="n"/>
      <c r="G48" s="233" t="n">
        <v>43508</v>
      </c>
    </row>
    <row r="50" ht="13" customHeight="1" thickBot="1"/>
    <row r="51" ht="14.25" customHeight="1">
      <c r="A51" t="inlineStr">
        <is>
          <t>FY25</t>
        </is>
      </c>
      <c r="B51" s="1174" t="inlineStr">
        <is>
          <t>Business</t>
        </is>
      </c>
      <c r="C51" s="1174" t="inlineStr">
        <is>
          <t>Initially defined</t>
        </is>
      </c>
      <c r="D51" s="1175" t="inlineStr">
        <is>
          <t>Prolongation</t>
        </is>
      </c>
      <c r="E51" s="1176" t="n"/>
      <c r="F51" s="1177" t="n"/>
      <c r="G51" s="852" t="inlineStr">
        <is>
          <t>Total</t>
        </is>
      </c>
    </row>
    <row r="52" ht="14.5" customHeight="1" thickBot="1">
      <c r="A52" t="inlineStr">
        <is>
          <t>5th year</t>
        </is>
      </c>
      <c r="B52" s="1178" t="n"/>
      <c r="C52" s="1178" t="n"/>
      <c r="D52" s="1179" t="n">
        <v>45276</v>
      </c>
      <c r="E52" s="1180" t="n"/>
      <c r="F52" s="1181" t="n"/>
      <c r="G52" s="853" t="n"/>
    </row>
    <row r="53" ht="14.5" customHeight="1" thickBot="1">
      <c r="B53" s="853" t="inlineStr">
        <is>
          <t>SAG</t>
        </is>
      </c>
      <c r="C53" s="81" t="n">
        <v>40</v>
      </c>
      <c r="D53" s="1174" t="n"/>
      <c r="E53" s="81" t="inlineStr">
        <is>
          <t>SAG</t>
        </is>
      </c>
      <c r="F53" s="81" t="n">
        <v>40</v>
      </c>
      <c r="G53" s="81" t="n">
        <v>40</v>
      </c>
      <c r="H53" t="inlineStr">
        <is>
          <t>without innomotics</t>
        </is>
      </c>
    </row>
    <row r="54" ht="14.5" customHeight="1" thickBot="1">
      <c r="B54" s="853" t="inlineStr">
        <is>
          <t>SHS</t>
        </is>
      </c>
      <c r="C54" s="81" t="n">
        <v>15</v>
      </c>
      <c r="D54" s="1178" t="n"/>
      <c r="E54" s="81" t="inlineStr">
        <is>
          <t>SHS</t>
        </is>
      </c>
      <c r="F54" s="81" t="n">
        <v>15</v>
      </c>
      <c r="G54" s="81" t="n">
        <v>15</v>
      </c>
    </row>
    <row r="55" ht="14.5" customHeight="1" thickBot="1">
      <c r="B55" s="138" t="inlineStr">
        <is>
          <t>Total</t>
        </is>
      </c>
      <c r="C55" s="84" t="n">
        <v>55</v>
      </c>
      <c r="D55" s="143" t="n"/>
      <c r="E55" s="82" t="n"/>
      <c r="F55" s="81" t="n">
        <v>55</v>
      </c>
      <c r="G55" s="81" t="n">
        <v>55</v>
      </c>
    </row>
    <row r="56" ht="14.5" customHeight="1" thickBot="1">
      <c r="B56" s="145" t="inlineStr">
        <is>
          <t>EUR</t>
        </is>
      </c>
      <c r="C56" s="232" t="n">
        <v>43508</v>
      </c>
      <c r="D56" s="141" t="n"/>
      <c r="E56" s="144" t="n"/>
      <c r="F56" s="1182" t="n"/>
      <c r="G56" s="233" t="n">
        <v>43508</v>
      </c>
    </row>
    <row r="65">
      <c r="Q65" s="167" t="n"/>
    </row>
    <row r="95">
      <c r="P95" s="161" t="n"/>
    </row>
  </sheetData>
  <mergeCells count="54">
    <mergeCell ref="C30:C31"/>
    <mergeCell ref="D11:F11"/>
    <mergeCell ref="G10:I10"/>
    <mergeCell ref="B43:B44"/>
    <mergeCell ref="C20:C21"/>
    <mergeCell ref="M3:M7"/>
    <mergeCell ref="B3:B6"/>
    <mergeCell ref="M31:O31"/>
    <mergeCell ref="I27:J27"/>
    <mergeCell ref="J20:L20"/>
    <mergeCell ref="C10:C11"/>
    <mergeCell ref="G30:I30"/>
    <mergeCell ref="M30:O30"/>
    <mergeCell ref="D43:F43"/>
    <mergeCell ref="D45:D46"/>
    <mergeCell ref="M21:O21"/>
    <mergeCell ref="J11:L11"/>
    <mergeCell ref="M10:M11"/>
    <mergeCell ref="D32:D33"/>
    <mergeCell ref="F3:F6"/>
    <mergeCell ref="J31:L31"/>
    <mergeCell ref="A3:A6"/>
    <mergeCell ref="G20:I20"/>
    <mergeCell ref="D12:D13"/>
    <mergeCell ref="B10:B11"/>
    <mergeCell ref="D30:F30"/>
    <mergeCell ref="J21:L21"/>
    <mergeCell ref="J32:J33"/>
    <mergeCell ref="D51:F51"/>
    <mergeCell ref="D53:D54"/>
    <mergeCell ref="C43:C44"/>
    <mergeCell ref="C51:C52"/>
    <mergeCell ref="G31:I31"/>
    <mergeCell ref="J12:J13"/>
    <mergeCell ref="D3:D6"/>
    <mergeCell ref="D44:F44"/>
    <mergeCell ref="J22:J23"/>
    <mergeCell ref="B20:B21"/>
    <mergeCell ref="D20:F20"/>
    <mergeCell ref="G21:I21"/>
    <mergeCell ref="B30:B31"/>
    <mergeCell ref="G11:I11"/>
    <mergeCell ref="D10:F10"/>
    <mergeCell ref="B51:B52"/>
    <mergeCell ref="J10:L10"/>
    <mergeCell ref="D31:F31"/>
    <mergeCell ref="G12:G13"/>
    <mergeCell ref="C3:C6"/>
    <mergeCell ref="E3:E6"/>
    <mergeCell ref="D52:F52"/>
    <mergeCell ref="D21:F21"/>
    <mergeCell ref="M20:O20"/>
    <mergeCell ref="J30:L30"/>
    <mergeCell ref="D22:D23"/>
  </mergeCells>
  <pageMargins left="0.7" right="0.7" top="0.787401575" bottom="0.787401575" header="0.3" footer="0.3"/>
  <pageSetup orientation="portrait"/>
</worksheet>
</file>

<file path=xl/worksheets/sheet18.xml><?xml version="1.0" encoding="utf-8"?>
<worksheet xmlns="http://schemas.openxmlformats.org/spreadsheetml/2006/main">
  <sheetPr>
    <tabColor rgb="FF92D050"/>
    <outlinePr summaryBelow="1" summaryRight="1"/>
    <pageSetUpPr/>
  </sheetPr>
  <dimension ref="A1:AC94"/>
  <sheetViews>
    <sheetView zoomScale="85" zoomScaleNormal="85" workbookViewId="0">
      <pane xSplit="1" ySplit="1" topLeftCell="G4" activePane="bottomRight" state="frozen"/>
      <selection pane="topRight" activeCell="S52" sqref="S52"/>
      <selection pane="bottomLeft" activeCell="S52" sqref="S52"/>
      <selection pane="bottomRight" activeCell="O44" sqref="O44"/>
    </sheetView>
  </sheetViews>
  <sheetFormatPr baseColWidth="8" defaultColWidth="11.453125" defaultRowHeight="12.5"/>
  <cols>
    <col width="65.54296875" customWidth="1" min="1" max="1"/>
    <col hidden="1" outlineLevel="1" width="19.453125" customWidth="1" style="30" min="2" max="2"/>
    <col hidden="1" outlineLevel="1" width="44.08984375" customWidth="1" min="3" max="3"/>
    <col hidden="1" outlineLevel="1" width="11.90625" customWidth="1" style="30" min="4" max="4"/>
    <col hidden="1" outlineLevel="1" width="14.36328125" customWidth="1" style="30" min="5" max="5"/>
    <col hidden="1" outlineLevel="1" width="6.54296875" customWidth="1" min="6" max="6"/>
    <col collapsed="1" width="14.54296875" customWidth="1" min="7" max="7"/>
    <col width="11.6328125" bestFit="1" customWidth="1" min="8" max="10"/>
    <col width="12.54296875" customWidth="1" min="11" max="11"/>
    <col width="11.6328125" bestFit="1" customWidth="1" min="12" max="12"/>
    <col width="11.453125" customWidth="1" min="13" max="13"/>
    <col width="11.6328125" bestFit="1" customWidth="1" min="14" max="18"/>
    <col width="17.90625" customWidth="1" min="19" max="19"/>
    <col hidden="1" width="19.36328125" customWidth="1" min="20" max="20"/>
    <col hidden="1" width="14.90625" customWidth="1" min="21" max="21"/>
    <col width="14.90625" customWidth="1" min="22" max="23"/>
    <col width="16" customWidth="1" min="24" max="25"/>
    <col width="37.6328125" customWidth="1" min="26" max="26"/>
    <col width="17" customWidth="1" min="27" max="27"/>
  </cols>
  <sheetData>
    <row r="1" ht="42" customFormat="1" customHeight="1" s="14">
      <c r="A1" s="20" t="inlineStr">
        <is>
          <t>FY23 - Status 09.02.2023</t>
        </is>
      </c>
      <c r="B1" s="11" t="inlineStr">
        <is>
          <t>Company</t>
        </is>
      </c>
      <c r="C1" s="20" t="inlineStr">
        <is>
          <t>Responsibilty / Tasks</t>
        </is>
      </c>
      <c r="D1" s="11" t="inlineStr">
        <is>
          <t>Hourly costs</t>
        </is>
      </c>
      <c r="E1" s="11" t="inlineStr">
        <is>
          <t>Hours per year</t>
        </is>
      </c>
      <c r="F1" s="11" t="inlineStr">
        <is>
          <t>% in Service</t>
        </is>
      </c>
      <c r="G1" s="12" t="n">
        <v>44835</v>
      </c>
      <c r="H1" s="12" t="n">
        <v>44866</v>
      </c>
      <c r="I1" s="12" t="n">
        <v>44896</v>
      </c>
      <c r="J1" s="12" t="n">
        <v>44927</v>
      </c>
      <c r="K1" s="12" t="n">
        <v>44958</v>
      </c>
      <c r="L1" s="12" t="n">
        <v>44986</v>
      </c>
      <c r="M1" s="12" t="n">
        <v>45017</v>
      </c>
      <c r="N1" s="12" t="n">
        <v>45047</v>
      </c>
      <c r="O1" s="12" t="n">
        <v>45078</v>
      </c>
      <c r="P1" s="12" t="n">
        <v>45108</v>
      </c>
      <c r="Q1" s="12" t="n">
        <v>45139</v>
      </c>
      <c r="R1" s="12" t="n">
        <v>45170</v>
      </c>
      <c r="S1" s="13" t="inlineStr">
        <is>
          <t>FC TA/ TM Service
FY23</t>
        </is>
      </c>
      <c r="T1" s="43" t="inlineStr">
        <is>
          <t>Reporting to Steffi Biegel, 09.03.2022</t>
        </is>
      </c>
      <c r="U1" s="77" t="inlineStr">
        <is>
          <t>Reporting to Steffi Biegel, 07.07.2022</t>
        </is>
      </c>
      <c r="V1" s="77" t="inlineStr">
        <is>
          <t>GBS H2R DPS Profit
in EURO</t>
        </is>
      </c>
      <c r="W1" s="77" t="inlineStr">
        <is>
          <t>GBS H2R DPS Profit
in %</t>
        </is>
      </c>
      <c r="X1" s="77" t="inlineStr">
        <is>
          <t>Reporting to Steffi Biegel, 07.11.2022</t>
        </is>
      </c>
      <c r="Y1" s="77" t="inlineStr">
        <is>
          <t>Reporting to Steffi Biegel, 06.03.2023</t>
        </is>
      </c>
      <c r="Z1" s="70" t="inlineStr">
        <is>
          <t>Comment</t>
        </is>
      </c>
      <c r="AA1" t="inlineStr">
        <is>
          <t>Cost Forecast</t>
        </is>
      </c>
    </row>
    <row r="2" ht="15" customHeight="1">
      <c r="A2" s="33" t="inlineStr">
        <is>
          <t>1st Level Support</t>
        </is>
      </c>
      <c r="B2" s="30" t="inlineStr">
        <is>
          <t>GBS</t>
        </is>
      </c>
      <c r="D2" s="1185" t="n"/>
      <c r="E2" s="1186" t="n"/>
      <c r="F2" s="25" t="n"/>
      <c r="G2" s="892">
        <f>216000/12</f>
        <v/>
      </c>
      <c r="H2" s="895">
        <f>216000/12</f>
        <v/>
      </c>
      <c r="I2" s="895">
        <f>216000/12</f>
        <v/>
      </c>
      <c r="J2" s="895">
        <f>216000/12</f>
        <v/>
      </c>
      <c r="K2" s="895">
        <f>216000/12</f>
        <v/>
      </c>
      <c r="L2" s="895">
        <f>216000/12</f>
        <v/>
      </c>
      <c r="M2" s="895">
        <f>216000/12</f>
        <v/>
      </c>
      <c r="N2" s="895">
        <f>216000/12</f>
        <v/>
      </c>
      <c r="O2" s="895">
        <f>216000/12</f>
        <v/>
      </c>
      <c r="P2" s="895">
        <f>216000/12</f>
        <v/>
      </c>
      <c r="Q2" s="895">
        <f>216000/12</f>
        <v/>
      </c>
      <c r="R2" s="895">
        <f>216000/12</f>
        <v/>
      </c>
      <c r="S2" s="919">
        <f>SUM(G2:R2)</f>
        <v/>
      </c>
      <c r="T2" s="1187" t="n">
        <v>216000</v>
      </c>
      <c r="U2" s="1188" t="n">
        <v>216000</v>
      </c>
      <c r="V2" s="1188" t="n"/>
      <c r="W2" s="135" t="n"/>
      <c r="X2" s="1188" t="n">
        <v>216000</v>
      </c>
      <c r="Y2" s="1188">
        <f>S2</f>
        <v/>
      </c>
    </row>
    <row r="3" ht="15" customHeight="1">
      <c r="A3" s="74" t="inlineStr">
        <is>
          <t>Addl. 1st Level Support (2 FTE) due to EF Go-Live 1</t>
        </is>
      </c>
      <c r="B3" s="36" t="inlineStr">
        <is>
          <t>GBS</t>
        </is>
      </c>
      <c r="C3" s="5" t="n"/>
      <c r="D3" s="1189" t="n"/>
      <c r="E3" s="1190" t="n"/>
      <c r="F3" s="41" t="n"/>
      <c r="G3" s="921" t="n"/>
      <c r="H3" s="921" t="n"/>
      <c r="I3" s="921" t="n"/>
      <c r="J3" s="921" t="n"/>
      <c r="K3" s="921" t="n"/>
      <c r="L3" s="921">
        <f>50*160*2</f>
        <v/>
      </c>
      <c r="M3" s="921">
        <f>50*160*2</f>
        <v/>
      </c>
      <c r="N3" s="921">
        <f>50*160*2</f>
        <v/>
      </c>
      <c r="O3" s="921">
        <f>50*160*2</f>
        <v/>
      </c>
      <c r="P3" s="921">
        <f>50*160*2</f>
        <v/>
      </c>
      <c r="Q3" s="921">
        <f>50*160*2</f>
        <v/>
      </c>
      <c r="R3" s="921" t="n"/>
      <c r="S3" s="1191">
        <f>SUM(G3:R3)</f>
        <v/>
      </c>
      <c r="T3" s="1192" t="n"/>
      <c r="U3" s="1192" t="n"/>
      <c r="V3" s="1192" t="n"/>
      <c r="W3" s="129" t="n"/>
      <c r="X3" s="1192" t="n"/>
      <c r="Y3" s="1192">
        <f>S3</f>
        <v/>
      </c>
      <c r="Z3" s="5" t="inlineStr">
        <is>
          <t>Erhöhung mit Renate und Steffi abstimmen</t>
        </is>
      </c>
    </row>
    <row r="4" ht="15" customHeight="1">
      <c r="A4" s="33" t="inlineStr">
        <is>
          <t>Application Support</t>
        </is>
      </c>
      <c r="B4" s="30" t="inlineStr">
        <is>
          <t>GBS</t>
        </is>
      </c>
      <c r="D4" s="1185" t="n"/>
      <c r="E4" s="1186" t="n"/>
      <c r="F4" s="25" t="n"/>
      <c r="G4" s="892">
        <f>130534/12</f>
        <v/>
      </c>
      <c r="H4" s="895">
        <f>130534/12</f>
        <v/>
      </c>
      <c r="I4" s="895">
        <f>130534/12</f>
        <v/>
      </c>
      <c r="J4" s="895">
        <f>130534/12</f>
        <v/>
      </c>
      <c r="K4" s="895">
        <f>130534/12</f>
        <v/>
      </c>
      <c r="L4" s="895">
        <f>130534/12</f>
        <v/>
      </c>
      <c r="M4" s="895">
        <f>130534/12</f>
        <v/>
      </c>
      <c r="N4" s="895">
        <f>130534/12</f>
        <v/>
      </c>
      <c r="O4" s="895">
        <f>130534/12</f>
        <v/>
      </c>
      <c r="P4" s="895">
        <f>130534/12</f>
        <v/>
      </c>
      <c r="Q4" s="895">
        <f>130534/12</f>
        <v/>
      </c>
      <c r="R4" s="895">
        <f>130534/12</f>
        <v/>
      </c>
      <c r="S4" s="919">
        <f>SUM(G4:R4)</f>
        <v/>
      </c>
      <c r="T4" s="1187" t="n">
        <v>130534</v>
      </c>
      <c r="U4" s="1188" t="n">
        <v>130534</v>
      </c>
      <c r="V4" s="1188" t="n"/>
      <c r="W4" s="135" t="n"/>
      <c r="X4" s="1188" t="n">
        <v>130534</v>
      </c>
      <c r="Y4" s="1188">
        <f>S4</f>
        <v/>
      </c>
    </row>
    <row r="5" ht="15" customHeight="1">
      <c r="A5" s="33" t="inlineStr">
        <is>
          <t>CA/US support SE</t>
        </is>
      </c>
      <c r="D5" s="1185" t="n"/>
      <c r="E5" s="1186" t="n"/>
      <c r="F5" s="25" t="n"/>
      <c r="G5" s="892">
        <f>46750/12</f>
        <v/>
      </c>
      <c r="H5" s="895">
        <f>46750/12</f>
        <v/>
      </c>
      <c r="I5" s="895">
        <f>46750/12</f>
        <v/>
      </c>
      <c r="J5" s="895">
        <f>46750/12</f>
        <v/>
      </c>
      <c r="K5" s="895">
        <f>46750/12</f>
        <v/>
      </c>
      <c r="L5" s="895">
        <f>46750/12</f>
        <v/>
      </c>
      <c r="M5" s="895">
        <f>46750/12</f>
        <v/>
      </c>
      <c r="N5" s="895">
        <f>46750/12</f>
        <v/>
      </c>
      <c r="O5" s="895">
        <f>46750/12</f>
        <v/>
      </c>
      <c r="P5" s="895">
        <f>46750/12</f>
        <v/>
      </c>
      <c r="Q5" s="895">
        <f>46750/12</f>
        <v/>
      </c>
      <c r="R5" s="895">
        <f>46750/12</f>
        <v/>
      </c>
      <c r="S5" s="919">
        <f>SUM(G5:R5)</f>
        <v/>
      </c>
      <c r="T5" s="1187" t="n">
        <v>46750.00000000001</v>
      </c>
      <c r="U5" s="1188" t="n">
        <v>46750.00000000001</v>
      </c>
      <c r="V5" s="1188" t="n"/>
      <c r="W5" s="135" t="n"/>
      <c r="X5" s="1188" t="n">
        <v>46750</v>
      </c>
      <c r="Y5" s="1192">
        <f>S5</f>
        <v/>
      </c>
      <c r="Z5" s="5" t="inlineStr">
        <is>
          <t>Mit Renate, Steffi klären, dass Position of 0 reduziert wird</t>
        </is>
      </c>
    </row>
    <row r="6" ht="15" customHeight="1">
      <c r="A6" s="47" t="inlineStr">
        <is>
          <t>Support GBS H2R</t>
        </is>
      </c>
      <c r="B6" s="48" t="n"/>
      <c r="C6" s="47" t="n"/>
      <c r="D6" s="1193" t="n"/>
      <c r="E6" s="1193" t="n"/>
      <c r="F6" s="1194" t="n"/>
      <c r="G6" s="1195">
        <f>SUM(G2:G5)</f>
        <v/>
      </c>
      <c r="H6" s="1195">
        <f>SUM(H2:H5)</f>
        <v/>
      </c>
      <c r="I6" s="1195">
        <f>SUM(I2:I5)</f>
        <v/>
      </c>
      <c r="J6" s="1195">
        <f>SUM(J2:J5)</f>
        <v/>
      </c>
      <c r="K6" s="1195">
        <f>SUM(K2:K5)</f>
        <v/>
      </c>
      <c r="L6" s="1195">
        <f>SUM(L2:L5)</f>
        <v/>
      </c>
      <c r="M6" s="1195">
        <f>SUM(M2:M5)</f>
        <v/>
      </c>
      <c r="N6" s="1195">
        <f>SUM(N2:N5)</f>
        <v/>
      </c>
      <c r="O6" s="1195">
        <f>SUM(O2:O5)</f>
        <v/>
      </c>
      <c r="P6" s="1195">
        <f>SUM(P2:P5)</f>
        <v/>
      </c>
      <c r="Q6" s="1195">
        <f>SUM(Q2:Q5)</f>
        <v/>
      </c>
      <c r="R6" s="1195">
        <f>SUM(R2:R5)</f>
        <v/>
      </c>
      <c r="S6" s="1195">
        <f>SUM(S2:S5)</f>
        <v/>
      </c>
      <c r="T6" s="1196" t="n">
        <v>393284</v>
      </c>
      <c r="U6" s="1197" t="n">
        <v>393284</v>
      </c>
      <c r="V6" s="1197">
        <f>X6-S6</f>
        <v/>
      </c>
      <c r="W6" s="124">
        <f>V6/X6</f>
        <v/>
      </c>
      <c r="X6" s="1197">
        <f>SUM(X2:X5)</f>
        <v/>
      </c>
      <c r="Y6" s="1197">
        <f>SUM(Y2:Y5)</f>
        <v/>
      </c>
    </row>
    <row r="7" ht="15" customFormat="1" customHeight="1" s="5">
      <c r="A7" s="34" t="inlineStr">
        <is>
          <t>Bruno Costa Ferreira (ext)</t>
        </is>
      </c>
      <c r="B7" s="52" t="inlineStr">
        <is>
          <t>GBS O DS BPM IMS</t>
        </is>
      </c>
      <c r="C7" s="26" t="n"/>
      <c r="D7" s="1198" t="n">
        <v>40</v>
      </c>
      <c r="E7" s="1199" t="n">
        <v>1600</v>
      </c>
      <c r="F7" s="29" t="n">
        <v>1</v>
      </c>
      <c r="G7" s="891" t="n">
        <v>6320</v>
      </c>
      <c r="H7" s="891" t="n">
        <v>5700</v>
      </c>
      <c r="I7" s="897" t="n">
        <v>6360</v>
      </c>
      <c r="J7" s="897" t="n">
        <v>6670</v>
      </c>
      <c r="K7" s="895">
        <f>$E$7/12*$D$7*$F7</f>
        <v/>
      </c>
      <c r="L7" s="895">
        <f>$E$7/12*$D$7*$F7</f>
        <v/>
      </c>
      <c r="M7" s="895">
        <f>$E$7/12*$D$7*$F7</f>
        <v/>
      </c>
      <c r="N7" s="895">
        <f>$E$7/12*$D$7*$F7</f>
        <v/>
      </c>
      <c r="O7" s="895">
        <f>$E$7/12*$D$7*$F7</f>
        <v/>
      </c>
      <c r="P7" s="895">
        <f>$E$7/12*$D$7*$F7</f>
        <v/>
      </c>
      <c r="Q7" s="895">
        <f>$E$7/12*$D$7*$F7</f>
        <v/>
      </c>
      <c r="R7" s="895">
        <f>$E$7/12*$D$7*$F7</f>
        <v/>
      </c>
      <c r="S7" s="919">
        <f>SUM(G7:R7)</f>
        <v/>
      </c>
      <c r="T7" s="1187" t="n">
        <v>75200</v>
      </c>
      <c r="U7" s="1188" t="n">
        <v>75200</v>
      </c>
      <c r="V7" s="1188" t="n"/>
      <c r="W7" s="135" t="n"/>
      <c r="X7" s="1188" t="n">
        <v>64000</v>
      </c>
      <c r="Y7" s="1188" t="n">
        <v>64000</v>
      </c>
    </row>
    <row r="8" ht="15" customFormat="1" customHeight="1" s="5">
      <c r="A8" s="34" t="inlineStr">
        <is>
          <t>Paula Matos</t>
        </is>
      </c>
      <c r="B8" s="52" t="inlineStr">
        <is>
          <t>GBS O DS BPM IMS</t>
        </is>
      </c>
      <c r="C8" s="26" t="n"/>
      <c r="D8" s="1198" t="n">
        <v>40</v>
      </c>
      <c r="E8" s="1199" t="n">
        <v>1600</v>
      </c>
      <c r="F8" s="85" t="n">
        <v>1</v>
      </c>
      <c r="G8" s="891" t="n">
        <v>3764</v>
      </c>
      <c r="H8" s="891" t="n">
        <v>4244</v>
      </c>
      <c r="I8" s="897" t="n">
        <v>3390</v>
      </c>
      <c r="J8" s="897" t="n">
        <v>2148</v>
      </c>
      <c r="K8" s="895">
        <f>$E$8/12*$D$8*$F8</f>
        <v/>
      </c>
      <c r="L8" s="895">
        <f>$E$8/12*$D$8*$F8</f>
        <v/>
      </c>
      <c r="M8" s="895">
        <f>$E$8/12*$D$8*$F8</f>
        <v/>
      </c>
      <c r="N8" s="895">
        <f>$E$8/12*$D$8*$F8</f>
        <v/>
      </c>
      <c r="O8" s="895">
        <f>$E$8/12*$D$8*$F8</f>
        <v/>
      </c>
      <c r="P8" s="895">
        <f>$E$8/12*$D$8*$F8</f>
        <v/>
      </c>
      <c r="Q8" s="895">
        <f>$E$8/12*$D$8*$F8</f>
        <v/>
      </c>
      <c r="R8" s="895">
        <f>$E$8/12*$D$8*$F8</f>
        <v/>
      </c>
      <c r="S8" s="919">
        <f>SUM(G8:R8)</f>
        <v/>
      </c>
      <c r="T8" s="1187" t="n">
        <v>75200</v>
      </c>
      <c r="U8" s="1188" t="n">
        <v>75200</v>
      </c>
      <c r="V8" s="1188" t="n"/>
      <c r="W8" s="135" t="n"/>
      <c r="X8" s="1188" t="n">
        <v>64000</v>
      </c>
      <c r="Y8" s="1188" t="n">
        <v>64000</v>
      </c>
      <c r="Z8" s="131" t="inlineStr">
        <is>
          <t>Abstimmung mit Amanda, Claudia und Björn, da Paula nicht 100% auf TA Landscape kontiert</t>
        </is>
      </c>
    </row>
    <row r="9" ht="15" customFormat="1" customHeight="1" s="5">
      <c r="A9" s="34" t="inlineStr">
        <is>
          <t>Douglas Pedreira (ext) - until 17.02.2023</t>
        </is>
      </c>
      <c r="B9" s="52" t="inlineStr">
        <is>
          <t>GBS O DS BPM IMS</t>
        </is>
      </c>
      <c r="C9" s="26" t="n"/>
      <c r="D9" s="1198" t="n">
        <v>42</v>
      </c>
      <c r="E9" s="1199" t="n">
        <v>1600</v>
      </c>
      <c r="F9" s="29" t="n">
        <v>1</v>
      </c>
      <c r="G9" s="891" t="n">
        <v>7014</v>
      </c>
      <c r="H9" s="891" t="n">
        <v>0</v>
      </c>
      <c r="I9" s="897" t="n">
        <v>5712</v>
      </c>
      <c r="J9" s="897" t="n">
        <v>6720</v>
      </c>
      <c r="K9" s="895">
        <f>$E$9/12*$D$9*$F9</f>
        <v/>
      </c>
      <c r="L9" s="895">
        <f>$E$9/12*$D$9*$F9</f>
        <v/>
      </c>
      <c r="M9" s="895">
        <f>$E$9/12*$D$9*$F9</f>
        <v/>
      </c>
      <c r="N9" s="895">
        <f>$E$9/12*$D$9*$F9</f>
        <v/>
      </c>
      <c r="O9" s="895">
        <f>$E$9/12*$D$9*$F9</f>
        <v/>
      </c>
      <c r="P9" s="895">
        <f>$E$9/12*$D$9*$F9</f>
        <v/>
      </c>
      <c r="Q9" s="895">
        <f>$E$9/12*$D$9*$F9</f>
        <v/>
      </c>
      <c r="R9" s="895">
        <f>$E$9/12*$D$9*$F9</f>
        <v/>
      </c>
      <c r="S9" s="919">
        <f>SUM(G9:R9)</f>
        <v/>
      </c>
      <c r="T9" s="1187" t="n">
        <v>75200</v>
      </c>
      <c r="U9" s="1188" t="n">
        <v>75200</v>
      </c>
      <c r="V9" s="1188" t="n"/>
      <c r="W9" s="135" t="n"/>
      <c r="X9" s="1188" t="n">
        <v>67200</v>
      </c>
      <c r="Y9" s="1188" t="n">
        <v>67200</v>
      </c>
      <c r="Z9" s="71" t="n"/>
    </row>
    <row r="10" ht="13" customHeight="1">
      <c r="A10" s="74" t="inlineStr">
        <is>
          <t>addtl. Support (0,5 FTE)</t>
        </is>
      </c>
      <c r="B10" s="36" t="inlineStr">
        <is>
          <t>GBS O DS BPM IMS</t>
        </is>
      </c>
      <c r="C10" s="5" t="n"/>
      <c r="D10" s="1189" t="n">
        <v>42</v>
      </c>
      <c r="E10" s="1190" t="n">
        <v>1600</v>
      </c>
      <c r="F10" s="41" t="n">
        <v>1</v>
      </c>
      <c r="G10" s="921" t="n"/>
      <c r="H10" s="921" t="n"/>
      <c r="I10" s="921" t="n"/>
      <c r="J10" s="921" t="n"/>
      <c r="K10" s="921" t="n"/>
      <c r="L10" s="921" t="n"/>
      <c r="M10" s="921">
        <f>$E$9/12*$D$9*$F10</f>
        <v/>
      </c>
      <c r="N10" s="921">
        <f>$E$9/12*$D$9*$F10</f>
        <v/>
      </c>
      <c r="O10" s="921">
        <f>$E$9/12*$D$9*$F10</f>
        <v/>
      </c>
      <c r="P10" s="921">
        <f>$E$9/12*$D$9*$F10</f>
        <v/>
      </c>
      <c r="Q10" s="921">
        <f>$E$9/12*$D$9*$F10</f>
        <v/>
      </c>
      <c r="R10" s="921">
        <f>$E$9/12*$D$9*$F10</f>
        <v/>
      </c>
      <c r="S10" s="1191">
        <f>SUM(G10:R10)</f>
        <v/>
      </c>
      <c r="T10" s="1187" t="n">
        <v>75200</v>
      </c>
      <c r="U10" s="1188" t="n">
        <v>75200</v>
      </c>
      <c r="V10" s="1188" t="n"/>
      <c r="W10" s="135" t="n"/>
      <c r="X10" s="1188" t="n">
        <v>33600</v>
      </c>
      <c r="Y10" s="1188" t="n">
        <v>33600</v>
      </c>
    </row>
    <row r="11" ht="15" customFormat="1" customHeight="1" s="5">
      <c r="A11" s="33" t="inlineStr">
        <is>
          <t>Others</t>
        </is>
      </c>
      <c r="B11" s="30" t="inlineStr">
        <is>
          <t>GBS H2R DPS C05</t>
        </is>
      </c>
      <c r="D11" s="1189" t="n"/>
      <c r="E11" s="1190" t="n"/>
      <c r="F11" s="41" t="n"/>
      <c r="G11" s="895" t="n"/>
      <c r="H11" s="895" t="n"/>
      <c r="I11" s="895" t="n"/>
      <c r="J11" s="897" t="n">
        <v>730.75</v>
      </c>
      <c r="K11" s="895" t="n"/>
      <c r="L11" s="895" t="n"/>
      <c r="M11" s="895" t="n"/>
      <c r="N11" s="895" t="n"/>
      <c r="O11" s="895" t="n"/>
      <c r="P11" s="895" t="n"/>
      <c r="Q11" s="895" t="n"/>
      <c r="R11" s="895" t="n"/>
      <c r="S11" s="919">
        <f>SUM(G11:R11)</f>
        <v/>
      </c>
      <c r="T11" s="1187" t="n">
        <v>0</v>
      </c>
      <c r="U11" s="1188" t="n">
        <v>0</v>
      </c>
      <c r="V11" s="1188" t="n"/>
      <c r="W11" s="135" t="n"/>
      <c r="X11" s="1188" t="n"/>
      <c r="Y11" s="1188" t="n"/>
      <c r="Z11" s="71" t="n"/>
    </row>
    <row r="12" ht="15" customHeight="1">
      <c r="A12" s="6" t="inlineStr">
        <is>
          <t>2nd Level Support</t>
        </is>
      </c>
      <c r="B12" s="35" t="n"/>
      <c r="C12" s="6" t="n"/>
      <c r="D12" s="1200" t="n"/>
      <c r="E12" s="1200" t="n"/>
      <c r="F12" s="1201" t="n"/>
      <c r="G12" s="907">
        <f>SUM(G7:G11)</f>
        <v/>
      </c>
      <c r="H12" s="907">
        <f>SUM(H7:H11)</f>
        <v/>
      </c>
      <c r="I12" s="907">
        <f>SUM(I7:I11)</f>
        <v/>
      </c>
      <c r="J12" s="907">
        <f>SUM(J7:J11)</f>
        <v/>
      </c>
      <c r="K12" s="900">
        <f>SUM(K7:K11)</f>
        <v/>
      </c>
      <c r="L12" s="900">
        <f>SUM(L7:L11)</f>
        <v/>
      </c>
      <c r="M12" s="900">
        <f>SUM(M7:M11)</f>
        <v/>
      </c>
      <c r="N12" s="900">
        <f>SUM(N7:N11)</f>
        <v/>
      </c>
      <c r="O12" s="900">
        <f>SUM(O7:O11)</f>
        <v/>
      </c>
      <c r="P12" s="900">
        <f>SUM(P7:P11)</f>
        <v/>
      </c>
      <c r="Q12" s="900">
        <f>SUM(Q7:Q11)</f>
        <v/>
      </c>
      <c r="R12" s="900">
        <f>SUM(R7:R11)</f>
        <v/>
      </c>
      <c r="S12" s="900">
        <f>SUM(S7:S11)</f>
        <v/>
      </c>
      <c r="T12" s="1196" t="n">
        <v>225600</v>
      </c>
      <c r="U12" s="1197" t="n">
        <v>225600</v>
      </c>
      <c r="V12" s="1197">
        <f>X12-S12</f>
        <v/>
      </c>
      <c r="W12" s="124">
        <f>V12/S12</f>
        <v/>
      </c>
      <c r="X12" s="1197">
        <f>SUM(X7:X9)*1.05+X10-560</f>
        <v/>
      </c>
      <c r="Y12" s="1197">
        <f>SUM(Y7:Y9)*1.05+Y10-560</f>
        <v/>
      </c>
      <c r="Z12" s="71">
        <f>V12/S12</f>
        <v/>
      </c>
    </row>
    <row r="13" ht="15" customHeight="1">
      <c r="A13" s="6" t="n"/>
      <c r="B13" s="35" t="n"/>
      <c r="C13" s="6" t="n"/>
      <c r="D13" s="1200" t="n"/>
      <c r="E13" s="1200" t="n"/>
      <c r="F13" s="1201" t="n"/>
      <c r="G13" s="900" t="n"/>
      <c r="H13" s="900" t="n"/>
      <c r="I13" s="900" t="n"/>
      <c r="J13" s="900" t="n"/>
      <c r="K13" s="900" t="n"/>
      <c r="L13" s="900" t="n"/>
      <c r="M13" s="900" t="n"/>
      <c r="N13" s="900" t="n"/>
      <c r="O13" s="900" t="n"/>
      <c r="P13" s="900" t="n"/>
      <c r="Q13" s="900" t="n"/>
      <c r="R13" s="900" t="n"/>
      <c r="S13" s="1202">
        <f>SUM(S7:S11)</f>
        <v/>
      </c>
      <c r="T13" s="1203" t="n"/>
      <c r="U13" s="1204" t="n"/>
      <c r="V13" s="1204">
        <f>S13*W13</f>
        <v/>
      </c>
      <c r="W13" s="112" t="n">
        <v>0.05</v>
      </c>
      <c r="X13" s="1204">
        <f>S13+V13</f>
        <v/>
      </c>
      <c r="Y13" s="1204" t="n"/>
      <c r="Z13" s="1205">
        <f>V13/S13</f>
        <v/>
      </c>
      <c r="AA13">
        <f>V13/X13</f>
        <v/>
      </c>
    </row>
    <row r="14" ht="15" customHeight="1">
      <c r="A14" s="33" t="inlineStr">
        <is>
          <t>Rita Bicho</t>
        </is>
      </c>
      <c r="B14" s="30" t="inlineStr">
        <is>
          <t>GBS O DS BPM STC</t>
        </is>
      </c>
      <c r="C14" t="inlineStr">
        <is>
          <t>Requirements Engineering and Test Management</t>
        </is>
      </c>
      <c r="D14" s="1185" t="n">
        <v>40</v>
      </c>
      <c r="E14" s="1186" t="n">
        <v>1600</v>
      </c>
      <c r="F14" s="25" t="n">
        <v>0</v>
      </c>
      <c r="G14" s="891">
        <f>$E$14/12*$D$14*$F14</f>
        <v/>
      </c>
      <c r="H14" s="891">
        <f>$E$14/12*$D$14*$F14</f>
        <v/>
      </c>
      <c r="I14" s="897">
        <f>$E$14/12*$D$14*$F14</f>
        <v/>
      </c>
      <c r="J14" s="891">
        <f>$E$14/12*$D$14*$F14</f>
        <v/>
      </c>
      <c r="K14" s="895">
        <f>$E$14/12*$D$14*$F14</f>
        <v/>
      </c>
      <c r="L14" s="895">
        <f>$E$14/12*$D$14*$F14</f>
        <v/>
      </c>
      <c r="M14" s="895">
        <f>$E$14/12*$D$14*$F14</f>
        <v/>
      </c>
      <c r="N14" s="895">
        <f>$E$14/12*$D$14*$F14</f>
        <v/>
      </c>
      <c r="O14" s="895">
        <f>$E$14/12*$D$14*$F14</f>
        <v/>
      </c>
      <c r="P14" s="895">
        <f>$E$14/12*$D$14*$F14</f>
        <v/>
      </c>
      <c r="Q14" s="895">
        <f>$E$14/12*$D$14*$F14</f>
        <v/>
      </c>
      <c r="R14" s="895">
        <f>$E$14/12*$D$14*$F14</f>
        <v/>
      </c>
      <c r="S14" s="919">
        <f>SUM(G14:R14)</f>
        <v/>
      </c>
      <c r="T14" s="1187" t="n">
        <v>0</v>
      </c>
      <c r="U14" s="1188" t="n">
        <v>0</v>
      </c>
      <c r="V14" s="1188" t="n"/>
      <c r="W14" s="135" t="n"/>
      <c r="X14" s="1188">
        <f>S14</f>
        <v/>
      </c>
      <c r="Y14" s="1188" t="n">
        <v>0</v>
      </c>
    </row>
    <row r="15" ht="15" customHeight="1">
      <c r="A15" s="33" t="inlineStr">
        <is>
          <t>Filipe Guerreiro Luis Pires</t>
        </is>
      </c>
      <c r="B15" s="30" t="inlineStr">
        <is>
          <t>GBS O DS BPM STC</t>
        </is>
      </c>
      <c r="C15" t="inlineStr">
        <is>
          <t>Requirements Engineering and Test Management</t>
        </is>
      </c>
      <c r="D15" s="1185" t="n">
        <v>32</v>
      </c>
      <c r="E15" s="1186" t="n">
        <v>1600</v>
      </c>
      <c r="F15" s="25" t="n">
        <v>1</v>
      </c>
      <c r="G15" s="891" t="n">
        <v>3360</v>
      </c>
      <c r="H15" s="891" t="n">
        <v>4928</v>
      </c>
      <c r="I15" s="897" t="n">
        <v>4256</v>
      </c>
      <c r="J15" s="897" t="n">
        <v>4928</v>
      </c>
      <c r="K15" s="895">
        <f>$E$15/12*$D$15*$F15</f>
        <v/>
      </c>
      <c r="L15" s="895">
        <f>$E$15/12*$D$15*$F15</f>
        <v/>
      </c>
      <c r="M15" s="895">
        <f>$E$15/12*$D$15*$F15</f>
        <v/>
      </c>
      <c r="N15" s="895">
        <f>$E$15/12*$D$15*$F15</f>
        <v/>
      </c>
      <c r="O15" s="895">
        <f>$E$15/12*$D$15*$F15</f>
        <v/>
      </c>
      <c r="P15" s="895">
        <f>$E$15/12*$D$15*$F15</f>
        <v/>
      </c>
      <c r="Q15" s="895">
        <f>$E$15/12*$D$15*$F15</f>
        <v/>
      </c>
      <c r="R15" s="895">
        <f>$E$15/12*$D$15*$F15</f>
        <v/>
      </c>
      <c r="S15" s="919">
        <f>SUM(G15:R15)</f>
        <v/>
      </c>
      <c r="T15" s="1187" t="n">
        <v>62400</v>
      </c>
      <c r="U15" s="1188" t="n">
        <v>62400</v>
      </c>
      <c r="V15" s="1188" t="n"/>
      <c r="W15" s="135" t="n"/>
      <c r="X15" s="1188" t="n">
        <v>51200</v>
      </c>
      <c r="Y15" s="1188" t="n">
        <v>51200</v>
      </c>
    </row>
    <row r="16" ht="15" customHeight="1">
      <c r="A16" s="33" t="inlineStr">
        <is>
          <t>Daniel Magro</t>
        </is>
      </c>
      <c r="B16" s="30" t="inlineStr">
        <is>
          <t>GBS O DS BPM STC</t>
        </is>
      </c>
      <c r="C16" t="inlineStr">
        <is>
          <t>Requirements Engineering and Test Management</t>
        </is>
      </c>
      <c r="D16" s="1185" t="n">
        <v>40</v>
      </c>
      <c r="E16" s="1186" t="n">
        <v>1600</v>
      </c>
      <c r="F16" s="25" t="n">
        <v>0.5</v>
      </c>
      <c r="G16" s="891" t="n">
        <v>3200</v>
      </c>
      <c r="H16" s="891" t="n">
        <v>3040</v>
      </c>
      <c r="I16" s="897" t="n">
        <v>2720</v>
      </c>
      <c r="J16" s="897" t="n">
        <v>2720</v>
      </c>
      <c r="K16" s="895">
        <f>$E$16/12*$D$16*$F16</f>
        <v/>
      </c>
      <c r="L16" s="895">
        <f>$E$16/12*$D$16*$F16</f>
        <v/>
      </c>
      <c r="M16" s="895">
        <f>$E$16/12*$D$16*$F16</f>
        <v/>
      </c>
      <c r="N16" s="895">
        <f>$E$16/12*$D$16*$F16</f>
        <v/>
      </c>
      <c r="O16" s="895">
        <f>$E$16/12*$D$16*$F16</f>
        <v/>
      </c>
      <c r="P16" s="895">
        <f>$E$16/12*$D$16*$F16</f>
        <v/>
      </c>
      <c r="Q16" s="895">
        <f>$E$16/12*$D$16*$F16</f>
        <v/>
      </c>
      <c r="R16" s="895">
        <f>$E$16/12*$D$16*$F16</f>
        <v/>
      </c>
      <c r="S16" s="919">
        <f>SUM(G16:R16)</f>
        <v/>
      </c>
      <c r="T16" s="1187" t="n">
        <v>31200</v>
      </c>
      <c r="U16" s="1188" t="n">
        <v>31200</v>
      </c>
      <c r="V16" s="1188" t="n"/>
      <c r="W16" s="135" t="n"/>
      <c r="X16" s="1188" t="n">
        <v>32000</v>
      </c>
      <c r="Y16" s="1188" t="n">
        <v>32000</v>
      </c>
    </row>
    <row r="17" ht="15" customHeight="1">
      <c r="A17" s="34" t="inlineStr">
        <is>
          <t>Rodrigo Coutinho</t>
        </is>
      </c>
      <c r="B17" s="30" t="inlineStr">
        <is>
          <t>GBS O DS BPM STC</t>
        </is>
      </c>
      <c r="C17" t="inlineStr">
        <is>
          <t>Requirements Engineering and Test Management</t>
        </is>
      </c>
      <c r="D17" s="1185" t="n">
        <v>40</v>
      </c>
      <c r="E17" s="1186" t="n">
        <v>1600</v>
      </c>
      <c r="F17" s="25" t="n">
        <v>0.5</v>
      </c>
      <c r="G17" s="891" t="n">
        <v>3360</v>
      </c>
      <c r="H17" s="891" t="n">
        <v>3520</v>
      </c>
      <c r="I17" s="897" t="n">
        <v>3520</v>
      </c>
      <c r="J17" s="897" t="n">
        <v>3520</v>
      </c>
      <c r="K17" s="895">
        <f>$E$16/12*$D$16*$F17</f>
        <v/>
      </c>
      <c r="L17" s="895" t="n"/>
      <c r="M17" s="895" t="n"/>
      <c r="N17" s="895" t="n"/>
      <c r="O17" s="895" t="n"/>
      <c r="P17" s="895" t="n"/>
      <c r="Q17" s="895" t="n"/>
      <c r="R17" s="895" t="n"/>
      <c r="S17" s="919">
        <f>SUM(G17:R17)</f>
        <v/>
      </c>
      <c r="T17" s="1187" t="n">
        <v>31200</v>
      </c>
      <c r="U17" s="1188" t="n">
        <v>31200</v>
      </c>
      <c r="V17" s="1188" t="n"/>
      <c r="W17" s="135" t="n"/>
      <c r="X17" s="1188" t="n">
        <v>32000</v>
      </c>
      <c r="Y17" s="1188" t="n">
        <v>32000</v>
      </c>
    </row>
    <row r="18" ht="15" customHeight="1">
      <c r="A18" s="74" t="inlineStr">
        <is>
          <t>addtl. tester (0,5 FTE)</t>
        </is>
      </c>
      <c r="B18" s="36" t="inlineStr">
        <is>
          <t>GBS O DS BPM STC</t>
        </is>
      </c>
      <c r="C18" s="5" t="inlineStr">
        <is>
          <t>Requirements Engineering and Test Management</t>
        </is>
      </c>
      <c r="D18" s="1189" t="n">
        <v>40</v>
      </c>
      <c r="E18" s="1190" t="n">
        <v>1600</v>
      </c>
      <c r="F18" s="41" t="n">
        <v>1</v>
      </c>
      <c r="G18" s="921" t="n"/>
      <c r="H18" s="921" t="n"/>
      <c r="I18" s="921" t="n"/>
      <c r="J18" s="921" t="n"/>
      <c r="K18" s="921" t="n"/>
      <c r="L18" s="921" t="n"/>
      <c r="M18" s="921">
        <f>$E$16/12*$D$16*$F18</f>
        <v/>
      </c>
      <c r="N18" s="921">
        <f>$E$16/12*$D$16*$F18</f>
        <v/>
      </c>
      <c r="O18" s="921">
        <f>$E$16/12*$D$16*$F18</f>
        <v/>
      </c>
      <c r="P18" s="921">
        <f>$E$16/12*$D$16*$F18</f>
        <v/>
      </c>
      <c r="Q18" s="921">
        <f>$E$16/12*$D$16*$F18</f>
        <v/>
      </c>
      <c r="R18" s="921">
        <f>$E$16/12*$D$16*$F18</f>
        <v/>
      </c>
      <c r="S18" s="1191">
        <f>SUM(G18:R18)</f>
        <v/>
      </c>
      <c r="T18" s="1187" t="n">
        <v>31200</v>
      </c>
      <c r="U18" s="1188" t="n">
        <v>31200</v>
      </c>
      <c r="V18" s="1188" t="n"/>
      <c r="W18" s="135" t="n"/>
      <c r="X18" s="1188">
        <f>SUM(G18:R18)</f>
        <v/>
      </c>
      <c r="Y18" s="1188" t="n">
        <v>32000</v>
      </c>
    </row>
    <row r="19" ht="15" customFormat="1" customHeight="1" s="1">
      <c r="A19" s="6" t="inlineStr">
        <is>
          <t>Testing</t>
        </is>
      </c>
      <c r="B19" s="35" t="n"/>
      <c r="C19" s="18" t="n"/>
      <c r="D19" s="1206" t="n"/>
      <c r="E19" s="1206" t="n"/>
      <c r="F19" s="1207" t="n"/>
      <c r="G19" s="907">
        <f>SUM(G14:G18)</f>
        <v/>
      </c>
      <c r="H19" s="907">
        <f>SUM(H14:H18)</f>
        <v/>
      </c>
      <c r="I19" s="907">
        <f>SUM(I14:I18)</f>
        <v/>
      </c>
      <c r="J19" s="907">
        <f>SUM(J14:J18)</f>
        <v/>
      </c>
      <c r="K19" s="900">
        <f>SUM(K14:K18)</f>
        <v/>
      </c>
      <c r="L19" s="900">
        <f>SUM(L14:L18)</f>
        <v/>
      </c>
      <c r="M19" s="900">
        <f>SUM(M14:M18)</f>
        <v/>
      </c>
      <c r="N19" s="900">
        <f>SUM(N14:N18)</f>
        <v/>
      </c>
      <c r="O19" s="900">
        <f>SUM(O14:O18)</f>
        <v/>
      </c>
      <c r="P19" s="900">
        <f>SUM(P14:P18)</f>
        <v/>
      </c>
      <c r="Q19" s="900">
        <f>SUM(Q14:Q18)</f>
        <v/>
      </c>
      <c r="R19" s="900">
        <f>SUM(R14:R18)</f>
        <v/>
      </c>
      <c r="S19" s="900">
        <f>SUM(S14:S18)</f>
        <v/>
      </c>
      <c r="T19" s="1196" t="n">
        <v>124800</v>
      </c>
      <c r="U19" s="1197" t="n">
        <v>124800</v>
      </c>
      <c r="V19" s="1197">
        <f>X19-S19</f>
        <v/>
      </c>
      <c r="W19" s="124">
        <f>V19/S19</f>
        <v/>
      </c>
      <c r="X19" s="1197">
        <f>SUM(X14:X18)*1.05</f>
        <v/>
      </c>
      <c r="Y19" s="1197">
        <f>SUM(Y14:Y18)*1.05</f>
        <v/>
      </c>
      <c r="Z19" s="71">
        <f>V19/S19</f>
        <v/>
      </c>
      <c r="AA19" s="906" t="n"/>
    </row>
    <row r="20" ht="15" customFormat="1" customHeight="1" s="1">
      <c r="A20" s="6" t="n"/>
      <c r="B20" s="35" t="n"/>
      <c r="C20" s="18" t="n"/>
      <c r="D20" s="1206" t="n"/>
      <c r="E20" s="1206" t="n"/>
      <c r="F20" s="1207" t="n"/>
      <c r="G20" s="900" t="n"/>
      <c r="H20" s="900" t="n"/>
      <c r="I20" s="900" t="n"/>
      <c r="J20" s="900" t="n"/>
      <c r="K20" s="900" t="n"/>
      <c r="L20" s="900" t="n"/>
      <c r="M20" s="900" t="n"/>
      <c r="N20" s="900" t="n"/>
      <c r="O20" s="900" t="n"/>
      <c r="P20" s="900" t="n"/>
      <c r="Q20" s="900" t="n"/>
      <c r="R20" s="900" t="n"/>
      <c r="S20" s="1202">
        <f>SUM(S14:S18)</f>
        <v/>
      </c>
      <c r="T20" s="1203" t="n"/>
      <c r="U20" s="1204" t="n"/>
      <c r="V20" s="1204">
        <f>S20*W20</f>
        <v/>
      </c>
      <c r="W20" s="112" t="n">
        <v>0.05</v>
      </c>
      <c r="X20" s="1204">
        <f>S20+V20</f>
        <v/>
      </c>
      <c r="Y20" s="1204" t="n"/>
      <c r="Z20" s="71">
        <f>V20/S20</f>
        <v/>
      </c>
      <c r="AA20" s="906" t="n"/>
    </row>
    <row r="21" ht="15" customHeight="1">
      <c r="A21" s="33" t="inlineStr">
        <is>
          <t>Amanda Fernandez</t>
        </is>
      </c>
      <c r="B21" s="30" t="inlineStr">
        <is>
          <t>GBS H2R DPS C01</t>
        </is>
      </c>
      <c r="C21" t="inlineStr">
        <is>
          <t>TA/TM Service Management</t>
        </is>
      </c>
      <c r="D21" s="1185" t="n">
        <v>72</v>
      </c>
      <c r="E21" s="1186" t="n">
        <v>1600</v>
      </c>
      <c r="F21" s="24" t="n">
        <v>0.95</v>
      </c>
      <c r="G21" s="891" t="n">
        <v>3920</v>
      </c>
      <c r="H21" s="891" t="n">
        <v>8295</v>
      </c>
      <c r="I21" s="897" t="n">
        <v>4130</v>
      </c>
      <c r="J21" s="897" t="n">
        <v>8715</v>
      </c>
      <c r="K21" s="892">
        <f>$F21*$E21*$D21/12</f>
        <v/>
      </c>
      <c r="L21" s="892">
        <f>$F21*$E21*$D21/12</f>
        <v/>
      </c>
      <c r="M21" s="892">
        <f>$F21*$E21*$D21/12</f>
        <v/>
      </c>
      <c r="N21" s="892">
        <f>$F21*$E21*$D21/12</f>
        <v/>
      </c>
      <c r="O21" s="892">
        <f>$F21*$E21*$D21/12</f>
        <v/>
      </c>
      <c r="P21" s="892">
        <f>$F21*$E21*$D21/12</f>
        <v/>
      </c>
      <c r="Q21" s="892">
        <f>$F21*$E21*$D21/12</f>
        <v/>
      </c>
      <c r="R21" s="892">
        <f>$F21*$E21*$D21/12</f>
        <v/>
      </c>
      <c r="S21" s="919">
        <f>SUM(G21:R21)</f>
        <v/>
      </c>
      <c r="T21" s="1187" t="n">
        <v>144000</v>
      </c>
      <c r="U21" s="1188" t="n">
        <v>144000</v>
      </c>
      <c r="V21" s="1188" t="n"/>
      <c r="W21" s="135" t="n"/>
      <c r="X21" s="1188" t="n">
        <v>152000</v>
      </c>
      <c r="Y21" s="1188" t="n">
        <v>152000</v>
      </c>
    </row>
    <row r="22" ht="15" customHeight="1">
      <c r="A22" s="33" t="inlineStr">
        <is>
          <t>Claudia Swoboda</t>
        </is>
      </c>
      <c r="B22" s="30" t="inlineStr">
        <is>
          <t>GBS H2R DPS C01</t>
        </is>
      </c>
      <c r="C22" t="inlineStr">
        <is>
          <t>TA/TM Service Management</t>
        </is>
      </c>
      <c r="D22" s="1185" t="n">
        <v>95</v>
      </c>
      <c r="E22" s="1186" t="n">
        <v>1600</v>
      </c>
      <c r="F22" s="24" t="n">
        <v>0.5</v>
      </c>
      <c r="G22" s="891" t="n">
        <v>5130</v>
      </c>
      <c r="H22" s="891" t="n">
        <v>6460</v>
      </c>
      <c r="I22" s="897" t="n">
        <v>5415</v>
      </c>
      <c r="J22" s="897" t="n">
        <v>6175</v>
      </c>
      <c r="K22" s="892">
        <f>$F22*$E22*$D22/12</f>
        <v/>
      </c>
      <c r="L22" s="892">
        <f>$F22*$E22*$D22/12</f>
        <v/>
      </c>
      <c r="M22" s="892">
        <f>$F22*$E22*$D22/12</f>
        <v/>
      </c>
      <c r="N22" s="892">
        <f>$F22*$E22*$D22/12</f>
        <v/>
      </c>
      <c r="O22" s="892">
        <f>$F22*$E22*$D22/12</f>
        <v/>
      </c>
      <c r="P22" s="892">
        <f>$F22*$E22*$D22/12</f>
        <v/>
      </c>
      <c r="Q22" s="892">
        <f>$F22*$E22*$D22/12</f>
        <v/>
      </c>
      <c r="R22" s="892">
        <f>$F22*$E22*$D22/12</f>
        <v/>
      </c>
      <c r="S22" s="919">
        <f>SUM(G22:R22)</f>
        <v/>
      </c>
      <c r="T22" s="1187" t="n">
        <v>79200.00000000001</v>
      </c>
      <c r="U22" s="1188" t="n">
        <v>79200.00000000001</v>
      </c>
      <c r="V22" s="1188" t="n"/>
      <c r="W22" s="135" t="n"/>
      <c r="X22" s="1188" t="n">
        <v>76000</v>
      </c>
      <c r="Y22" s="1188" t="n">
        <v>76000</v>
      </c>
    </row>
    <row r="23" ht="15" customHeight="1">
      <c r="A23" s="33" t="inlineStr">
        <is>
          <t>Christine Kaiser</t>
        </is>
      </c>
      <c r="B23" s="30" t="inlineStr">
        <is>
          <t>GBS H2R DPS C01</t>
        </is>
      </c>
      <c r="C23" t="inlineStr">
        <is>
          <t>TA/TM Service Management</t>
        </is>
      </c>
      <c r="D23" s="1198" t="n">
        <v>95</v>
      </c>
      <c r="E23" s="1199" t="n">
        <v>1600</v>
      </c>
      <c r="F23" s="29" t="n">
        <v>0</v>
      </c>
      <c r="G23" s="891">
        <f>$F23*$E23*$D23/12</f>
        <v/>
      </c>
      <c r="H23" s="891">
        <f>$F23*$E23*$D23/12</f>
        <v/>
      </c>
      <c r="I23" s="897">
        <f>$F23*$E23*$D23/12</f>
        <v/>
      </c>
      <c r="J23" s="897">
        <f>$F23*$E23*$D23/12</f>
        <v/>
      </c>
      <c r="K23" s="894">
        <f>$F23*$E23*$D23/12</f>
        <v/>
      </c>
      <c r="L23" s="894">
        <f>$F23*$E23*$D23/12</f>
        <v/>
      </c>
      <c r="M23" s="894">
        <f>$F23*$E23*$D23/12</f>
        <v/>
      </c>
      <c r="N23" s="894">
        <f>$F23*$E23*$D23/12</f>
        <v/>
      </c>
      <c r="O23" s="894">
        <f>$F23*$E23*$D23/12</f>
        <v/>
      </c>
      <c r="P23" s="894">
        <f>$F23*$E23*$D23/12</f>
        <v/>
      </c>
      <c r="Q23" s="894">
        <f>$F23*$E23*$D23/12</f>
        <v/>
      </c>
      <c r="R23" s="894">
        <f>$F23*$E23*$D23/12</f>
        <v/>
      </c>
      <c r="S23" s="929">
        <f>SUM(G23:R23)</f>
        <v/>
      </c>
      <c r="T23" s="1187" t="n">
        <v>64800</v>
      </c>
      <c r="U23" s="1188" t="n">
        <v>0</v>
      </c>
      <c r="V23" s="1188" t="n"/>
      <c r="W23" s="135" t="n"/>
      <c r="X23" s="1188" t="n">
        <v>0</v>
      </c>
      <c r="Y23" s="1188" t="n">
        <v>0</v>
      </c>
    </row>
    <row r="24" ht="15" customFormat="1" customHeight="1" s="26">
      <c r="A24" s="34" t="inlineStr">
        <is>
          <t>Jan Loerinc (Accenture)</t>
        </is>
      </c>
      <c r="B24" s="30" t="inlineStr">
        <is>
          <t>GBS H2R DPS C01</t>
        </is>
      </c>
      <c r="C24" s="26" t="inlineStr">
        <is>
          <t>TM Service Management Support</t>
        </is>
      </c>
      <c r="D24" s="1198" t="n">
        <v>68</v>
      </c>
      <c r="E24" s="1199" t="n">
        <v>1650</v>
      </c>
      <c r="F24" s="29" t="n">
        <v>0.5</v>
      </c>
      <c r="G24" s="891" t="n">
        <v>9560</v>
      </c>
      <c r="H24" s="891" t="n">
        <v>9560</v>
      </c>
      <c r="I24" s="891" t="n">
        <v>9560</v>
      </c>
      <c r="J24" s="891" t="n">
        <v>9560</v>
      </c>
      <c r="K24" s="894" t="n">
        <v>9560</v>
      </c>
      <c r="L24" s="894" t="n">
        <v>9560</v>
      </c>
      <c r="M24" s="894" t="n"/>
      <c r="N24" s="894" t="n"/>
      <c r="O24" s="894" t="n"/>
      <c r="P24" s="894" t="n"/>
      <c r="Q24" s="894" t="n"/>
      <c r="R24" s="894" t="n"/>
      <c r="S24" s="929">
        <f>SUM(G24:R24)</f>
        <v/>
      </c>
      <c r="T24" s="1187" t="n">
        <v>0</v>
      </c>
      <c r="U24" s="1188" t="n">
        <v>51000</v>
      </c>
      <c r="V24" s="1188" t="n"/>
      <c r="W24" s="135" t="n"/>
      <c r="X24" s="1188" t="n">
        <v>60000</v>
      </c>
      <c r="Y24" s="1188" t="n">
        <v>60000</v>
      </c>
      <c r="Z24" t="inlineStr">
        <is>
          <t>Fixprice</t>
        </is>
      </c>
    </row>
    <row r="25" ht="15" customFormat="1" customHeight="1" s="26">
      <c r="A25" s="74" t="inlineStr">
        <is>
          <t>Jan Loerinc (Accenture) - prolongation</t>
        </is>
      </c>
      <c r="B25" s="36" t="inlineStr">
        <is>
          <t>GBS H2R DPS C01</t>
        </is>
      </c>
      <c r="C25" s="5" t="inlineStr">
        <is>
          <t>TM Service Management Support</t>
        </is>
      </c>
      <c r="D25" s="1189" t="n">
        <v>68</v>
      </c>
      <c r="E25" s="1190" t="n">
        <v>1650</v>
      </c>
      <c r="F25" s="41" t="n">
        <v>0.5</v>
      </c>
      <c r="G25" s="891" t="n"/>
      <c r="H25" s="891" t="n"/>
      <c r="I25" s="921" t="n"/>
      <c r="J25" s="921" t="n"/>
      <c r="K25" s="921" t="n"/>
      <c r="L25" s="921" t="n"/>
      <c r="M25" s="921" t="n">
        <v>9560</v>
      </c>
      <c r="N25" s="921" t="n">
        <v>9560</v>
      </c>
      <c r="O25" s="921" t="n">
        <v>9560</v>
      </c>
      <c r="P25" s="921" t="n">
        <v>9560</v>
      </c>
      <c r="Q25" s="921" t="n">
        <v>9560</v>
      </c>
      <c r="R25" s="921" t="n">
        <v>9560</v>
      </c>
      <c r="S25" s="1191">
        <f>SUM(G25:R25)</f>
        <v/>
      </c>
      <c r="T25" s="1187" t="n">
        <v>0</v>
      </c>
      <c r="U25" s="1188" t="n">
        <v>51000</v>
      </c>
      <c r="V25" s="1188" t="n"/>
      <c r="W25" s="135" t="n"/>
      <c r="X25" s="1188" t="n">
        <v>60000</v>
      </c>
      <c r="Y25" s="1188" t="n">
        <v>60000</v>
      </c>
      <c r="Z25" t="inlineStr">
        <is>
          <t>Fixprice</t>
        </is>
      </c>
    </row>
    <row r="26" ht="15" customFormat="1" customHeight="1" s="26">
      <c r="A26" s="33" t="inlineStr">
        <is>
          <t>CERT check (Pentest) (for AI-TM Project FY23 additional Pentest planned)</t>
        </is>
      </c>
      <c r="B26" s="36" t="n"/>
      <c r="C26" s="5" t="n"/>
      <c r="D26" s="1189" t="n"/>
      <c r="E26" s="1190" t="n"/>
      <c r="G26" s="891" t="n"/>
      <c r="H26" s="891" t="n"/>
      <c r="I26" s="921" t="n"/>
      <c r="J26" s="921" t="n"/>
      <c r="K26" s="921" t="n"/>
      <c r="L26" s="921" t="n"/>
      <c r="M26" s="921" t="n"/>
      <c r="N26" s="921" t="n"/>
      <c r="O26" s="921" t="n"/>
      <c r="P26" s="921" t="n"/>
      <c r="Q26" s="921" t="n"/>
      <c r="R26" s="894" t="n">
        <v>40000</v>
      </c>
      <c r="S26" s="919">
        <f>SUM(G26:R26)</f>
        <v/>
      </c>
      <c r="T26" s="1187" t="n"/>
      <c r="U26" s="1188" t="n"/>
      <c r="V26" s="1188" t="n"/>
      <c r="W26" s="135" t="n"/>
      <c r="X26" s="1188" t="n">
        <v>30000</v>
      </c>
      <c r="Y26" s="1188" t="n">
        <v>30000</v>
      </c>
    </row>
    <row r="27" ht="13" customHeight="1">
      <c r="A27" s="33" t="inlineStr">
        <is>
          <t>IT others (HR Umlage)</t>
        </is>
      </c>
      <c r="G27" s="891" t="n">
        <v>10000</v>
      </c>
      <c r="H27" s="891" t="n">
        <v>10000</v>
      </c>
      <c r="I27" s="897" t="n">
        <v>10000</v>
      </c>
      <c r="J27" s="897" t="n">
        <v>10000</v>
      </c>
      <c r="K27" s="894" t="n">
        <v>10000</v>
      </c>
      <c r="L27" s="894" t="n">
        <v>10000</v>
      </c>
      <c r="M27" s="894" t="n">
        <v>10000</v>
      </c>
      <c r="N27" s="894" t="n">
        <v>10000</v>
      </c>
      <c r="O27" s="894" t="n">
        <v>10000</v>
      </c>
      <c r="P27" s="894" t="n">
        <v>10000</v>
      </c>
      <c r="Q27" s="894" t="n">
        <v>10000</v>
      </c>
      <c r="R27" s="894" t="n">
        <v>10000</v>
      </c>
      <c r="S27" s="919">
        <f>SUM(G27:R27)</f>
        <v/>
      </c>
      <c r="T27" s="1187" t="n"/>
      <c r="U27" s="1188" t="n"/>
      <c r="V27" s="1188" t="n"/>
      <c r="W27" s="135" t="n"/>
      <c r="X27" s="1188" t="n">
        <v>120000</v>
      </c>
      <c r="Y27" s="1188" t="n">
        <v>120000</v>
      </c>
      <c r="Z27" t="inlineStr">
        <is>
          <t>covered in IT SM budget</t>
        </is>
      </c>
      <c r="AA27" t="inlineStr">
        <is>
          <t>internal booking</t>
        </is>
      </c>
    </row>
    <row r="28" ht="15" customFormat="1" customHeight="1" s="1">
      <c r="A28" s="6" t="inlineStr">
        <is>
          <t>Service Management</t>
        </is>
      </c>
      <c r="B28" s="35" t="n"/>
      <c r="C28" s="18" t="n"/>
      <c r="D28" s="1206" t="n"/>
      <c r="E28" s="1206" t="n"/>
      <c r="F28" s="1207" t="n"/>
      <c r="G28" s="900">
        <f>SUM(G21:G27)</f>
        <v/>
      </c>
      <c r="H28" s="900">
        <f>SUM(H21:H27)</f>
        <v/>
      </c>
      <c r="I28" s="900">
        <f>SUM(I21:I27)</f>
        <v/>
      </c>
      <c r="J28" s="900">
        <f>SUM(J21:J27)</f>
        <v/>
      </c>
      <c r="K28" s="900">
        <f>SUM(K21:K27)</f>
        <v/>
      </c>
      <c r="L28" s="900">
        <f>SUM(L21:L27)</f>
        <v/>
      </c>
      <c r="M28" s="900">
        <f>SUM(M21:M27)</f>
        <v/>
      </c>
      <c r="N28" s="900">
        <f>SUM(N21:N27)</f>
        <v/>
      </c>
      <c r="O28" s="900">
        <f>SUM(O21:O27)</f>
        <v/>
      </c>
      <c r="P28" s="900">
        <f>SUM(P21:P27)</f>
        <v/>
      </c>
      <c r="Q28" s="900">
        <f>SUM(Q21:Q27)</f>
        <v/>
      </c>
      <c r="R28" s="900">
        <f>SUM(R21:R27)</f>
        <v/>
      </c>
      <c r="S28" s="900">
        <f>SUM(S21:S27)</f>
        <v/>
      </c>
      <c r="T28" s="1196" t="n">
        <v>288000</v>
      </c>
      <c r="U28" s="1197" t="n">
        <v>390000</v>
      </c>
      <c r="V28" s="1197">
        <f>X28-S28</f>
        <v/>
      </c>
      <c r="W28" s="124">
        <f>V28/X28</f>
        <v/>
      </c>
      <c r="X28" s="1197">
        <f>SUM(X21:X27)</f>
        <v/>
      </c>
      <c r="Y28" s="1197">
        <f>SUM(Y21:Y27)</f>
        <v/>
      </c>
      <c r="Z28" t="inlineStr">
        <is>
          <t>covered in IT SM budget</t>
        </is>
      </c>
    </row>
    <row r="29" ht="15" customFormat="1" customHeight="1" s="1">
      <c r="A29" s="6" t="n"/>
      <c r="B29" s="35" t="n"/>
      <c r="C29" s="18" t="n"/>
      <c r="D29" s="1206" t="n"/>
      <c r="E29" s="1206" t="n"/>
      <c r="F29" s="1207" t="n"/>
      <c r="G29" s="900" t="n"/>
      <c r="H29" s="900" t="n"/>
      <c r="I29" s="900" t="n"/>
      <c r="J29" s="900" t="n"/>
      <c r="K29" s="900" t="n"/>
      <c r="L29" s="900" t="n"/>
      <c r="M29" s="900" t="n"/>
      <c r="N29" s="900" t="n"/>
      <c r="O29" s="900" t="n"/>
      <c r="P29" s="900" t="n"/>
      <c r="Q29" s="900" t="n"/>
      <c r="R29" s="900" t="n"/>
      <c r="S29" s="1202">
        <f>SUM(S21:S27)</f>
        <v/>
      </c>
      <c r="T29" s="1203" t="n"/>
      <c r="U29" s="1204" t="n"/>
      <c r="V29" s="1204">
        <f>S29*W29</f>
        <v/>
      </c>
      <c r="W29" s="112" t="n">
        <v>0.05</v>
      </c>
      <c r="X29" s="1204">
        <f>S29+V29</f>
        <v/>
      </c>
      <c r="Y29" s="1204" t="n"/>
    </row>
    <row r="30" ht="15" customFormat="1" customHeight="1" s="26">
      <c r="A30" s="33" t="inlineStr">
        <is>
          <t>DirX</t>
        </is>
      </c>
      <c r="B30" s="36" t="n"/>
      <c r="C30" s="5" t="n"/>
      <c r="D30" s="1189" t="n"/>
      <c r="E30" s="1190" t="n"/>
      <c r="G30" s="891" t="n">
        <v>820</v>
      </c>
      <c r="H30" s="891" t="n">
        <v>401.5</v>
      </c>
      <c r="I30" s="921" t="n"/>
      <c r="J30" s="921" t="n"/>
      <c r="K30" s="921" t="n"/>
      <c r="L30" s="921" t="n"/>
      <c r="M30" s="921" t="n"/>
      <c r="N30" s="921" t="n"/>
      <c r="O30" s="921" t="n"/>
      <c r="P30" s="921" t="n"/>
      <c r="Q30" s="921" t="n"/>
      <c r="R30" s="894" t="n"/>
      <c r="S30" s="919">
        <f>SUM(G30:R30)</f>
        <v/>
      </c>
      <c r="T30" s="1187" t="n"/>
      <c r="U30" s="1188" t="n"/>
      <c r="V30" s="1188" t="n"/>
      <c r="W30" s="135" t="n"/>
      <c r="X30" s="1188" t="n"/>
      <c r="Y30" s="1188" t="n"/>
    </row>
    <row r="31" ht="13" customHeight="1">
      <c r="A31" s="33" t="inlineStr">
        <is>
          <t>CHCM</t>
        </is>
      </c>
      <c r="G31" s="891" t="n"/>
      <c r="H31" s="891" t="n"/>
      <c r="I31" s="897" t="n"/>
      <c r="J31" s="897" t="n"/>
      <c r="K31" s="894" t="n"/>
      <c r="L31" s="894" t="n"/>
      <c r="M31" s="894" t="n"/>
      <c r="N31" s="894" t="n"/>
      <c r="O31" s="894" t="n"/>
      <c r="P31" s="894" t="n"/>
      <c r="Q31" s="894" t="n"/>
      <c r="R31" s="894" t="n"/>
      <c r="S31" s="919">
        <f>SUM(G31:R31)</f>
        <v/>
      </c>
      <c r="T31" s="1187" t="n"/>
      <c r="U31" s="1188" t="n"/>
      <c r="V31" s="1188" t="n"/>
      <c r="W31" s="135" t="n"/>
      <c r="X31" s="1188" t="n"/>
      <c r="Y31" s="1188" t="n"/>
    </row>
    <row r="32" ht="13" customHeight="1">
      <c r="A32" s="33" t="inlineStr">
        <is>
          <t>JCC</t>
        </is>
      </c>
      <c r="G32" s="891" t="n">
        <v>26.25</v>
      </c>
      <c r="H32" s="891" t="n"/>
      <c r="I32" s="897" t="n"/>
      <c r="J32" s="897" t="n"/>
      <c r="K32" s="894" t="n"/>
      <c r="L32" s="894" t="n"/>
      <c r="M32" s="894" t="n"/>
      <c r="N32" s="894" t="n"/>
      <c r="O32" s="894" t="n"/>
      <c r="P32" s="894" t="n"/>
      <c r="Q32" s="894" t="n"/>
      <c r="R32" s="894" t="n"/>
      <c r="S32" s="919">
        <f>SUM(G32:R32)</f>
        <v/>
      </c>
      <c r="T32" s="1187" t="n"/>
      <c r="U32" s="1188" t="n"/>
      <c r="V32" s="1188" t="n"/>
      <c r="W32" s="135" t="n"/>
      <c r="X32" s="1188" t="n"/>
      <c r="Y32" s="1188" t="n"/>
    </row>
    <row r="33" ht="13" customHeight="1">
      <c r="A33" s="33" t="inlineStr">
        <is>
          <t>Others</t>
        </is>
      </c>
      <c r="G33" s="891" t="n"/>
      <c r="H33" s="891" t="n"/>
      <c r="I33" s="897" t="n"/>
      <c r="J33" s="897" t="n"/>
      <c r="K33" s="894" t="n"/>
      <c r="L33" s="894" t="n"/>
      <c r="M33" s="894" t="n"/>
      <c r="N33" s="894" t="n"/>
      <c r="O33" s="894" t="n"/>
      <c r="P33" s="894" t="n"/>
      <c r="Q33" s="894" t="n"/>
      <c r="R33" s="894" t="n"/>
      <c r="S33" s="919" t="n"/>
      <c r="T33" s="1187" t="n"/>
      <c r="U33" s="1188" t="n"/>
      <c r="V33" s="1188" t="n"/>
      <c r="W33" s="135" t="n"/>
      <c r="X33" s="1188" t="n"/>
      <c r="Y33" s="1188" t="n"/>
    </row>
    <row r="34" ht="15" customFormat="1" customHeight="1" s="1">
      <c r="A34" s="6" t="inlineStr">
        <is>
          <t>Change Management</t>
        </is>
      </c>
      <c r="B34" s="35" t="n"/>
      <c r="C34" s="18" t="n"/>
      <c r="D34" s="1206" t="n"/>
      <c r="E34" s="1206" t="n"/>
      <c r="F34" s="1207" t="n"/>
      <c r="G34" s="900">
        <f>SUM(G30:G32)</f>
        <v/>
      </c>
      <c r="H34" s="900">
        <f>SUM(H30:H32)</f>
        <v/>
      </c>
      <c r="I34" s="900">
        <f>SUM(I30:I32)</f>
        <v/>
      </c>
      <c r="J34" s="900">
        <f>SUM(J30:J32)</f>
        <v/>
      </c>
      <c r="K34" s="900">
        <f>SUM(K30:K32)</f>
        <v/>
      </c>
      <c r="L34" s="900">
        <f>SUM(L30:L32)</f>
        <v/>
      </c>
      <c r="M34" s="900">
        <f>SUM(M30:M32)</f>
        <v/>
      </c>
      <c r="N34" s="900">
        <f>SUM(N30:N32)</f>
        <v/>
      </c>
      <c r="O34" s="900">
        <f>SUM(O30:O32)</f>
        <v/>
      </c>
      <c r="P34" s="900">
        <f>SUM(P30:P32)</f>
        <v/>
      </c>
      <c r="Q34" s="900">
        <f>SUM(Q30:Q32)</f>
        <v/>
      </c>
      <c r="R34" s="900">
        <f>SUM(R30:R32)</f>
        <v/>
      </c>
      <c r="S34" s="900">
        <f>SUM(S30:S32)</f>
        <v/>
      </c>
      <c r="T34" s="1196" t="n">
        <v>288000</v>
      </c>
      <c r="U34" s="1197" t="n">
        <v>390000</v>
      </c>
      <c r="V34" s="1197">
        <f>SUM(V30:V32)</f>
        <v/>
      </c>
      <c r="W34" s="124">
        <f>SUM(W30:W32)</f>
        <v/>
      </c>
      <c r="X34" s="1197">
        <f>SUM(X30:X32)</f>
        <v/>
      </c>
      <c r="Y34" s="1197">
        <f>SUM(Y30:Y32)</f>
        <v/>
      </c>
      <c r="Z34" t="inlineStr">
        <is>
          <t>covered in IT SM budget</t>
        </is>
      </c>
    </row>
    <row r="35" ht="15" customFormat="1" customHeight="1" s="5">
      <c r="A35" s="34" t="inlineStr">
        <is>
          <t xml:space="preserve">Avature Total (bis 31.03.2023) 9707302823 </t>
        </is>
      </c>
      <c r="B35" s="52" t="n"/>
      <c r="C35" s="26" t="n"/>
      <c r="D35" s="1198" t="n"/>
      <c r="E35" s="1198" t="n"/>
      <c r="F35" s="1208" t="n"/>
      <c r="G35" s="1209">
        <f>SUM(G36:G45)</f>
        <v/>
      </c>
      <c r="H35" s="897" t="n"/>
      <c r="I35" s="897" t="n"/>
      <c r="J35" s="1209">
        <f>SUM(J36:J47)</f>
        <v/>
      </c>
      <c r="K35" s="894" t="n"/>
      <c r="L35" s="894" t="n"/>
      <c r="N35" s="894" t="n"/>
      <c r="O35" s="894" t="n"/>
      <c r="Q35" s="894" t="n"/>
      <c r="R35" s="894" t="n"/>
      <c r="S35" s="929">
        <f>SUM(S36:S48)</f>
        <v/>
      </c>
      <c r="T35" s="1187" t="n">
        <v>1974000</v>
      </c>
      <c r="U35" s="1188" t="n">
        <v>1800000</v>
      </c>
      <c r="V35" s="1188" t="n"/>
      <c r="W35" s="135" t="n"/>
      <c r="X35" s="1188" t="n">
        <v>1860000</v>
      </c>
      <c r="Y35" s="1188" t="n">
        <v>1860000</v>
      </c>
    </row>
    <row r="36" ht="15" customFormat="1" customHeight="1" s="5">
      <c r="A36" s="132" t="inlineStr">
        <is>
          <t>Annual Subscription Fee Global (w/o US/CA) CRM, ATS (bis 31.03.2023)</t>
        </is>
      </c>
      <c r="B36" s="30" t="inlineStr">
        <is>
          <t>Avature</t>
        </is>
      </c>
      <c r="C36" t="inlineStr">
        <is>
          <t>ATS &amp; CRM</t>
        </is>
      </c>
      <c r="D36" s="1189" t="n"/>
      <c r="E36" s="1189" t="n"/>
      <c r="F36" s="1210" t="n"/>
      <c r="G36" s="897" t="n">
        <v>375000</v>
      </c>
      <c r="H36" s="894" t="n"/>
      <c r="I36" s="894" t="n"/>
      <c r="J36" s="891" t="n">
        <v>375000</v>
      </c>
      <c r="K36" s="921" t="n"/>
      <c r="L36" s="921" t="n"/>
      <c r="N36" s="894" t="n"/>
      <c r="O36" s="894" t="n"/>
      <c r="P36" s="894" t="n"/>
      <c r="Q36" s="921" t="n"/>
      <c r="R36" s="921" t="n"/>
      <c r="S36" s="894">
        <f>SUM(G36:R36)</f>
        <v/>
      </c>
      <c r="T36" s="1187" t="n">
        <v>1500000</v>
      </c>
      <c r="U36" s="1188" t="n"/>
      <c r="V36" s="1188" t="n"/>
      <c r="W36" s="135" t="n"/>
      <c r="X36" s="1188" t="n"/>
      <c r="Y36" s="1188" t="n"/>
    </row>
    <row r="37" ht="15" customHeight="1">
      <c r="A37" s="133" t="inlineStr">
        <is>
          <t>Annual Subscription Fee US/CA €228.559 (bis 31.003.2023)</t>
        </is>
      </c>
      <c r="B37" s="30" t="inlineStr">
        <is>
          <t>Avature</t>
        </is>
      </c>
      <c r="C37" t="inlineStr">
        <is>
          <t>US and CA ATS/CRM</t>
        </is>
      </c>
      <c r="D37" s="1185" t="n"/>
      <c r="E37" s="1185" t="n"/>
      <c r="F37" s="1211" t="n"/>
      <c r="G37" s="891" t="n">
        <v>63500</v>
      </c>
      <c r="H37" s="894" t="n"/>
      <c r="I37" s="894" t="n"/>
      <c r="J37" s="891" t="n">
        <v>63500</v>
      </c>
      <c r="K37" s="892" t="n"/>
      <c r="L37" s="892" t="n"/>
      <c r="M37" s="921" t="n">
        <v>0</v>
      </c>
      <c r="N37" s="892" t="n"/>
      <c r="O37" s="892" t="n"/>
      <c r="P37" s="921" t="n">
        <v>0</v>
      </c>
      <c r="Q37" s="892" t="n"/>
      <c r="R37" s="892" t="n"/>
      <c r="S37" s="895">
        <f>SUM(G37:R37)</f>
        <v/>
      </c>
      <c r="T37" s="1187" t="n">
        <v>254000</v>
      </c>
      <c r="U37" s="1188" t="n"/>
      <c r="V37" s="1188" t="n"/>
      <c r="W37" s="135" t="n"/>
      <c r="X37" s="1188" t="n"/>
      <c r="Y37" s="1188" t="n"/>
      <c r="Z37" s="5" t="inlineStr">
        <is>
          <t>Klärung mit Sara, ob Position in ATS/CRM Fee integriert ist</t>
        </is>
      </c>
    </row>
    <row r="38" ht="13" customHeight="1">
      <c r="A38" s="133" t="inlineStr">
        <is>
          <t>Video Interviewing - 9706301876/9706762788 (Ersatz) (bis 31.03.2023)</t>
        </is>
      </c>
      <c r="B38" s="30" t="inlineStr">
        <is>
          <t>Avature</t>
        </is>
      </c>
      <c r="C38" t="inlineStr">
        <is>
          <t>Video Interviewing</t>
        </is>
      </c>
      <c r="D38" s="1185" t="n"/>
      <c r="E38" s="1185">
        <f>E44*0.4</f>
        <v/>
      </c>
      <c r="F38" s="1211" t="n"/>
      <c r="G38" s="897" t="n">
        <v>17500</v>
      </c>
      <c r="H38" s="894" t="n"/>
      <c r="I38" s="894" t="n"/>
      <c r="J38" s="891" t="n">
        <v>17500</v>
      </c>
      <c r="K38" s="892" t="n"/>
      <c r="L38" s="892" t="n"/>
      <c r="Q38" s="892" t="n"/>
      <c r="R38" s="892" t="n"/>
      <c r="S38" s="895">
        <f>SUM(G38:R38)</f>
        <v/>
      </c>
      <c r="T38" s="1187" t="n">
        <v>100000</v>
      </c>
      <c r="U38" s="1188" t="n"/>
      <c r="V38" s="1188" t="n"/>
      <c r="W38" s="135" t="n"/>
      <c r="X38" s="1188" t="n"/>
      <c r="Y38" s="1188" t="n"/>
    </row>
    <row r="39" ht="13" customHeight="1">
      <c r="A39" s="133" t="inlineStr">
        <is>
          <t>Preboarding / Onboarding</t>
        </is>
      </c>
      <c r="G39" s="897" t="n">
        <v>30000</v>
      </c>
      <c r="J39" s="891" t="n">
        <v>30000</v>
      </c>
      <c r="S39" s="895">
        <f>SUM(G39:R39)</f>
        <v/>
      </c>
      <c r="V39" s="1188" t="n"/>
      <c r="W39" s="135" t="n"/>
      <c r="X39" s="1188" t="n"/>
      <c r="Y39" s="1188" t="n"/>
    </row>
    <row r="40" ht="13" customHeight="1">
      <c r="V40" s="1188" t="n"/>
      <c r="W40" s="135" t="n"/>
      <c r="X40" s="1188" t="n"/>
      <c r="Y40" s="1188" t="n"/>
    </row>
    <row r="41" ht="13" customHeight="1">
      <c r="A41" s="33" t="inlineStr">
        <is>
          <t>Avature Total (ab 01.04.2023) PO offen !!</t>
        </is>
      </c>
      <c r="M41" s="1148">
        <f>SUM(M42:M49)</f>
        <v/>
      </c>
      <c r="P41" s="1148">
        <f>SUM(P42:P49)</f>
        <v/>
      </c>
      <c r="V41" s="1188" t="n"/>
      <c r="W41" s="135" t="n"/>
      <c r="X41" s="1188" t="n"/>
      <c r="Y41" s="1188" t="n"/>
    </row>
    <row r="42" ht="15" customFormat="1" customHeight="1" s="5">
      <c r="A42" s="56" t="inlineStr">
        <is>
          <t xml:space="preserve">Annual Subscription Fee Global (incl. US/CA) CRM, ATS </t>
        </is>
      </c>
      <c r="B42" s="30" t="inlineStr">
        <is>
          <t>Avature</t>
        </is>
      </c>
      <c r="C42" t="inlineStr">
        <is>
          <t>ATS &amp; CRM</t>
        </is>
      </c>
      <c r="D42" s="1198" t="n"/>
      <c r="E42" s="1198" t="n"/>
      <c r="F42" s="1208" t="n"/>
      <c r="G42" s="897" t="n"/>
      <c r="H42" s="897" t="n"/>
      <c r="I42" s="897" t="n"/>
      <c r="J42" s="897" t="n"/>
      <c r="K42" s="894" t="n"/>
      <c r="L42" s="894" t="n"/>
      <c r="M42" s="894">
        <f>(782575+782575)/4</f>
        <v/>
      </c>
      <c r="N42" s="894" t="n"/>
      <c r="O42" s="894" t="n"/>
      <c r="P42" s="894">
        <f>(782575+782575)/4</f>
        <v/>
      </c>
      <c r="Q42" s="894" t="n"/>
      <c r="R42" s="894" t="n"/>
      <c r="S42" s="894">
        <f>SUM(G42:R42)</f>
        <v/>
      </c>
      <c r="T42" s="1187" t="n"/>
      <c r="U42" s="1188" t="n"/>
      <c r="V42" s="1188" t="n"/>
      <c r="W42" s="135" t="n"/>
      <c r="X42" s="1188" t="n"/>
      <c r="Y42" s="1188" t="n"/>
    </row>
    <row r="43" ht="15" customFormat="1" customHeight="1" s="5">
      <c r="A43" s="132" t="inlineStr">
        <is>
          <t>Decommisioning of demo instance</t>
        </is>
      </c>
      <c r="B43" s="52" t="n"/>
      <c r="C43" s="26" t="n"/>
      <c r="D43" s="1198" t="n"/>
      <c r="E43" s="1198" t="n"/>
      <c r="F43" s="1208" t="n"/>
      <c r="G43" s="897" t="n"/>
      <c r="H43" s="897" t="n"/>
      <c r="I43" s="897" t="n"/>
      <c r="J43" s="897" t="n"/>
      <c r="K43" s="894" t="n"/>
      <c r="L43" s="894" t="n"/>
      <c r="M43" s="894" t="n">
        <v>-2500</v>
      </c>
      <c r="N43" s="894" t="n"/>
      <c r="O43" s="894" t="n"/>
      <c r="P43" s="894" t="n">
        <v>-2500</v>
      </c>
      <c r="Q43" s="894" t="n"/>
      <c r="R43" s="894" t="n"/>
      <c r="S43" s="894">
        <f>SUM(G43:R43)</f>
        <v/>
      </c>
      <c r="T43" s="1187" t="n"/>
      <c r="U43" s="1188" t="n"/>
      <c r="V43" s="1188" t="n"/>
      <c r="W43" s="135" t="n"/>
      <c r="X43" s="1188" t="n"/>
      <c r="Y43" s="1188" t="n"/>
    </row>
    <row r="44" ht="15" customHeight="1">
      <c r="A44" s="133" t="inlineStr">
        <is>
          <t xml:space="preserve">Preboarding / Onboarding € 107.080 </t>
        </is>
      </c>
      <c r="B44" s="30" t="inlineStr">
        <is>
          <t>Avature</t>
        </is>
      </c>
      <c r="C44" t="inlineStr">
        <is>
          <t>Preboarding</t>
        </is>
      </c>
      <c r="D44" s="1185" t="n"/>
      <c r="E44" s="1185">
        <f>40*1650/12</f>
        <v/>
      </c>
      <c r="F44" s="1211" t="n"/>
      <c r="H44" s="894" t="n"/>
      <c r="I44" s="894" t="n"/>
      <c r="K44" s="892" t="n"/>
      <c r="L44" s="892" t="n"/>
      <c r="M44" s="892">
        <f>107080/4</f>
        <v/>
      </c>
      <c r="N44" s="892" t="n"/>
      <c r="O44" s="892" t="n"/>
      <c r="P44" s="892">
        <f>107080/4</f>
        <v/>
      </c>
      <c r="Q44" s="892" t="n"/>
      <c r="R44" s="892" t="n"/>
      <c r="S44" s="895">
        <f>SUM(G44:R44)</f>
        <v/>
      </c>
      <c r="T44" s="1187" t="n">
        <v>120000</v>
      </c>
      <c r="U44" s="1188" t="n"/>
      <c r="V44" s="1188" t="n"/>
      <c r="W44" s="135" t="n"/>
      <c r="X44" s="1188" t="n"/>
      <c r="Y44" s="1188" t="n"/>
    </row>
    <row r="45" ht="13" customHeight="1">
      <c r="A45" s="133" t="inlineStr">
        <is>
          <t xml:space="preserve">Video Interviewing € 70.000 </t>
        </is>
      </c>
      <c r="B45" s="30" t="inlineStr">
        <is>
          <t>Avature</t>
        </is>
      </c>
      <c r="C45" t="inlineStr">
        <is>
          <t>Video Interviewing</t>
        </is>
      </c>
      <c r="D45" s="1185" t="n"/>
      <c r="E45" s="1185" t="n"/>
      <c r="F45" s="1211" t="n"/>
      <c r="G45" s="894" t="n"/>
      <c r="H45" s="894" t="n"/>
      <c r="I45" s="894" t="n"/>
      <c r="J45" s="894" t="n"/>
      <c r="K45" s="892" t="n"/>
      <c r="L45" s="892" t="n"/>
      <c r="M45" s="892" t="n">
        <v>17500</v>
      </c>
      <c r="N45" s="892" t="n"/>
      <c r="O45" s="892" t="n"/>
      <c r="P45" s="892" t="n">
        <v>17500</v>
      </c>
      <c r="Q45" s="892" t="n"/>
      <c r="R45" s="892" t="n"/>
      <c r="S45" s="895">
        <f>SUM(G45:R45)</f>
        <v/>
      </c>
      <c r="T45" s="1187" t="n"/>
      <c r="U45" s="1188" t="n"/>
      <c r="V45" s="1188" t="n"/>
      <c r="W45" s="135" t="n"/>
      <c r="X45" s="1188" t="n"/>
      <c r="Y45" s="1188" t="n"/>
    </row>
    <row r="46" ht="13" customHeight="1">
      <c r="A46" s="133" t="inlineStr">
        <is>
          <t xml:space="preserve">add. Custom Integrations: Tupu, Visage, Pulse </t>
        </is>
      </c>
      <c r="D46" s="1185" t="n"/>
      <c r="E46" s="1185" t="n"/>
      <c r="F46" s="1211" t="n"/>
      <c r="G46" s="921" t="n"/>
      <c r="H46" s="892" t="n"/>
      <c r="I46" s="892" t="n"/>
      <c r="J46" s="921" t="n"/>
      <c r="K46" s="892" t="n"/>
      <c r="L46" s="892" t="n"/>
      <c r="M46" s="892">
        <f>15000/4</f>
        <v/>
      </c>
      <c r="N46" s="892" t="n"/>
      <c r="O46" s="892" t="n"/>
      <c r="P46" s="892">
        <f>15000/4</f>
        <v/>
      </c>
      <c r="Q46" s="892" t="n"/>
      <c r="R46" s="892" t="n"/>
      <c r="S46" s="894">
        <f>SUM(G46:R46)</f>
        <v/>
      </c>
      <c r="T46" s="1187" t="n">
        <v>0</v>
      </c>
      <c r="U46" s="1188" t="n"/>
      <c r="V46" s="1188" t="n"/>
      <c r="W46" s="135" t="n"/>
      <c r="X46" s="1188" t="n"/>
      <c r="Y46" s="1188" t="n"/>
      <c r="AA46" s="73" t="n"/>
      <c r="AC46" s="72" t="n"/>
    </row>
    <row r="47" ht="15" customHeight="1">
      <c r="A47" s="55" t="inlineStr">
        <is>
          <t>add. Custom Integrations: Exh. 14 (Teamio, Eightfold)</t>
        </is>
      </c>
      <c r="D47" s="1185" t="n"/>
      <c r="E47" s="1185" t="n"/>
      <c r="F47" s="1211" t="n"/>
      <c r="G47" s="921" t="n"/>
      <c r="H47" s="892" t="n"/>
      <c r="I47" s="892" t="n"/>
      <c r="K47" s="892" t="n"/>
      <c r="L47" s="894">
        <f>6000/12*7</f>
        <v/>
      </c>
      <c r="M47" s="892">
        <f>6818/12*6</f>
        <v/>
      </c>
      <c r="N47" s="892" t="n"/>
      <c r="O47" s="892" t="n"/>
      <c r="P47" s="892" t="n"/>
      <c r="Q47" s="892" t="n"/>
      <c r="R47" s="892" t="n"/>
      <c r="S47" s="894">
        <f>SUM(G47:R47)</f>
        <v/>
      </c>
      <c r="T47" s="1187" t="n">
        <v>0</v>
      </c>
      <c r="U47" s="1188" t="n"/>
      <c r="V47" s="1188" t="n"/>
      <c r="W47" s="135" t="n"/>
      <c r="X47" s="1188" t="n"/>
      <c r="Y47" s="1188" t="n"/>
      <c r="Z47" t="inlineStr">
        <is>
          <t>allocation with go-live</t>
        </is>
      </c>
      <c r="AA47" s="73" t="n"/>
      <c r="AC47" s="72" t="n"/>
    </row>
    <row r="48" ht="15" customHeight="1">
      <c r="A48" s="55" t="inlineStr">
        <is>
          <t>add. Custom Integrations: Exh. 16 (HR D2GO, EF LL)</t>
        </is>
      </c>
      <c r="D48" s="1185" t="n"/>
      <c r="E48" s="1185" t="n"/>
      <c r="F48" s="1211" t="n"/>
      <c r="G48" s="921" t="n"/>
      <c r="H48" s="892" t="n"/>
      <c r="I48" s="892" t="n"/>
      <c r="K48" s="892" t="n"/>
      <c r="L48" s="894">
        <f>3000/12*7</f>
        <v/>
      </c>
      <c r="M48" s="892" t="n"/>
      <c r="N48" s="892">
        <f>(900*9+1200)/12*5</f>
        <v/>
      </c>
      <c r="O48" s="892" t="n"/>
      <c r="P48" s="892" t="n"/>
      <c r="Q48" s="892" t="n"/>
      <c r="R48" s="892" t="n"/>
      <c r="S48" s="894">
        <f>SUM(G48:R48)</f>
        <v/>
      </c>
      <c r="T48" s="1187" t="n"/>
      <c r="U48" s="1188" t="n"/>
      <c r="V48" s="1188" t="n"/>
      <c r="W48" s="135" t="n"/>
      <c r="X48" s="1188" t="n"/>
      <c r="Y48" s="1188" t="n"/>
      <c r="Z48" t="inlineStr">
        <is>
          <t>allocation with go-live</t>
        </is>
      </c>
      <c r="AA48" s="73" t="n"/>
      <c r="AC48" s="72" t="n"/>
    </row>
    <row r="49" ht="13" customHeight="1">
      <c r="A49" s="133" t="inlineStr">
        <is>
          <t>Removal 2x internal career site -€15.000 (ab FY24)</t>
        </is>
      </c>
      <c r="D49" s="1185" t="n"/>
      <c r="E49" s="1185" t="n"/>
      <c r="F49" s="1211" t="n"/>
      <c r="G49" s="894" t="n"/>
      <c r="H49" s="894" t="n"/>
      <c r="I49" s="894" t="n"/>
      <c r="J49" s="894" t="n"/>
      <c r="K49" s="892" t="n"/>
      <c r="L49" s="892" t="n"/>
      <c r="M49" s="892" t="n"/>
      <c r="N49" s="892" t="n"/>
      <c r="O49" s="892" t="n"/>
      <c r="P49" s="892" t="n"/>
      <c r="Q49" s="892" t="n"/>
      <c r="R49" s="892" t="n"/>
      <c r="S49" s="894">
        <f>SUM(G49:R49)</f>
        <v/>
      </c>
      <c r="T49" s="1187" t="n"/>
      <c r="U49" s="1188" t="n"/>
      <c r="V49" s="1188" t="n"/>
      <c r="W49" s="135" t="n"/>
      <c r="X49" s="1188" t="n"/>
      <c r="Y49" s="1188" t="n"/>
    </row>
    <row r="50" ht="15" customHeight="1">
      <c r="A50" s="33" t="inlineStr">
        <is>
          <t>Eightfold - 9706598533 (bis 30.09.2024) - 810.000</t>
        </is>
      </c>
      <c r="B50" s="30" t="inlineStr">
        <is>
          <t>Eightfold</t>
        </is>
      </c>
      <c r="C50" t="inlineStr">
        <is>
          <t>Ext. Portal, div. Portale</t>
        </is>
      </c>
      <c r="D50" s="1185" t="n"/>
      <c r="E50" s="1185" t="n"/>
      <c r="F50" s="1211" t="n"/>
      <c r="G50" s="891" t="n">
        <v>67500</v>
      </c>
      <c r="H50" s="891" t="n">
        <v>67500</v>
      </c>
      <c r="I50" s="891" t="n">
        <v>67500</v>
      </c>
      <c r="J50" s="891" t="n">
        <v>67500</v>
      </c>
      <c r="K50" s="891" t="n">
        <v>67500</v>
      </c>
      <c r="L50" s="891" t="n">
        <v>67500</v>
      </c>
      <c r="M50" s="891" t="n">
        <v>67500</v>
      </c>
      <c r="N50" s="891" t="n">
        <v>67500</v>
      </c>
      <c r="O50" s="891" t="n">
        <v>67500</v>
      </c>
      <c r="P50" s="891" t="n">
        <v>67500</v>
      </c>
      <c r="Q50" s="891" t="n">
        <v>67500</v>
      </c>
      <c r="R50" s="891" t="n">
        <v>67500</v>
      </c>
      <c r="S50" s="919">
        <f>SUM(G50:R50)</f>
        <v/>
      </c>
      <c r="T50" s="1187" t="n">
        <v>810000</v>
      </c>
      <c r="U50" s="1188" t="n">
        <v>810000</v>
      </c>
      <c r="V50" s="1188" t="n"/>
      <c r="W50" s="135" t="n"/>
      <c r="X50" s="1188" t="n">
        <v>810000</v>
      </c>
      <c r="Y50" s="1188" t="n">
        <v>810000</v>
      </c>
    </row>
    <row r="51" ht="15" customHeight="1">
      <c r="A51" s="33" t="inlineStr">
        <is>
          <t>iCims (Jibe, incl. Ruutly) - 9707295940 - $400.820 (€375.000 /1,07)</t>
        </is>
      </c>
      <c r="B51" s="30" t="inlineStr">
        <is>
          <t>iCims/Jibe</t>
        </is>
      </c>
      <c r="C51" t="inlineStr">
        <is>
          <t>External candidate portal</t>
        </is>
      </c>
      <c r="D51" s="1185" t="n"/>
      <c r="E51" s="1185" t="n"/>
      <c r="F51" s="1211" t="n"/>
      <c r="G51" s="909" t="n">
        <v>33402</v>
      </c>
      <c r="H51" s="909" t="n">
        <v>33402</v>
      </c>
      <c r="I51" s="909" t="n">
        <v>33402</v>
      </c>
      <c r="J51" s="909" t="n">
        <v>33402</v>
      </c>
      <c r="K51" s="909" t="n">
        <v>33402</v>
      </c>
      <c r="L51" s="909" t="n">
        <v>33402</v>
      </c>
      <c r="M51" s="909" t="n">
        <v>33402</v>
      </c>
      <c r="N51" s="909" t="n">
        <v>33402</v>
      </c>
      <c r="O51" s="909" t="n">
        <v>33402</v>
      </c>
      <c r="P51" s="909" t="n">
        <v>33402</v>
      </c>
      <c r="Q51" s="909" t="n">
        <v>33402</v>
      </c>
      <c r="R51" s="909" t="n">
        <v>33402</v>
      </c>
      <c r="S51" s="919">
        <f>SUM(G51:R51)</f>
        <v/>
      </c>
      <c r="T51" s="1187" t="n">
        <v>0</v>
      </c>
      <c r="U51" s="1188" t="n">
        <v>180000</v>
      </c>
      <c r="V51" s="1188" t="n"/>
      <c r="W51" s="135" t="n"/>
      <c r="X51" s="1188" t="n">
        <v>400820</v>
      </c>
      <c r="Y51" s="1188" t="n">
        <v>400820</v>
      </c>
    </row>
    <row r="52" ht="15" customHeight="1">
      <c r="A52" s="33" t="inlineStr">
        <is>
          <t>Tupu (TRE)</t>
        </is>
      </c>
      <c r="B52" s="30" t="inlineStr">
        <is>
          <t>Tupu</t>
        </is>
      </c>
      <c r="D52" s="1185" t="n"/>
      <c r="E52" s="1185" t="n"/>
      <c r="F52" s="1211" t="n"/>
      <c r="G52" s="894" t="n"/>
      <c r="H52" s="894" t="n"/>
      <c r="I52" s="897" t="n">
        <v>48883</v>
      </c>
      <c r="J52" s="894" t="n"/>
      <c r="K52" s="894" t="n"/>
      <c r="L52" s="894" t="n"/>
      <c r="M52" s="894" t="n"/>
      <c r="N52" s="894" t="n"/>
      <c r="O52" s="894" t="n"/>
      <c r="P52" s="894" t="n"/>
      <c r="Q52" s="894" t="n"/>
      <c r="R52" s="892" t="n"/>
      <c r="S52" s="919">
        <f>SUM(G52:R52)</f>
        <v/>
      </c>
      <c r="T52" s="1187" t="n">
        <v>72000</v>
      </c>
      <c r="U52" s="1188" t="n">
        <v>74000</v>
      </c>
      <c r="V52" s="1188" t="n"/>
      <c r="W52" s="135" t="n"/>
      <c r="X52" s="1188" t="n">
        <v>74000</v>
      </c>
      <c r="Y52" s="1188" t="n">
        <v>74000</v>
      </c>
    </row>
    <row r="53" ht="15" customHeight="1">
      <c r="A53" s="55" t="inlineStr">
        <is>
          <t>SAG Subscription fee 3rd year</t>
        </is>
      </c>
      <c r="D53" s="1185" t="n"/>
      <c r="E53" s="1185" t="n"/>
      <c r="F53" s="1211" t="n"/>
      <c r="G53" s="894" t="n"/>
      <c r="H53" s="894" t="n"/>
      <c r="I53" s="897" t="n">
        <v>9759</v>
      </c>
      <c r="J53" s="894" t="n"/>
      <c r="K53" s="894" t="n"/>
      <c r="L53" s="894" t="n"/>
      <c r="M53" s="894" t="n"/>
      <c r="N53" s="894" t="n"/>
      <c r="O53" s="894" t="n"/>
      <c r="P53" s="894" t="n"/>
      <c r="Q53" s="894" t="n"/>
      <c r="R53" s="892" t="n"/>
      <c r="S53" s="919" t="n"/>
      <c r="T53" s="1187" t="n"/>
      <c r="U53" s="1188" t="n"/>
      <c r="V53" s="1188" t="n"/>
      <c r="W53" s="135" t="n"/>
      <c r="X53" s="1188" t="n"/>
      <c r="Y53" s="1188" t="n"/>
    </row>
    <row r="54" ht="15" customHeight="1">
      <c r="A54" s="55" t="inlineStr">
        <is>
          <t>SAG Licenses (39+26)</t>
        </is>
      </c>
      <c r="D54" s="1185" t="n"/>
      <c r="E54" s="1185" t="n"/>
      <c r="F54" s="1211" t="n"/>
      <c r="G54" s="894" t="n"/>
      <c r="H54" s="894" t="n"/>
      <c r="I54" s="897" t="n">
        <v>39124</v>
      </c>
      <c r="J54" s="894" t="n"/>
      <c r="K54" s="894" t="n"/>
      <c r="L54" s="894" t="n"/>
      <c r="M54" s="894" t="n"/>
      <c r="N54" s="894" t="n"/>
      <c r="O54" s="894" t="n"/>
      <c r="P54" s="894" t="n"/>
      <c r="Q54" s="894" t="n"/>
      <c r="R54" s="892" t="n"/>
      <c r="S54" s="919" t="n"/>
      <c r="T54" s="1187" t="n"/>
      <c r="U54" s="1188" t="n"/>
      <c r="V54" s="1188" t="n"/>
      <c r="W54" s="135" t="n"/>
      <c r="X54" s="1188" t="n"/>
      <c r="Y54" s="1188" t="n"/>
    </row>
    <row r="55" ht="15" customHeight="1">
      <c r="A55" s="55" t="inlineStr">
        <is>
          <t>S'Energy</t>
        </is>
      </c>
      <c r="D55" s="1185" t="n"/>
      <c r="E55" s="1185" t="n"/>
      <c r="F55" s="1211" t="n"/>
      <c r="G55" s="894" t="n"/>
      <c r="H55" s="894" t="n"/>
      <c r="I55" s="897" t="n">
        <v>0</v>
      </c>
      <c r="J55" s="894" t="n"/>
      <c r="K55" s="894" t="n"/>
      <c r="L55" s="894" t="n"/>
      <c r="M55" s="894" t="n"/>
      <c r="N55" s="894" t="n"/>
      <c r="O55" s="894" t="n"/>
      <c r="P55" s="894" t="n"/>
      <c r="Q55" s="894" t="n"/>
      <c r="R55" s="892" t="n"/>
      <c r="S55" s="919" t="n"/>
      <c r="T55" s="1187" t="n"/>
      <c r="U55" s="1188" t="n"/>
      <c r="V55" s="1188" t="n"/>
      <c r="W55" s="135" t="n"/>
      <c r="X55" s="1188" t="n"/>
      <c r="Y55" s="1188" t="n"/>
    </row>
    <row r="56" ht="13" customHeight="1">
      <c r="A56" s="33" t="inlineStr">
        <is>
          <t>eQuest -  103.000 € / 9707285832</t>
        </is>
      </c>
      <c r="D56" s="1185" t="n"/>
      <c r="E56" s="1185" t="n"/>
      <c r="F56" s="1211" t="n"/>
      <c r="G56" s="897">
        <f>8584</f>
        <v/>
      </c>
      <c r="H56" s="897">
        <f>8584</f>
        <v/>
      </c>
      <c r="I56" s="894">
        <f>8584</f>
        <v/>
      </c>
      <c r="J56" s="891">
        <f>8584</f>
        <v/>
      </c>
      <c r="K56" s="891">
        <f>8584</f>
        <v/>
      </c>
      <c r="L56" s="894">
        <f>8584</f>
        <v/>
      </c>
      <c r="M56" s="894">
        <f>8584</f>
        <v/>
      </c>
      <c r="N56" s="894">
        <f>8584</f>
        <v/>
      </c>
      <c r="O56" s="894">
        <f>8584</f>
        <v/>
      </c>
      <c r="P56" s="894">
        <f>8584</f>
        <v/>
      </c>
      <c r="Q56" s="894">
        <f>8584</f>
        <v/>
      </c>
      <c r="R56" s="894">
        <f>8584</f>
        <v/>
      </c>
      <c r="S56" s="919">
        <f>SUM(G56:R56)</f>
        <v/>
      </c>
      <c r="T56" s="1187" t="n">
        <v>103008</v>
      </c>
      <c r="U56" s="1188" t="n">
        <v>103008</v>
      </c>
      <c r="V56" s="1188" t="n"/>
      <c r="W56" s="135" t="n"/>
      <c r="X56" s="1188" t="n">
        <v>140000</v>
      </c>
      <c r="Y56" s="1192" t="n">
        <v>140000</v>
      </c>
    </row>
    <row r="57" ht="15" customFormat="1" customHeight="1" s="5">
      <c r="A57" s="56" t="inlineStr">
        <is>
          <t>Premium Data Report for SAG (pro rata to 30.03.2022) 3.500 €</t>
        </is>
      </c>
      <c r="B57" s="36" t="n"/>
      <c r="D57" s="1189" t="n"/>
      <c r="E57" s="1189" t="n"/>
      <c r="F57" s="1210" t="n"/>
      <c r="G57" s="894" t="n"/>
      <c r="H57" s="894" t="n"/>
      <c r="I57" s="894" t="n"/>
      <c r="J57" s="894" t="n"/>
      <c r="K57" s="894" t="n">
        <v>3500</v>
      </c>
      <c r="M57" s="26" t="n"/>
      <c r="N57" s="894" t="n"/>
      <c r="O57" s="894" t="n"/>
      <c r="P57" s="894" t="n"/>
      <c r="Q57" s="894" t="n"/>
      <c r="R57" s="894" t="n">
        <v>0</v>
      </c>
      <c r="S57" s="919">
        <f>SUM(G57:R57)</f>
        <v/>
      </c>
      <c r="T57" s="1187" t="n">
        <v>6000</v>
      </c>
      <c r="U57" s="1188" t="n">
        <v>6000</v>
      </c>
      <c r="V57" s="1188" t="n"/>
      <c r="W57" s="135" t="n"/>
      <c r="X57" s="1188" t="n"/>
      <c r="Y57" s="1188" t="n"/>
    </row>
    <row r="58" ht="15" customFormat="1" customHeight="1" s="26">
      <c r="A58" s="86" t="inlineStr">
        <is>
          <t>Automated XML feeds 28.542 €</t>
        </is>
      </c>
      <c r="B58" s="36" t="n"/>
      <c r="C58" s="5" t="n"/>
      <c r="D58" s="1189" t="n"/>
      <c r="E58" s="1189" t="n"/>
      <c r="F58" s="1210" t="n"/>
      <c r="G58" s="921" t="n"/>
      <c r="H58" s="921" t="n"/>
      <c r="I58" s="921" t="n"/>
      <c r="J58" s="921" t="n"/>
      <c r="K58" s="921" t="n"/>
      <c r="L58" s="921" t="n">
        <v>28542</v>
      </c>
      <c r="M58" s="894" t="n"/>
      <c r="N58" s="894" t="n"/>
      <c r="O58" s="894" t="n"/>
      <c r="P58" s="894" t="n"/>
      <c r="Q58" s="894" t="n"/>
      <c r="R58" s="894" t="n"/>
      <c r="S58" s="1191">
        <f>SUM(G58:R58)</f>
        <v/>
      </c>
      <c r="T58" s="1187" t="n"/>
      <c r="U58" s="1188" t="n">
        <v>30000</v>
      </c>
      <c r="V58" s="1188" t="n"/>
      <c r="W58" s="135" t="n"/>
      <c r="X58" s="1188" t="n"/>
      <c r="Y58" s="1188" t="n"/>
    </row>
    <row r="59" ht="15" customFormat="1" customHeight="1" s="26">
      <c r="A59" s="78" t="inlineStr">
        <is>
          <t>Renewal Oct 2023: 143.250 €</t>
        </is>
      </c>
      <c r="B59" s="162" t="n"/>
      <c r="C59" s="163" t="n"/>
      <c r="D59" s="1212" t="n"/>
      <c r="E59" s="1212" t="n"/>
      <c r="F59" s="1213" t="n"/>
      <c r="G59" s="1214" t="n"/>
      <c r="H59" s="1214" t="n"/>
      <c r="I59" s="1214" t="n"/>
      <c r="J59" s="1214" t="n"/>
      <c r="K59" s="1214" t="n"/>
      <c r="L59" s="1214" t="n"/>
      <c r="M59" s="1214" t="n"/>
      <c r="N59" s="1214" t="n"/>
      <c r="O59" s="1214" t="n"/>
      <c r="P59" s="1214" t="n"/>
      <c r="Q59" s="1214" t="n"/>
      <c r="R59" s="1214" t="n"/>
      <c r="S59" s="1214" t="n"/>
      <c r="T59" s="1187" t="n"/>
      <c r="U59" s="1188" t="n"/>
      <c r="V59" s="1188" t="n"/>
      <c r="W59" s="135" t="n"/>
      <c r="X59" s="1188" t="n"/>
      <c r="Y59" s="1188" t="n"/>
    </row>
    <row r="60" ht="15" customHeight="1">
      <c r="A60" s="100" t="inlineStr">
        <is>
          <t>Adobe Sign</t>
        </is>
      </c>
      <c r="D60" s="1185" t="n"/>
      <c r="E60" s="1185" t="n"/>
      <c r="F60" s="1211" t="n"/>
      <c r="G60" s="924" t="n"/>
      <c r="H60" s="892" t="n"/>
      <c r="I60" s="892" t="n"/>
      <c r="J60" s="892" t="n"/>
      <c r="K60" s="892" t="n"/>
      <c r="L60" s="892" t="n"/>
      <c r="M60" s="892" t="n"/>
      <c r="N60" s="892" t="n"/>
      <c r="O60" s="892" t="n"/>
      <c r="P60" s="892" t="n"/>
      <c r="Q60" s="892" t="n"/>
      <c r="R60" s="892" t="n">
        <v>70000</v>
      </c>
      <c r="S60" s="919">
        <f>SUM(G60:R60)</f>
        <v/>
      </c>
      <c r="T60" s="1187" t="n">
        <v>33000</v>
      </c>
      <c r="U60" s="1188" t="n">
        <v>70000</v>
      </c>
      <c r="V60" s="1188" t="n"/>
      <c r="W60" s="135" t="n"/>
      <c r="X60" s="1188" t="n">
        <v>70000</v>
      </c>
      <c r="Y60" s="1188" t="n">
        <v>70000</v>
      </c>
    </row>
    <row r="61" ht="15" customHeight="1">
      <c r="A61" s="152" t="inlineStr">
        <is>
          <t>Integrations Provider</t>
        </is>
      </c>
      <c r="B61" s="153" t="n"/>
      <c r="C61" s="152" t="n"/>
      <c r="D61" s="1215" t="n"/>
      <c r="E61" s="1215" t="n"/>
      <c r="F61" s="1216" t="n"/>
      <c r="G61" s="1217">
        <f>SUM(G50:G60)+G35</f>
        <v/>
      </c>
      <c r="H61" s="1217">
        <f>SUM(H50:H60)+H35</f>
        <v/>
      </c>
      <c r="I61" s="1217">
        <f>SUM(I56:I60)+I35+SUM(I50:I52)</f>
        <v/>
      </c>
      <c r="J61" s="1217">
        <f>SUM(J50:J60)+J35</f>
        <v/>
      </c>
      <c r="K61" s="1217">
        <f>SUM(K50:K60)+K35</f>
        <v/>
      </c>
      <c r="L61" s="1217">
        <f>SUM(L47:L60)+L35</f>
        <v/>
      </c>
      <c r="M61" s="1217">
        <f>SUM(M50:M60)+M41</f>
        <v/>
      </c>
      <c r="N61" s="1217">
        <f>SUM(N48:N60)+N35</f>
        <v/>
      </c>
      <c r="O61" s="1217">
        <f>SUM(O50:O60)+O35</f>
        <v/>
      </c>
      <c r="P61" s="1217">
        <f>SUM(P50:P60)+P41</f>
        <v/>
      </c>
      <c r="Q61" s="1217">
        <f>SUM(Q50:Q60)+Q35</f>
        <v/>
      </c>
      <c r="R61" s="1217">
        <f>SUM(R50:R60)+R35</f>
        <v/>
      </c>
      <c r="S61" s="1217">
        <f>SUM(S50:S60)+S35</f>
        <v/>
      </c>
      <c r="T61" s="1218" t="n">
        <v>2428819.5</v>
      </c>
      <c r="U61" s="1217">
        <f>SUM(U19:U59)</f>
        <v/>
      </c>
      <c r="V61" s="1217">
        <f>X61-S61</f>
        <v/>
      </c>
      <c r="W61" s="158">
        <f>V61/S61</f>
        <v/>
      </c>
      <c r="X61" s="1217">
        <f>SUM(X35:X60)</f>
        <v/>
      </c>
      <c r="Y61" s="1217">
        <f>SUM(Y35:Y60)</f>
        <v/>
      </c>
    </row>
    <row r="62" ht="15" customHeight="1">
      <c r="A62" s="93" t="n"/>
      <c r="B62" s="94" t="n"/>
      <c r="C62" s="93" t="n"/>
      <c r="D62" s="1219" t="n"/>
      <c r="E62" s="1219" t="n"/>
      <c r="F62" s="1220" t="n"/>
      <c r="G62" s="1221" t="n"/>
      <c r="H62" s="1221" t="n"/>
      <c r="I62" s="1221" t="n"/>
      <c r="J62" s="1221" t="n"/>
      <c r="K62" s="1222" t="n"/>
      <c r="L62" s="1222" t="n"/>
      <c r="M62" s="1222" t="n"/>
      <c r="N62" s="1222" t="n"/>
      <c r="O62" s="1222" t="n"/>
      <c r="P62" s="1222" t="n"/>
      <c r="Q62" s="1222" t="n"/>
      <c r="R62" s="1222" t="n"/>
      <c r="S62" s="1223">
        <f>SUM(S50:S60)+S35</f>
        <v/>
      </c>
      <c r="T62" s="1224" t="n"/>
      <c r="U62" s="1223" t="n"/>
      <c r="V62" s="1223">
        <f>S62*W62</f>
        <v/>
      </c>
      <c r="W62" s="115" t="n">
        <v>0.05</v>
      </c>
      <c r="X62" s="1223">
        <f>S61+V62</f>
        <v/>
      </c>
      <c r="Y62" s="1223" t="n"/>
    </row>
    <row r="63" ht="15" customHeight="1">
      <c r="A63" s="34" t="inlineStr">
        <is>
          <t>MyLearningWorld</t>
        </is>
      </c>
      <c r="B63" s="36" t="inlineStr">
        <is>
          <t>Infosys</t>
        </is>
      </c>
      <c r="C63" s="5" t="inlineStr">
        <is>
          <t>LXP integration</t>
        </is>
      </c>
      <c r="D63" s="1189" t="n"/>
      <c r="E63" s="1189" t="n"/>
      <c r="F63" s="1210" t="n"/>
      <c r="G63" s="924" t="n"/>
      <c r="H63" s="921" t="n"/>
      <c r="I63" s="921" t="n"/>
      <c r="J63" s="921" t="n"/>
      <c r="K63" s="921" t="n"/>
      <c r="L63" s="921" t="n"/>
      <c r="M63" s="921" t="n"/>
      <c r="N63" s="921" t="n"/>
      <c r="O63" s="921" t="n"/>
      <c r="P63" s="921" t="n"/>
      <c r="Q63" s="921" t="n"/>
      <c r="R63" s="921" t="n">
        <v>20000</v>
      </c>
      <c r="S63" s="1191">
        <f>SUM(G63:R63)</f>
        <v/>
      </c>
      <c r="T63" s="1187" t="n">
        <v>20000</v>
      </c>
      <c r="U63" s="1188" t="n">
        <v>20000</v>
      </c>
      <c r="V63" s="1188" t="n"/>
      <c r="W63" s="135" t="n"/>
      <c r="X63" s="1188" t="n">
        <v>100000</v>
      </c>
      <c r="Y63" s="1188" t="n">
        <v>100000</v>
      </c>
      <c r="Z63" t="inlineStr">
        <is>
          <t>covered in Avature Addons (100T€)</t>
        </is>
      </c>
      <c r="AA63" t="inlineStr">
        <is>
          <t>tbd.</t>
        </is>
      </c>
    </row>
    <row r="64" ht="15" customFormat="1" customHeight="1" s="5">
      <c r="A64" s="34" t="inlineStr">
        <is>
          <t>Siemens SMTP (Mailgateway Tupu, EF (ab 01.04.2023), Avature (tbd.)</t>
        </is>
      </c>
      <c r="B64" s="36" t="n"/>
      <c r="D64" s="1189" t="n"/>
      <c r="E64" s="1189" t="n"/>
      <c r="F64" s="1210" t="n"/>
      <c r="G64" s="894">
        <f>8000/12</f>
        <v/>
      </c>
      <c r="H64" s="894">
        <f>8000/12</f>
        <v/>
      </c>
      <c r="I64" s="894">
        <f>8000/12</f>
        <v/>
      </c>
      <c r="J64" s="894">
        <f>8000/12</f>
        <v/>
      </c>
      <c r="K64" s="894">
        <f>8000/12</f>
        <v/>
      </c>
      <c r="L64" s="894">
        <f>8000/12</f>
        <v/>
      </c>
      <c r="M64" s="894">
        <f>8000/12</f>
        <v/>
      </c>
      <c r="N64" s="894">
        <f>8000/12</f>
        <v/>
      </c>
      <c r="O64" s="894">
        <f>8000/12</f>
        <v/>
      </c>
      <c r="P64" s="894">
        <f>8000/12</f>
        <v/>
      </c>
      <c r="Q64" s="894">
        <f>8000/12</f>
        <v/>
      </c>
      <c r="R64" s="894">
        <f>8000/12</f>
        <v/>
      </c>
      <c r="S64" s="929">
        <f>SUM(G64:R64)</f>
        <v/>
      </c>
      <c r="T64" s="1187" t="n">
        <v>8000.000000000001</v>
      </c>
      <c r="U64" s="1188" t="n"/>
      <c r="V64" s="1188" t="n"/>
      <c r="W64" s="135" t="n"/>
      <c r="X64" s="1188" t="n"/>
      <c r="Y64" s="1188" t="n"/>
      <c r="Z64" t="inlineStr">
        <is>
          <t>covered in Avature Addons (100T€)</t>
        </is>
      </c>
      <c r="AA64" t="inlineStr">
        <is>
          <t>internal booking</t>
        </is>
      </c>
    </row>
    <row r="65" ht="15" customFormat="1" customHeight="1" s="5">
      <c r="A65" s="34" t="inlineStr">
        <is>
          <t>Wiki (TA Wiki; ALM Archive)</t>
        </is>
      </c>
      <c r="B65" s="36" t="n"/>
      <c r="D65" s="1189" t="n"/>
      <c r="E65" s="1189" t="n"/>
      <c r="F65" s="1210" t="n"/>
      <c r="G65" s="894">
        <f>175</f>
        <v/>
      </c>
      <c r="H65" s="894">
        <f>175</f>
        <v/>
      </c>
      <c r="I65" s="894">
        <f>175</f>
        <v/>
      </c>
      <c r="J65" s="894">
        <f>175</f>
        <v/>
      </c>
      <c r="K65" s="894">
        <f>175</f>
        <v/>
      </c>
      <c r="L65" s="894">
        <f>175</f>
        <v/>
      </c>
      <c r="M65" s="894">
        <f>175</f>
        <v/>
      </c>
      <c r="N65" s="894">
        <f>175</f>
        <v/>
      </c>
      <c r="O65" s="894">
        <f>175</f>
        <v/>
      </c>
      <c r="P65" s="894">
        <f>175</f>
        <v/>
      </c>
      <c r="Q65" s="894">
        <f>175</f>
        <v/>
      </c>
      <c r="R65" s="894">
        <f>175</f>
        <v/>
      </c>
      <c r="S65" s="929">
        <f>SUM(G65:R65)</f>
        <v/>
      </c>
      <c r="T65" s="1187" t="n">
        <v>2100</v>
      </c>
      <c r="U65" s="1188" t="n"/>
      <c r="V65" s="1188" t="n"/>
      <c r="W65" s="135" t="n"/>
      <c r="X65" s="1188" t="n"/>
      <c r="Y65" s="1188" t="n"/>
      <c r="Z65" t="inlineStr">
        <is>
          <t>covered in Avature Addons (100T€)</t>
        </is>
      </c>
      <c r="AA65" t="inlineStr">
        <is>
          <t>internal booking</t>
        </is>
      </c>
    </row>
    <row r="66" ht="15" customFormat="1" customHeight="1" s="5">
      <c r="A66" s="33" t="inlineStr">
        <is>
          <t>Siemens IT - DirX direct charge Avature and EF, GBS H2R DPS others (Certificates, SCD)</t>
        </is>
      </c>
      <c r="B66" s="30" t="n"/>
      <c r="D66" s="1185" t="n"/>
      <c r="E66" s="1185" t="n"/>
      <c r="F66" s="1211" t="n"/>
      <c r="G66" s="894" t="n">
        <v>2555</v>
      </c>
      <c r="H66" s="894" t="n">
        <v>2555</v>
      </c>
      <c r="I66" s="894" t="n">
        <v>2555</v>
      </c>
      <c r="J66" s="894" t="n">
        <v>2555</v>
      </c>
      <c r="K66" s="909" t="n">
        <v>4010</v>
      </c>
      <c r="L66" s="909" t="n">
        <v>4010</v>
      </c>
      <c r="M66" s="909" t="n">
        <v>4010</v>
      </c>
      <c r="N66" s="909" t="n">
        <v>4010</v>
      </c>
      <c r="O66" s="909" t="n">
        <v>4010</v>
      </c>
      <c r="P66" s="909" t="n">
        <v>4010</v>
      </c>
      <c r="Q66" s="909" t="n">
        <v>4010</v>
      </c>
      <c r="R66" s="909" t="n">
        <v>4010</v>
      </c>
      <c r="S66" s="919">
        <f>SUM(G66:R66)</f>
        <v/>
      </c>
      <c r="T66" s="1187" t="n">
        <v>168711.5</v>
      </c>
      <c r="U66" s="1188" t="n">
        <v>80000</v>
      </c>
      <c r="V66" s="1188" t="n"/>
      <c r="W66" s="135" t="n"/>
      <c r="X66" s="1188" t="n"/>
      <c r="Y66" s="1188" t="n"/>
      <c r="Z66" t="inlineStr">
        <is>
          <t>covered in Avature Addons (100T€)</t>
        </is>
      </c>
      <c r="AA66" t="inlineStr">
        <is>
          <t>internal booking</t>
        </is>
      </c>
    </row>
    <row r="67" ht="15" customHeight="1">
      <c r="A67" s="34" t="inlineStr">
        <is>
          <t>JCC (Proxy for ICSR)</t>
        </is>
      </c>
      <c r="B67" s="30" t="inlineStr">
        <is>
          <t>GBS H2R DPS C07</t>
        </is>
      </c>
      <c r="C67" s="26" t="inlineStr">
        <is>
          <t>Siemens landscape Integrations</t>
        </is>
      </c>
      <c r="D67" s="1198" t="n"/>
      <c r="E67" s="1198" t="n"/>
      <c r="F67" s="1208" t="n"/>
      <c r="G67" s="894">
        <f>750</f>
        <v/>
      </c>
      <c r="H67" s="894">
        <f>750</f>
        <v/>
      </c>
      <c r="I67" s="894">
        <f>750</f>
        <v/>
      </c>
      <c r="J67" s="894">
        <f>750</f>
        <v/>
      </c>
      <c r="K67" s="894">
        <f>750</f>
        <v/>
      </c>
      <c r="L67" s="894">
        <f>750</f>
        <v/>
      </c>
      <c r="M67" s="894">
        <f>750</f>
        <v/>
      </c>
      <c r="N67" s="894">
        <f>750</f>
        <v/>
      </c>
      <c r="O67" s="894">
        <f>750</f>
        <v/>
      </c>
      <c r="P67" s="894">
        <f>750</f>
        <v/>
      </c>
      <c r="Q67" s="894">
        <f>750</f>
        <v/>
      </c>
      <c r="R67" s="894">
        <f>750</f>
        <v/>
      </c>
      <c r="S67" s="929">
        <f>SUM(G67:R67)</f>
        <v/>
      </c>
      <c r="T67" s="1187" t="n">
        <v>18000</v>
      </c>
      <c r="U67" s="1188" t="n">
        <v>9000</v>
      </c>
      <c r="V67" s="1188" t="n"/>
      <c r="W67" s="135" t="n"/>
      <c r="X67" s="1188" t="n"/>
      <c r="Y67" s="1188" t="n"/>
      <c r="Z67" t="inlineStr">
        <is>
          <t>covered in Avature Addons (100T€)</t>
        </is>
      </c>
      <c r="AA67" t="inlineStr">
        <is>
          <t>internal booking</t>
        </is>
      </c>
    </row>
    <row r="68" ht="15" customFormat="1" customHeight="1" s="5">
      <c r="A68" s="33" t="inlineStr">
        <is>
          <t>SOC</t>
        </is>
      </c>
      <c r="B68" s="52" t="inlineStr">
        <is>
          <t>GBS</t>
        </is>
      </c>
      <c r="C68" s="26" t="inlineStr">
        <is>
          <t>SOC integration</t>
        </is>
      </c>
      <c r="D68" s="1198" t="n"/>
      <c r="E68" s="1198" t="n"/>
      <c r="F68" s="1208" t="n"/>
      <c r="G68" s="894" t="n"/>
      <c r="H68" s="894" t="n"/>
      <c r="I68" s="894" t="n"/>
      <c r="J68" s="894" t="n"/>
      <c r="K68" s="894" t="n"/>
      <c r="L68" s="894" t="n"/>
      <c r="M68" s="894" t="n"/>
      <c r="N68" s="894" t="n"/>
      <c r="O68" s="894" t="n"/>
      <c r="P68" s="894" t="n"/>
      <c r="Q68" s="894" t="n"/>
      <c r="R68" s="894" t="n">
        <v>0</v>
      </c>
      <c r="S68" s="929">
        <f>SUM(G68:R68)</f>
        <v/>
      </c>
      <c r="T68" s="1187" t="n">
        <v>0</v>
      </c>
      <c r="U68" s="1188" t="n">
        <v>0</v>
      </c>
      <c r="V68" s="1188" t="n"/>
      <c r="W68" s="135" t="n"/>
      <c r="X68" s="1188" t="n"/>
      <c r="Y68" s="1188" t="n"/>
    </row>
    <row r="69" ht="15" customHeight="1">
      <c r="A69" s="152" t="inlineStr">
        <is>
          <t>Integrations SAG</t>
        </is>
      </c>
      <c r="B69" s="153" t="n"/>
      <c r="C69" s="152" t="n"/>
      <c r="D69" s="1215" t="n"/>
      <c r="E69" s="1215" t="n"/>
      <c r="F69" s="1216" t="n"/>
      <c r="G69" s="1218">
        <f>SUM(G63:G68)</f>
        <v/>
      </c>
      <c r="H69" s="1218">
        <f>SUM(H63:H68)</f>
        <v/>
      </c>
      <c r="I69" s="1218">
        <f>SUM(I63:I68)</f>
        <v/>
      </c>
      <c r="J69" s="1218">
        <f>SUM(J63:J68)</f>
        <v/>
      </c>
      <c r="K69" s="1218">
        <f>SUM(K63:K68)</f>
        <v/>
      </c>
      <c r="L69" s="1218">
        <f>SUM(L63:L68)</f>
        <v/>
      </c>
      <c r="M69" s="1218">
        <f>SUM(M63:M68)</f>
        <v/>
      </c>
      <c r="N69" s="1218">
        <f>SUM(N63:N68)</f>
        <v/>
      </c>
      <c r="O69" s="1218">
        <f>SUM(O63:O68)</f>
        <v/>
      </c>
      <c r="P69" s="1218">
        <f>SUM(P63:P68)</f>
        <v/>
      </c>
      <c r="Q69" s="1218">
        <f>SUM(Q63:Q68)</f>
        <v/>
      </c>
      <c r="R69" s="1218">
        <f>SUM(R63:R68)</f>
        <v/>
      </c>
      <c r="S69" s="1217">
        <f>SUM(S63:S68)</f>
        <v/>
      </c>
      <c r="T69" s="1218" t="n">
        <v>2428819.5</v>
      </c>
      <c r="U69" s="1217">
        <f>SUM(U35:U67)</f>
        <v/>
      </c>
      <c r="V69" s="1217">
        <f>X69-S69</f>
        <v/>
      </c>
      <c r="W69" s="158">
        <f>V69/S69</f>
        <v/>
      </c>
      <c r="X69" s="1217">
        <f>SUM(X63:X68)</f>
        <v/>
      </c>
      <c r="Y69" s="1217">
        <f>SUM(Y63:Y68)</f>
        <v/>
      </c>
    </row>
    <row r="70" ht="15" customHeight="1">
      <c r="A70" s="6" t="inlineStr">
        <is>
          <t>Integrations total</t>
        </is>
      </c>
      <c r="B70" s="35" t="n"/>
      <c r="C70" s="6" t="n"/>
      <c r="D70" s="1200" t="n"/>
      <c r="E70" s="1200" t="n"/>
      <c r="F70" s="1201" t="n"/>
      <c r="G70" s="902">
        <f>G69+G61</f>
        <v/>
      </c>
      <c r="H70" s="902">
        <f>H69+H61</f>
        <v/>
      </c>
      <c r="I70" s="902">
        <f>I69+I61</f>
        <v/>
      </c>
      <c r="J70" s="902">
        <f>J69+J61</f>
        <v/>
      </c>
      <c r="K70" s="902">
        <f>K69+K61</f>
        <v/>
      </c>
      <c r="L70" s="902">
        <f>L69+L61</f>
        <v/>
      </c>
      <c r="M70" s="902">
        <f>M69+M61</f>
        <v/>
      </c>
      <c r="N70" s="902">
        <f>N69+N61</f>
        <v/>
      </c>
      <c r="O70" s="902">
        <f>O69+O61</f>
        <v/>
      </c>
      <c r="P70" s="902">
        <f>P69+P61</f>
        <v/>
      </c>
      <c r="Q70" s="902">
        <f>Q69+Q61</f>
        <v/>
      </c>
      <c r="R70" s="902">
        <f>R69+R61</f>
        <v/>
      </c>
      <c r="S70" s="900">
        <f>SUM(S61,S69)</f>
        <v/>
      </c>
      <c r="T70" s="1196" t="n">
        <v>2428819.5</v>
      </c>
      <c r="U70" s="1197">
        <f>SUM(U36:U69)</f>
        <v/>
      </c>
      <c r="V70" s="900">
        <f>X70-S70</f>
        <v/>
      </c>
      <c r="W70" s="123">
        <f>V70/S70</f>
        <v/>
      </c>
      <c r="X70" s="900">
        <f>SUM(X61,X69)</f>
        <v/>
      </c>
      <c r="Y70" s="900">
        <f>SUM(Y61,Y69)</f>
        <v/>
      </c>
    </row>
    <row r="71" ht="15" customHeight="1">
      <c r="A71" s="6" t="n"/>
      <c r="B71" s="35" t="n"/>
      <c r="C71" s="6" t="n"/>
      <c r="D71" s="1200" t="n"/>
      <c r="E71" s="1200" t="n"/>
      <c r="F71" s="1201" t="n"/>
      <c r="G71" s="902" t="n"/>
      <c r="H71" s="902" t="n"/>
      <c r="I71" s="902" t="n"/>
      <c r="J71" s="902" t="n"/>
      <c r="K71" s="900" t="n"/>
      <c r="L71" s="900" t="n"/>
      <c r="M71" s="900" t="n"/>
      <c r="N71" s="900" t="n"/>
      <c r="O71" s="900" t="n"/>
      <c r="P71" s="900" t="n"/>
      <c r="Q71" s="900" t="n"/>
      <c r="R71" s="900" t="n"/>
      <c r="S71" s="1202">
        <f>SUM(S61,S69)</f>
        <v/>
      </c>
      <c r="T71" s="1203" t="n"/>
      <c r="U71" s="1204" t="n"/>
      <c r="V71" s="1202">
        <f>S71*W71</f>
        <v/>
      </c>
      <c r="W71" s="115" t="n">
        <v>0.05</v>
      </c>
      <c r="X71" s="1202">
        <f>S71+V71</f>
        <v/>
      </c>
      <c r="Y71" s="1202" t="n"/>
    </row>
    <row r="72" ht="15" customHeight="1">
      <c r="A72" s="33" t="inlineStr">
        <is>
          <t>Accessibility test</t>
        </is>
      </c>
      <c r="B72" s="30" t="inlineStr">
        <is>
          <t>T</t>
        </is>
      </c>
      <c r="D72" s="1185" t="n"/>
      <c r="E72" s="1185" t="n"/>
      <c r="F72" s="1211" t="n"/>
      <c r="G72" s="924" t="n"/>
      <c r="H72" s="892" t="n"/>
      <c r="I72" s="892" t="n"/>
      <c r="J72" s="892" t="n"/>
      <c r="K72" s="892" t="n"/>
      <c r="L72" s="892" t="n"/>
      <c r="M72" s="892" t="n"/>
      <c r="N72" s="892" t="n"/>
      <c r="O72" s="892" t="n"/>
      <c r="P72" s="892" t="n"/>
      <c r="Q72" s="892" t="n"/>
      <c r="R72" s="892" t="n"/>
      <c r="S72" s="919">
        <f>SUM(G72:R72)</f>
        <v/>
      </c>
      <c r="T72" s="1187" t="n">
        <v>0</v>
      </c>
      <c r="U72" s="1188" t="n">
        <v>0</v>
      </c>
      <c r="V72" s="1188" t="n"/>
      <c r="W72" s="135" t="n"/>
      <c r="X72" s="1188" t="n"/>
      <c r="Y72" s="1188" t="n"/>
    </row>
    <row r="73" ht="15" customHeight="1">
      <c r="A73" s="33" t="inlineStr">
        <is>
          <t>Translations</t>
        </is>
      </c>
      <c r="B73" s="30" t="inlineStr">
        <is>
          <t>GBS BPS</t>
        </is>
      </c>
      <c r="D73" s="1185" t="n"/>
      <c r="E73" s="1185" t="n"/>
      <c r="F73" s="1211" t="n"/>
      <c r="G73" s="924" t="n"/>
      <c r="H73" s="892" t="n"/>
      <c r="I73" s="892" t="n"/>
      <c r="J73" s="892" t="n"/>
      <c r="K73" s="892" t="n"/>
      <c r="L73" s="892" t="n"/>
      <c r="M73" s="892" t="n"/>
      <c r="N73" s="892" t="n"/>
      <c r="O73" s="892" t="n"/>
      <c r="P73" s="892" t="n"/>
      <c r="Q73" s="892" t="n"/>
      <c r="R73" s="892" t="n"/>
      <c r="S73" s="919">
        <f>SUM(G73:R73)</f>
        <v/>
      </c>
      <c r="T73" s="1187" t="n">
        <v>0</v>
      </c>
      <c r="U73" s="1188" t="n">
        <v>0</v>
      </c>
      <c r="V73" s="1188" t="n"/>
      <c r="W73" s="135" t="n"/>
      <c r="X73" s="1188" t="n"/>
      <c r="Y73" s="1188" t="n"/>
    </row>
    <row r="74" ht="15" customHeight="1">
      <c r="A74" s="33" t="inlineStr">
        <is>
          <t>Travel &amp; Hospitality</t>
        </is>
      </c>
      <c r="D74" s="1185" t="n"/>
      <c r="E74" s="1185" t="n"/>
      <c r="F74" s="1211" t="n"/>
      <c r="G74" s="924" t="n"/>
      <c r="H74" s="892" t="n"/>
      <c r="I74" s="892" t="n"/>
      <c r="J74" s="892" t="n"/>
      <c r="K74" s="892" t="n"/>
      <c r="L74" s="892" t="n"/>
      <c r="M74" s="892" t="n"/>
      <c r="N74" s="892" t="n"/>
      <c r="O74" s="892" t="n"/>
      <c r="P74" s="892" t="n"/>
      <c r="Q74" s="892" t="n"/>
      <c r="R74" s="892" t="n"/>
      <c r="S74" s="919">
        <f>SUM(G74:R74)</f>
        <v/>
      </c>
      <c r="T74" s="1187" t="n">
        <v>0</v>
      </c>
      <c r="U74" s="1188" t="n">
        <v>0</v>
      </c>
      <c r="V74" s="1188" t="n"/>
      <c r="W74" s="135" t="n"/>
      <c r="X74" s="1188" t="n"/>
      <c r="Y74" s="1188" t="n"/>
    </row>
    <row r="75" ht="15" customHeight="1">
      <c r="A75" s="33" t="inlineStr">
        <is>
          <t>Incentive &amp; Recognition</t>
        </is>
      </c>
      <c r="D75" s="1185" t="n"/>
      <c r="E75" s="1185" t="n"/>
      <c r="F75" s="1211" t="n"/>
      <c r="G75" s="924" t="n"/>
      <c r="H75" s="892" t="n"/>
      <c r="I75" s="892" t="n"/>
      <c r="J75" s="892" t="n"/>
      <c r="K75" s="892" t="n"/>
      <c r="L75" s="892" t="n"/>
      <c r="M75" s="892" t="n"/>
      <c r="N75" s="892" t="n"/>
      <c r="O75" s="892" t="n"/>
      <c r="P75" s="892" t="n"/>
      <c r="Q75" s="892" t="n"/>
      <c r="R75" s="892" t="n"/>
      <c r="S75" s="919">
        <f>SUM(G75:R75)</f>
        <v/>
      </c>
      <c r="T75" s="1187" t="n">
        <v>0</v>
      </c>
      <c r="U75" s="1188" t="n">
        <v>0</v>
      </c>
      <c r="V75" s="1188" t="n"/>
      <c r="W75" s="135" t="n"/>
      <c r="X75" s="1188" t="n"/>
      <c r="Y75" s="1188" t="n"/>
    </row>
    <row r="76" ht="15" customHeight="1">
      <c r="A76" s="6" t="inlineStr">
        <is>
          <t>Additional costs</t>
        </is>
      </c>
      <c r="B76" s="35" t="n"/>
      <c r="C76" s="6" t="n"/>
      <c r="D76" s="1200" t="n"/>
      <c r="E76" s="1200" t="n"/>
      <c r="F76" s="1201" t="n"/>
      <c r="G76" s="900">
        <f>SUM(G72:G75)</f>
        <v/>
      </c>
      <c r="H76" s="900">
        <f>SUM(H72:H75)</f>
        <v/>
      </c>
      <c r="I76" s="900">
        <f>SUM(I72:I75)</f>
        <v/>
      </c>
      <c r="J76" s="900">
        <f>SUM(J72:J75)</f>
        <v/>
      </c>
      <c r="K76" s="900">
        <f>SUM(K72:K75)</f>
        <v/>
      </c>
      <c r="L76" s="900">
        <f>SUM(L72:L75)</f>
        <v/>
      </c>
      <c r="M76" s="900">
        <f>SUM(M72:M75)</f>
        <v/>
      </c>
      <c r="N76" s="900">
        <f>SUM(N72:N75)</f>
        <v/>
      </c>
      <c r="O76" s="900">
        <f>SUM(O72:O75)</f>
        <v/>
      </c>
      <c r="P76" s="900">
        <f>SUM(P72:P75)</f>
        <v/>
      </c>
      <c r="Q76" s="900">
        <f>SUM(Q72:Q75)</f>
        <v/>
      </c>
      <c r="R76" s="900">
        <f>SUM(R72:R75)</f>
        <v/>
      </c>
      <c r="S76" s="900">
        <f>SUM(S72:S75)</f>
        <v/>
      </c>
      <c r="T76" s="1196" t="n">
        <v>60000</v>
      </c>
      <c r="U76" s="1197">
        <f>SUM(U72:U75)</f>
        <v/>
      </c>
      <c r="V76" s="900">
        <f>X76-S76</f>
        <v/>
      </c>
      <c r="W76" s="103" t="n"/>
      <c r="X76" s="900">
        <f>SUM(X72:X75)</f>
        <v/>
      </c>
      <c r="Y76" s="900" t="n"/>
    </row>
    <row r="77" ht="15" customHeight="1">
      <c r="A77" s="148" t="inlineStr">
        <is>
          <t>Total Budget</t>
        </is>
      </c>
      <c r="B77" s="149" t="n"/>
      <c r="C77" s="148" t="n"/>
      <c r="D77" s="149" t="n"/>
      <c r="E77" s="149" t="n"/>
      <c r="F77" s="148" t="n"/>
      <c r="G77" s="1225">
        <f>G6+G28+G69+G76+G19+G12+G61</f>
        <v/>
      </c>
      <c r="H77" s="1225">
        <f>H6+H28+H69+H76+H19+H12+H61</f>
        <v/>
      </c>
      <c r="I77" s="1225">
        <f>I6+I28+I69+I76+I19+I12+I61</f>
        <v/>
      </c>
      <c r="J77" s="1225">
        <f>J6+J28+J69+J76+J19+J12+J61</f>
        <v/>
      </c>
      <c r="K77" s="1225">
        <f>K6+K28+K69+K76+K19+K12+K61</f>
        <v/>
      </c>
      <c r="L77" s="1225">
        <f>L6+L28+L69+L76+L19+L12+L61</f>
        <v/>
      </c>
      <c r="M77" s="1225">
        <f>M6+M28+M69+M76+M19+M12+M61</f>
        <v/>
      </c>
      <c r="N77" s="1225">
        <f>N6+N28+N69+N76+N19+N12+N61</f>
        <v/>
      </c>
      <c r="O77" s="1225">
        <f>O6+O28+O69+O76+O19+O12+O61</f>
        <v/>
      </c>
      <c r="P77" s="1225">
        <f>P6+P28+P69+P76+P19+P12+P61</f>
        <v/>
      </c>
      <c r="Q77" s="1225">
        <f>Q6+Q28+Q69+Q76+Q19+Q12+Q61</f>
        <v/>
      </c>
      <c r="R77" s="1225">
        <f>R6+R28+R69+R76+R19+R12+R61</f>
        <v/>
      </c>
      <c r="S77" s="1225">
        <f>S6+S28+S70+S76+S19+S12+S34</f>
        <v/>
      </c>
      <c r="T77" s="1226" t="n">
        <v>3520503.5</v>
      </c>
      <c r="U77" s="1225">
        <f>U6+U28+U69+U76+U19+U12</f>
        <v/>
      </c>
      <c r="V77" s="1225" t="n"/>
      <c r="W77" s="104" t="n"/>
      <c r="X77" s="1225">
        <f>X6+X28+X70+X76+X19+X12+X34</f>
        <v/>
      </c>
      <c r="Y77" s="1225">
        <f>Y6+Y28+Y70+Y76+Y19+Y12+Y34</f>
        <v/>
      </c>
      <c r="AA77" s="906" t="n"/>
    </row>
    <row r="78" ht="15" customHeight="1">
      <c r="A78" s="64" t="inlineStr">
        <is>
          <t>total DPS Budget</t>
        </is>
      </c>
      <c r="B78" s="65" t="n"/>
      <c r="C78" s="64" t="n"/>
      <c r="D78" s="65" t="n"/>
      <c r="E78" s="65" t="n"/>
      <c r="F78" s="64" t="n"/>
      <c r="G78" s="1140">
        <f>G12+G19+G28+G69+G76+G61</f>
        <v/>
      </c>
      <c r="H78" s="1140">
        <f>H12+H19+H28+H69+H76+H61</f>
        <v/>
      </c>
      <c r="I78" s="1140">
        <f>I12+I19+I28+I69+I76+I61</f>
        <v/>
      </c>
      <c r="J78" s="1140">
        <f>J12+J19+J28+J69+J76+J61</f>
        <v/>
      </c>
      <c r="K78" s="1140">
        <f>K12+K19+K28+K69+K76+K61</f>
        <v/>
      </c>
      <c r="L78" s="1140">
        <f>L12+L19+L28+L69+L76+L61</f>
        <v/>
      </c>
      <c r="M78" s="1140">
        <f>M12+M19+M28+M69+M76+M61</f>
        <v/>
      </c>
      <c r="N78" s="1140">
        <f>N12+N19+N28+N69+N76+N61</f>
        <v/>
      </c>
      <c r="O78" s="1140">
        <f>O12+O19+O28+O69+O76+O61</f>
        <v/>
      </c>
      <c r="P78" s="1140">
        <f>P12+P19+P28+P69+P76+P61</f>
        <v/>
      </c>
      <c r="Q78" s="1140">
        <f>Q12+Q19+Q28+Q69+Q76+Q61</f>
        <v/>
      </c>
      <c r="R78" s="1140">
        <f>R12+R19+R28+R69+R76+R61</f>
        <v/>
      </c>
      <c r="S78" s="1140">
        <f>S12+S19+S28+S70+S76+S34</f>
        <v/>
      </c>
      <c r="T78" s="1139" t="n">
        <v>3127219.5</v>
      </c>
      <c r="U78" s="1140">
        <f>U12+U19+U28+U69+U76</f>
        <v/>
      </c>
      <c r="V78" s="1140">
        <f>SUM(V76,V70,V28,V19,V12,V6)</f>
        <v/>
      </c>
      <c r="W78" s="101">
        <f>V78/S79</f>
        <v/>
      </c>
      <c r="X78" s="1140">
        <f>X12+X19+X28+X70+X76+X34</f>
        <v/>
      </c>
      <c r="Y78" s="1140">
        <f>Y12+Y19+Y28+Y70+Y76+Y34</f>
        <v/>
      </c>
      <c r="AA78" s="906" t="n"/>
    </row>
    <row r="79" ht="13" customHeight="1">
      <c r="A79" s="5" t="n"/>
      <c r="B79" s="36" t="n"/>
      <c r="C79" s="5" t="n"/>
      <c r="S79" s="1227">
        <f>S12+S19+S28+S70+S76</f>
        <v/>
      </c>
      <c r="T79" s="120" t="n"/>
      <c r="U79" s="120" t="n"/>
      <c r="V79" s="1227">
        <f>S79*W79</f>
        <v/>
      </c>
      <c r="W79" s="122" t="n">
        <v>0.05</v>
      </c>
      <c r="X79" s="1227">
        <f>S79+V79</f>
        <v/>
      </c>
      <c r="Y79" s="1227" t="n"/>
    </row>
    <row r="80" ht="13" customHeight="1">
      <c r="A80" s="1" t="inlineStr">
        <is>
          <t>Legend</t>
        </is>
      </c>
      <c r="B80" s="36" t="n"/>
      <c r="C80" s="5" t="n"/>
      <c r="R80" s="906">
        <f>S77-SUM(G77:R77)</f>
        <v/>
      </c>
    </row>
    <row r="81">
      <c r="A81" s="33" t="inlineStr">
        <is>
          <t>Forecast</t>
        </is>
      </c>
      <c r="B81" s="36" t="n"/>
      <c r="C81" s="5" t="n"/>
      <c r="W81" s="1228" t="n"/>
    </row>
    <row r="82">
      <c r="A82" s="90" t="inlineStr">
        <is>
          <t>Actuals</t>
        </is>
      </c>
    </row>
    <row r="83">
      <c r="A83" s="45" t="inlineStr">
        <is>
          <t>covered in GBS budget</t>
        </is>
      </c>
      <c r="B83" s="36" t="n"/>
      <c r="C83" s="5" t="n"/>
    </row>
    <row r="84">
      <c r="A84" s="46" t="inlineStr">
        <is>
          <t>covered in P&amp;O budget</t>
        </is>
      </c>
    </row>
    <row r="88" ht="13" customHeight="1">
      <c r="A88" s="105" t="inlineStr">
        <is>
          <t>Todos</t>
        </is>
      </c>
    </row>
    <row r="89">
      <c r="A89" s="126" t="inlineStr">
        <is>
          <t>Serie mit Steffi einladen</t>
        </is>
      </c>
    </row>
    <row r="90">
      <c r="A90" s="126" t="inlineStr">
        <is>
          <t>Serie mit Anke Bartelheimer einladen</t>
        </is>
      </c>
    </row>
    <row r="91">
      <c r="A91" s="106" t="inlineStr">
        <is>
          <t>Katrin Schubert einladen in Meetings mit Steffi Biegel</t>
        </is>
      </c>
    </row>
    <row r="92">
      <c r="A92" s="106" t="inlineStr">
        <is>
          <t>PSP-Elemente in "Steffi-Datei" aktualisieren</t>
        </is>
      </c>
    </row>
    <row r="93">
      <c r="A93" s="126" t="inlineStr">
        <is>
          <t>Profit für Projekt fehlt</t>
        </is>
      </c>
    </row>
    <row r="94">
      <c r="A94" s="106" t="inlineStr">
        <is>
          <t>Travel Costs - Handling (PT, Vendoren, Barbara, Renate) mit P&amp;O abstimmen</t>
        </is>
      </c>
    </row>
  </sheetData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theme="3" tint="-0.249977111117893"/>
    <outlinePr summaryBelow="1" summaryRight="1"/>
    <pageSetUpPr/>
  </sheetPr>
  <dimension ref="A1:AG44"/>
  <sheetViews>
    <sheetView zoomScaleNormal="100" workbookViewId="0">
      <selection activeCell="N3" sqref="N3"/>
    </sheetView>
  </sheetViews>
  <sheetFormatPr baseColWidth="8" defaultColWidth="11.54296875" defaultRowHeight="22.5" customHeight="1"/>
  <cols>
    <col width="3.08984375" customWidth="1" style="89" min="1" max="1"/>
    <col width="21.90625" bestFit="1" customWidth="1" style="89" min="2" max="2"/>
    <col width="11.08984375" customWidth="1" style="89" min="3" max="3"/>
    <col width="21" bestFit="1" customWidth="1" style="89" min="4" max="4"/>
    <col width="8.54296875" customWidth="1" style="207" min="5" max="5"/>
    <col width="11.36328125" customWidth="1" style="89" min="6" max="6"/>
    <col width="19.54296875" customWidth="1" style="89" min="7" max="7"/>
    <col width="14.90625" customWidth="1" style="89" min="8" max="8"/>
    <col width="14.08984375" customWidth="1" style="207" min="9" max="13"/>
    <col width="11" customWidth="1" style="207" min="14" max="16"/>
    <col width="11.08984375" customWidth="1" style="207" min="17" max="17"/>
    <col width="10.6328125" customWidth="1" style="207" min="18" max="18"/>
    <col width="23.6328125" customWidth="1" style="89" min="19" max="19"/>
    <col width="4.453125" customWidth="1" style="89" min="20" max="20"/>
    <col width="11.54296875" customWidth="1" style="89" min="21" max="21"/>
    <col width="11.6328125" customWidth="1" style="89" min="22" max="22"/>
    <col width="11.54296875" customWidth="1" style="89" min="23" max="23"/>
    <col width="13.08984375" bestFit="1" customWidth="1" style="220" min="24" max="24"/>
    <col width="11.54296875" bestFit="1" customWidth="1" style="89" min="25" max="25"/>
    <col width="11.54296875" customWidth="1" style="89" min="26" max="16384"/>
  </cols>
  <sheetData>
    <row r="1" ht="22.5" customHeight="1">
      <c r="A1" s="199" t="n"/>
      <c r="B1" s="200" t="inlineStr">
        <is>
          <t>Resource Planning</t>
        </is>
      </c>
      <c r="C1" s="200" t="n"/>
      <c r="D1" s="199" t="n"/>
      <c r="E1" s="201" t="n"/>
      <c r="F1" s="199" t="n"/>
      <c r="G1" s="199" t="n"/>
      <c r="H1" s="199" t="n"/>
      <c r="I1" s="201" t="n"/>
      <c r="J1" s="201" t="n"/>
      <c r="K1" s="201" t="n"/>
      <c r="L1" s="201" t="n"/>
      <c r="M1" s="201" t="n"/>
      <c r="N1" s="201" t="n"/>
      <c r="O1" s="201" t="n"/>
      <c r="P1" s="201" t="n"/>
      <c r="Q1" s="201" t="n"/>
      <c r="R1" s="201" t="n"/>
      <c r="S1" s="199" t="n"/>
      <c r="T1" s="199" t="n"/>
    </row>
    <row r="2" ht="31.5" customFormat="1" customHeight="1" s="206">
      <c r="A2" s="202" t="n"/>
      <c r="B2" s="203" t="inlineStr">
        <is>
          <t>Names</t>
        </is>
      </c>
      <c r="C2" s="203" t="inlineStr">
        <is>
          <t>GID</t>
        </is>
      </c>
      <c r="D2" s="203" t="inlineStr">
        <is>
          <t>Role</t>
        </is>
      </c>
      <c r="E2" s="204" t="inlineStr">
        <is>
          <t>Rate level</t>
        </is>
      </c>
      <c r="F2" s="203" t="inlineStr">
        <is>
          <t>Intern/extern</t>
        </is>
      </c>
      <c r="G2" s="203" t="inlineStr">
        <is>
          <t>Department</t>
        </is>
      </c>
      <c r="H2" s="203" t="inlineStr">
        <is>
          <t>Country/ Location</t>
        </is>
      </c>
      <c r="I2" s="204" t="inlineStr">
        <is>
          <t>Operations</t>
        </is>
      </c>
      <c r="J2" s="205" t="inlineStr">
        <is>
          <t>Project
Crew 1 (Eightfold)</t>
        </is>
      </c>
      <c r="K2" s="205" t="inlineStr">
        <is>
          <t>Project
Crew 2 (Avature)</t>
        </is>
      </c>
      <c r="L2" s="205" t="inlineStr">
        <is>
          <t>Project Crew 3 (Avature ext. Careers)</t>
        </is>
      </c>
      <c r="M2" s="205" t="inlineStr">
        <is>
          <t>Project Crew 4 (Preboarding)</t>
        </is>
      </c>
      <c r="N2" s="205" t="inlineStr">
        <is>
          <t>Productive Hours/year</t>
        </is>
      </c>
      <c r="O2" s="205" t="inlineStr">
        <is>
          <t xml:space="preserve">Prod Hours/week </t>
        </is>
      </c>
      <c r="P2" s="205" t="inlineStr">
        <is>
          <t>Cost Rate</t>
        </is>
      </c>
      <c r="Q2" s="205" t="inlineStr">
        <is>
          <t>Sell Rate 
(Internal Customer)</t>
        </is>
      </c>
      <c r="R2" s="205" t="inlineStr">
        <is>
          <t>Annual Costs</t>
        </is>
      </c>
      <c r="S2" s="203" t="inlineStr">
        <is>
          <t>Comment</t>
        </is>
      </c>
      <c r="T2" s="202" t="n"/>
      <c r="U2" s="89" t="n"/>
      <c r="X2" s="221" t="n"/>
    </row>
    <row r="3" ht="22.5" customFormat="1" customHeight="1" s="415">
      <c r="A3" s="414" t="n"/>
      <c r="B3" s="415" t="inlineStr">
        <is>
          <t>Helbing, Björn</t>
        </is>
      </c>
      <c r="C3" s="415" t="inlineStr">
        <is>
          <t>Z000RN2U</t>
        </is>
      </c>
      <c r="D3" s="415" t="inlineStr">
        <is>
          <t>Team Lead Talent Solutions</t>
        </is>
      </c>
      <c r="E3" s="416" t="inlineStr">
        <is>
          <t>R9</t>
        </is>
      </c>
      <c r="F3" s="415" t="inlineStr">
        <is>
          <t>intern</t>
        </is>
      </c>
      <c r="G3" s="415" t="inlineStr">
        <is>
          <t>GBS H2R DPS TMS</t>
        </is>
      </c>
      <c r="H3" s="415" t="inlineStr">
        <is>
          <t>DE - MCH P</t>
        </is>
      </c>
      <c r="I3" s="422" t="n">
        <v>0.3</v>
      </c>
      <c r="J3" s="422" t="n">
        <v>0.05</v>
      </c>
      <c r="K3" s="422" t="n">
        <v>0.3</v>
      </c>
      <c r="L3" s="422" t="n">
        <v>0.3</v>
      </c>
      <c r="M3" s="422" t="n">
        <v>0.05</v>
      </c>
      <c r="N3" s="877" t="n">
        <v>1656</v>
      </c>
      <c r="O3" s="877" t="n">
        <v>40</v>
      </c>
      <c r="P3" s="878" t="n">
        <v>130</v>
      </c>
      <c r="Q3" s="878" t="n">
        <v>148</v>
      </c>
      <c r="R3" s="879">
        <f>N3*P3*SUM(I3:M3)</f>
        <v/>
      </c>
      <c r="S3" s="420" t="n"/>
      <c r="T3" s="414" t="n"/>
      <c r="X3" s="421" t="n"/>
    </row>
    <row r="4" ht="22.5" customFormat="1" customHeight="1" s="415">
      <c r="A4" s="414" t="n"/>
      <c r="B4" s="415" t="inlineStr">
        <is>
          <t>Fernandes Redondo, Amanda</t>
        </is>
      </c>
      <c r="C4" s="415" t="inlineStr">
        <is>
          <t>Z003596V</t>
        </is>
      </c>
      <c r="D4" s="415" t="inlineStr">
        <is>
          <t>IT Service Professional</t>
        </is>
      </c>
      <c r="E4" s="416" t="inlineStr">
        <is>
          <t>R5</t>
        </is>
      </c>
      <c r="F4" s="415" t="inlineStr">
        <is>
          <t>intern</t>
        </is>
      </c>
      <c r="G4" s="415" t="inlineStr">
        <is>
          <t>GBS H2R DPS TMS</t>
        </is>
      </c>
      <c r="H4" s="415" t="inlineStr">
        <is>
          <t>ES - TRC E 5</t>
        </is>
      </c>
      <c r="I4" s="422" t="n">
        <v>1</v>
      </c>
      <c r="J4" s="422" t="n">
        <v>0</v>
      </c>
      <c r="K4" s="422" t="n">
        <v>0</v>
      </c>
      <c r="L4" s="422" t="n">
        <v>0</v>
      </c>
      <c r="M4" s="422" t="n">
        <v>0</v>
      </c>
      <c r="N4" s="877" t="n">
        <v>1648</v>
      </c>
      <c r="O4" s="877" t="n">
        <v>40</v>
      </c>
      <c r="P4" s="878" t="n">
        <v>61.6</v>
      </c>
      <c r="Q4" s="878" t="n">
        <v>72.59999999999999</v>
      </c>
      <c r="R4" s="879">
        <f>N4*P4*SUM(I4:M4)</f>
        <v/>
      </c>
      <c r="S4" s="420" t="n"/>
      <c r="T4" s="414" t="n"/>
      <c r="X4" s="421" t="n"/>
    </row>
    <row r="5" ht="22.5" customFormat="1" customHeight="1" s="415">
      <c r="A5" s="414" t="n"/>
      <c r="B5" s="415" t="inlineStr">
        <is>
          <t>Zouine, Meryem</t>
        </is>
      </c>
      <c r="C5" s="415" t="inlineStr">
        <is>
          <t>Z004UY1U</t>
        </is>
      </c>
      <c r="D5" s="415" t="inlineStr">
        <is>
          <t>IT Service Professional</t>
        </is>
      </c>
      <c r="E5" s="416" t="inlineStr">
        <is>
          <t>R5</t>
        </is>
      </c>
      <c r="F5" s="415" t="inlineStr">
        <is>
          <t>intern</t>
        </is>
      </c>
      <c r="G5" s="415" t="inlineStr">
        <is>
          <t>GBS H2R DPS TMS</t>
        </is>
      </c>
      <c r="H5" s="415" t="inlineStr">
        <is>
          <t>ES - TRC E 5</t>
        </is>
      </c>
      <c r="I5" s="422" t="n">
        <v>0</v>
      </c>
      <c r="J5" s="422" t="n">
        <v>0.1</v>
      </c>
      <c r="K5" s="422" t="n">
        <v>0</v>
      </c>
      <c r="L5" s="422" t="n">
        <v>0</v>
      </c>
      <c r="M5" s="422" t="n">
        <v>0.9</v>
      </c>
      <c r="N5" s="877" t="n">
        <v>1648</v>
      </c>
      <c r="O5" s="877" t="n">
        <v>40</v>
      </c>
      <c r="P5" s="878" t="n">
        <v>61.6</v>
      </c>
      <c r="Q5" s="878" t="n">
        <v>72.59999999999999</v>
      </c>
      <c r="R5" s="879">
        <f>N5*P5*SUM(I5:M5)</f>
        <v/>
      </c>
      <c r="S5" s="420" t="n"/>
      <c r="T5" s="414" t="n"/>
      <c r="X5" s="421" t="n"/>
    </row>
    <row r="6" ht="22.5" customFormat="1" customHeight="1" s="415">
      <c r="A6" s="414" t="n"/>
      <c r="B6" s="415" t="inlineStr">
        <is>
          <t>Cerezo, Alberto</t>
        </is>
      </c>
      <c r="C6" s="415" t="inlineStr">
        <is>
          <t>Z004X4HF</t>
        </is>
      </c>
      <c r="D6" s="415" t="inlineStr">
        <is>
          <t>IT Service Professional</t>
        </is>
      </c>
      <c r="E6" s="416" t="inlineStr">
        <is>
          <t>R5</t>
        </is>
      </c>
      <c r="F6" s="415" t="inlineStr">
        <is>
          <t>intern</t>
        </is>
      </c>
      <c r="G6" s="415" t="inlineStr">
        <is>
          <t>GBS H2R DPS TMS</t>
        </is>
      </c>
      <c r="H6" s="415" t="inlineStr">
        <is>
          <t>ES - TRC E 5</t>
        </is>
      </c>
      <c r="I6" s="422" t="n">
        <v>0</v>
      </c>
      <c r="J6" s="422" t="n">
        <v>0</v>
      </c>
      <c r="K6" s="422" t="n">
        <v>0</v>
      </c>
      <c r="L6" s="422" t="n">
        <v>1</v>
      </c>
      <c r="M6" s="422" t="n">
        <v>0</v>
      </c>
      <c r="N6" s="877" t="n">
        <v>1656</v>
      </c>
      <c r="O6" s="877" t="n">
        <v>40</v>
      </c>
      <c r="P6" s="878" t="n">
        <v>61.6</v>
      </c>
      <c r="Q6" s="878" t="n">
        <v>72.59999999999999</v>
      </c>
      <c r="R6" s="879">
        <f>N6*P6*SUM(I6:M6)</f>
        <v/>
      </c>
      <c r="S6" s="420" t="n"/>
      <c r="T6" s="414" t="n"/>
      <c r="V6" s="423" t="n"/>
      <c r="X6" s="421" t="n"/>
    </row>
    <row r="7" ht="22.5" customFormat="1" customHeight="1" s="415">
      <c r="A7" s="414" t="n"/>
      <c r="B7" s="415" t="inlineStr">
        <is>
          <t>Swoboda, Claudia</t>
        </is>
      </c>
      <c r="C7" s="415" t="inlineStr">
        <is>
          <t>Z0005PKI</t>
        </is>
      </c>
      <c r="D7" s="415" t="inlineStr">
        <is>
          <t>IT Service Professional</t>
        </is>
      </c>
      <c r="E7" s="416" t="inlineStr">
        <is>
          <t>R5</t>
        </is>
      </c>
      <c r="F7" s="415" t="inlineStr">
        <is>
          <t>intern</t>
        </is>
      </c>
      <c r="G7" s="415" t="inlineStr">
        <is>
          <t>GBS H2R DPS TMS</t>
        </is>
      </c>
      <c r="H7" s="415" t="inlineStr">
        <is>
          <t>DE - MCH P</t>
        </is>
      </c>
      <c r="I7" s="422" t="n">
        <v>0.6</v>
      </c>
      <c r="J7" s="422" t="n">
        <v>0</v>
      </c>
      <c r="K7" s="422" t="n">
        <v>0</v>
      </c>
      <c r="L7" s="422" t="n">
        <v>0</v>
      </c>
      <c r="M7" s="422" t="n">
        <v>0</v>
      </c>
      <c r="N7" s="877" t="n">
        <v>1656</v>
      </c>
      <c r="O7" s="880" t="n">
        <v>24</v>
      </c>
      <c r="P7" s="878" t="n">
        <v>100</v>
      </c>
      <c r="Q7" s="878" t="n">
        <v>114</v>
      </c>
      <c r="R7" s="879">
        <f>N7*P7*SUM(I7:M7)</f>
        <v/>
      </c>
      <c r="S7" s="420" t="inlineStr">
        <is>
          <t>32h in total: 24h for TMS, 8h for Reward CS</t>
        </is>
      </c>
      <c r="T7" s="414" t="n"/>
      <c r="X7" s="421" t="n"/>
    </row>
    <row r="8" ht="22.25" customFormat="1" customHeight="1" s="415">
      <c r="A8" s="414" t="n"/>
      <c r="B8" s="415" t="inlineStr">
        <is>
          <t>Bicho, Rita</t>
        </is>
      </c>
      <c r="C8" s="415" t="inlineStr">
        <is>
          <t>Z003RA2A</t>
        </is>
      </c>
      <c r="D8" s="415" t="inlineStr">
        <is>
          <t>IT Solution Expert</t>
        </is>
      </c>
      <c r="E8" s="416" t="inlineStr">
        <is>
          <t>R5</t>
        </is>
      </c>
      <c r="F8" s="415" t="inlineStr">
        <is>
          <t>intern</t>
        </is>
      </c>
      <c r="G8" s="415" t="inlineStr">
        <is>
          <t>GBS H2R DPS TMS</t>
        </is>
      </c>
      <c r="H8" s="415" t="inlineStr">
        <is>
          <t>ES - TRC E 5</t>
        </is>
      </c>
      <c r="I8" s="422" t="n">
        <v>0.25</v>
      </c>
      <c r="J8" s="422" t="n">
        <v>0</v>
      </c>
      <c r="K8" s="422" t="n">
        <v>0.25</v>
      </c>
      <c r="L8" s="422" t="n">
        <v>0.25</v>
      </c>
      <c r="M8" s="422" t="n">
        <v>0.25</v>
      </c>
      <c r="N8" s="877" t="n">
        <v>1648</v>
      </c>
      <c r="O8" s="877" t="n">
        <v>40</v>
      </c>
      <c r="P8" s="878" t="n">
        <v>61.6</v>
      </c>
      <c r="Q8" s="878" t="n">
        <v>72.59999999999999</v>
      </c>
      <c r="R8" s="879">
        <f>N8*P8*SUM(I8:M8)</f>
        <v/>
      </c>
      <c r="S8" s="420" t="n"/>
      <c r="T8" s="414" t="n"/>
      <c r="W8" s="426" t="n"/>
      <c r="X8" s="421" t="n"/>
    </row>
    <row r="9" ht="22.25" customFormat="1" customHeight="1" s="415">
      <c r="A9" s="414" t="n"/>
      <c r="B9" s="427" t="inlineStr">
        <is>
          <t>Heinen, Anna</t>
        </is>
      </c>
      <c r="C9" s="427" t="inlineStr">
        <is>
          <t>Z004PDTZ</t>
        </is>
      </c>
      <c r="D9" s="427" t="inlineStr">
        <is>
          <t>Bachelor Student - Technical</t>
        </is>
      </c>
      <c r="E9" s="428" t="inlineStr">
        <is>
          <t>R1</t>
        </is>
      </c>
      <c r="F9" s="427" t="inlineStr">
        <is>
          <t>intern</t>
        </is>
      </c>
      <c r="G9" s="427" t="inlineStr">
        <is>
          <t>GBS H2R DPS TMS</t>
        </is>
      </c>
      <c r="H9" s="427" t="inlineStr">
        <is>
          <t>DE - MCH P</t>
        </is>
      </c>
      <c r="I9" s="429" t="n">
        <v>1</v>
      </c>
      <c r="J9" s="429" t="n">
        <v>0</v>
      </c>
      <c r="K9" s="429" t="n">
        <v>0</v>
      </c>
      <c r="L9" s="429" t="n">
        <v>0</v>
      </c>
      <c r="M9" s="429" t="n">
        <v>0</v>
      </c>
      <c r="N9" s="881" t="n">
        <v>200</v>
      </c>
      <c r="O9" s="881" t="n">
        <v>35</v>
      </c>
      <c r="P9" s="882" t="n">
        <v>40</v>
      </c>
      <c r="Q9" s="882" t="n">
        <v>46</v>
      </c>
      <c r="R9" s="883">
        <f>N9*P9*SUM(I9:M9)</f>
        <v/>
      </c>
      <c r="S9" s="432" t="inlineStr">
        <is>
          <t xml:space="preserve">Ellen De Groeve: we now agreed on the following as of FY25:
Year 1 - no PCT-booking needed
Year 2 - 200 hours
Year 3 - 600 hours  </t>
        </is>
      </c>
      <c r="T9" s="414" t="n"/>
      <c r="V9" s="420" t="n"/>
      <c r="X9" s="884" t="n"/>
    </row>
    <row r="10" ht="22.5" customFormat="1" customHeight="1" s="415">
      <c r="A10" s="805" t="n"/>
      <c r="B10" s="415" t="inlineStr">
        <is>
          <t>Magro, Daniel</t>
        </is>
      </c>
      <c r="C10" s="415" t="inlineStr">
        <is>
          <t>Z003WUKN</t>
        </is>
      </c>
      <c r="D10" s="415" t="inlineStr">
        <is>
          <t>Tester</t>
        </is>
      </c>
      <c r="E10" s="416" t="inlineStr">
        <is>
          <t>R5</t>
        </is>
      </c>
      <c r="F10" s="415" t="inlineStr">
        <is>
          <t>Nearshore</t>
        </is>
      </c>
      <c r="G10" s="415" t="inlineStr">
        <is>
          <t>GBS DS BTA BPM TC BT</t>
        </is>
      </c>
      <c r="H10" s="415" t="inlineStr">
        <is>
          <t>PT - ARA I</t>
        </is>
      </c>
      <c r="I10" s="422" t="n">
        <v>0.5</v>
      </c>
      <c r="J10" s="422" t="n">
        <v>0</v>
      </c>
      <c r="K10" s="422" t="n">
        <v>0</v>
      </c>
      <c r="L10" s="422" t="n">
        <v>0</v>
      </c>
      <c r="M10" s="422" t="n">
        <v>0</v>
      </c>
      <c r="N10" s="877" t="n">
        <v>1700</v>
      </c>
      <c r="O10" s="877" t="n">
        <v>40</v>
      </c>
      <c r="P10" s="878" t="n">
        <v>45</v>
      </c>
      <c r="Q10" s="878" t="n">
        <v>59</v>
      </c>
      <c r="R10" s="879">
        <f>N10*P10*SUM(I10:M10)</f>
        <v/>
      </c>
      <c r="S10" s="420" t="n"/>
      <c r="T10" s="414" t="n"/>
      <c r="U10" s="434" t="n"/>
      <c r="V10" s="434" t="n"/>
      <c r="X10" s="884" t="n"/>
    </row>
    <row r="11" ht="22.5" customFormat="1" customHeight="1" s="415">
      <c r="B11" s="415" t="inlineStr">
        <is>
          <t>Pires Rosa, Claudia (ext)</t>
        </is>
      </c>
      <c r="C11" s="415" t="inlineStr">
        <is>
          <t>Z004NZ9C</t>
        </is>
      </c>
      <c r="D11" s="415" t="inlineStr">
        <is>
          <t>Tester</t>
        </is>
      </c>
      <c r="E11" s="416" t="inlineStr">
        <is>
          <t>R5</t>
        </is>
      </c>
      <c r="F11" s="415" t="inlineStr">
        <is>
          <t>Nearshore</t>
        </is>
      </c>
      <c r="G11" s="415" t="inlineStr">
        <is>
          <t>GBS DS BTA BPM TC BT</t>
        </is>
      </c>
      <c r="H11" s="415" t="inlineStr">
        <is>
          <t>PT - ARA I</t>
        </is>
      </c>
      <c r="I11" s="422" t="n">
        <v>0</v>
      </c>
      <c r="J11" s="422" t="n">
        <v>0.1</v>
      </c>
      <c r="K11" s="422" t="n">
        <v>0</v>
      </c>
      <c r="L11" s="422" t="n">
        <v>0.9</v>
      </c>
      <c r="M11" s="422" t="n">
        <v>0</v>
      </c>
      <c r="N11" s="877" t="n">
        <v>1700</v>
      </c>
      <c r="O11" s="877" t="n">
        <v>40</v>
      </c>
      <c r="P11" s="878" t="n">
        <v>45</v>
      </c>
      <c r="Q11" s="878" t="n">
        <v>59</v>
      </c>
      <c r="R11" s="879">
        <f>N11*P11*SUM(I11:M11)</f>
        <v/>
      </c>
      <c r="S11" s="420" t="n"/>
      <c r="T11" s="414" t="n"/>
      <c r="U11" s="434" t="n"/>
      <c r="V11" s="434" t="n"/>
      <c r="X11" s="884" t="n"/>
      <c r="Y11" s="435" t="n"/>
      <c r="Z11" s="434" t="n"/>
    </row>
    <row r="12" ht="22.5" customFormat="1" customHeight="1" s="426">
      <c r="B12" s="426" t="inlineStr">
        <is>
          <t>Matos Oliveira, Rita</t>
        </is>
      </c>
      <c r="C12" s="426" t="inlineStr">
        <is>
          <t>Z004EJMV</t>
        </is>
      </c>
      <c r="D12" s="426" t="inlineStr">
        <is>
          <t>Tester</t>
        </is>
      </c>
      <c r="E12" s="416" t="inlineStr">
        <is>
          <t>R5</t>
        </is>
      </c>
      <c r="F12" s="415" t="inlineStr">
        <is>
          <t>Nearshore</t>
        </is>
      </c>
      <c r="G12" s="426" t="inlineStr">
        <is>
          <t>GBS DS BTA BPM TC BT</t>
        </is>
      </c>
      <c r="H12" s="426" t="inlineStr">
        <is>
          <t>PT - ARA I</t>
        </is>
      </c>
      <c r="I12" s="422" t="n">
        <v>0</v>
      </c>
      <c r="J12" s="422" t="n">
        <v>0</v>
      </c>
      <c r="K12" s="422" t="n">
        <v>0.75</v>
      </c>
      <c r="L12" s="422" t="n">
        <v>0</v>
      </c>
      <c r="M12" s="422" t="n">
        <v>0</v>
      </c>
      <c r="N12" s="880" t="n">
        <v>1700</v>
      </c>
      <c r="O12" s="880" t="n">
        <v>40</v>
      </c>
      <c r="P12" s="878" t="n">
        <v>45</v>
      </c>
      <c r="Q12" s="878" t="n">
        <v>59</v>
      </c>
      <c r="R12" s="879">
        <f>N12*P12*SUM(I12:M12)</f>
        <v/>
      </c>
      <c r="S12" s="437" t="n"/>
      <c r="T12" s="438" t="n"/>
      <c r="U12" s="439" t="n"/>
      <c r="V12" s="439" t="n"/>
      <c r="W12" s="439" t="n"/>
      <c r="X12" s="885" t="n"/>
      <c r="Y12" s="421" t="n"/>
      <c r="Z12" s="439" t="n"/>
    </row>
    <row r="13" ht="22.5" customFormat="1" customHeight="1" s="415">
      <c r="B13" s="415" t="inlineStr">
        <is>
          <t>Pires, Filipe</t>
        </is>
      </c>
      <c r="C13" s="415" t="inlineStr">
        <is>
          <t>Z004F2PT</t>
        </is>
      </c>
      <c r="D13" s="415" t="inlineStr">
        <is>
          <t>Tester</t>
        </is>
      </c>
      <c r="E13" s="416" t="inlineStr">
        <is>
          <t>R5</t>
        </is>
      </c>
      <c r="F13" s="415" t="inlineStr">
        <is>
          <t>Nearshore</t>
        </is>
      </c>
      <c r="G13" s="415" t="inlineStr">
        <is>
          <t>GBS DS BTA BPM TC BT</t>
        </is>
      </c>
      <c r="H13" s="415" t="inlineStr">
        <is>
          <t>PT - ARA I</t>
        </is>
      </c>
      <c r="I13" s="422" t="n">
        <v>0</v>
      </c>
      <c r="J13" s="422" t="n">
        <v>0</v>
      </c>
      <c r="K13" s="422" t="n">
        <v>1</v>
      </c>
      <c r="L13" s="422" t="n">
        <v>0</v>
      </c>
      <c r="M13" s="422" t="n">
        <v>0</v>
      </c>
      <c r="N13" s="877" t="n">
        <v>1700</v>
      </c>
      <c r="O13" s="877" t="n">
        <v>40</v>
      </c>
      <c r="P13" s="878" t="n">
        <v>45</v>
      </c>
      <c r="Q13" s="878" t="n">
        <v>59</v>
      </c>
      <c r="R13" s="879">
        <f>N13*P13*SUM(I13:M13)</f>
        <v/>
      </c>
      <c r="S13" s="420" t="n"/>
      <c r="T13" s="414" t="n"/>
      <c r="U13" s="434" t="n"/>
      <c r="V13" s="434" t="n"/>
      <c r="W13" s="421" t="n"/>
      <c r="X13" s="441" t="n"/>
    </row>
    <row r="14" ht="22.5" customFormat="1" customHeight="1" s="415">
      <c r="B14" s="415" t="inlineStr">
        <is>
          <t>Plácido, Andreia</t>
        </is>
      </c>
      <c r="C14" s="415" t="inlineStr">
        <is>
          <t>Z004FNPR</t>
        </is>
      </c>
      <c r="D14" s="415" t="inlineStr">
        <is>
          <t>Tester</t>
        </is>
      </c>
      <c r="E14" s="416" t="inlineStr">
        <is>
          <t>R5</t>
        </is>
      </c>
      <c r="F14" s="415" t="inlineStr">
        <is>
          <t>Nearshore</t>
        </is>
      </c>
      <c r="G14" s="415" t="inlineStr">
        <is>
          <t>GBS DS BTA BPM TC BT</t>
        </is>
      </c>
      <c r="H14" s="415" t="inlineStr">
        <is>
          <t>PT - ARA I</t>
        </is>
      </c>
      <c r="I14" s="422" t="n">
        <v>0</v>
      </c>
      <c r="J14" s="422" t="n">
        <v>0</v>
      </c>
      <c r="K14" s="422" t="n">
        <v>0</v>
      </c>
      <c r="L14" s="422" t="n">
        <v>1</v>
      </c>
      <c r="M14" s="422" t="n">
        <v>0</v>
      </c>
      <c r="N14" s="877" t="n">
        <v>1700</v>
      </c>
      <c r="O14" s="877" t="n">
        <v>40</v>
      </c>
      <c r="P14" s="878" t="n">
        <v>45</v>
      </c>
      <c r="Q14" s="878" t="n">
        <v>59</v>
      </c>
      <c r="R14" s="879">
        <f>N14*P14*SUM(I14:M14)</f>
        <v/>
      </c>
      <c r="S14" s="420" t="n"/>
      <c r="T14" s="414" t="n"/>
      <c r="U14" s="434" t="n"/>
      <c r="V14" s="434" t="n"/>
      <c r="W14" s="421" t="n"/>
      <c r="X14" s="441" t="n"/>
    </row>
    <row r="15" ht="22.5" customFormat="1" customHeight="1" s="426">
      <c r="B15" s="442" t="inlineStr">
        <is>
          <t>Antunes, Ricardo</t>
        </is>
      </c>
      <c r="C15" s="427" t="inlineStr">
        <is>
          <t>Z004JYNY</t>
        </is>
      </c>
      <c r="D15" s="442" t="inlineStr">
        <is>
          <t>Tester</t>
        </is>
      </c>
      <c r="E15" s="428" t="inlineStr">
        <is>
          <t>R5</t>
        </is>
      </c>
      <c r="F15" s="427" t="inlineStr">
        <is>
          <t>Nearshore</t>
        </is>
      </c>
      <c r="G15" s="442" t="inlineStr">
        <is>
          <t>GBS DS BTA BPM TC BT</t>
        </is>
      </c>
      <c r="H15" s="442" t="inlineStr">
        <is>
          <t>PT - ARA I</t>
        </is>
      </c>
      <c r="I15" s="429" t="n">
        <v>1</v>
      </c>
      <c r="J15" s="429" t="n">
        <v>0</v>
      </c>
      <c r="K15" s="429" t="n">
        <v>0</v>
      </c>
      <c r="L15" s="429" t="n">
        <v>0</v>
      </c>
      <c r="M15" s="429" t="n">
        <v>0</v>
      </c>
      <c r="N15" s="886" t="n">
        <v>1700</v>
      </c>
      <c r="O15" s="886" t="n">
        <v>40</v>
      </c>
      <c r="P15" s="882" t="n">
        <v>45</v>
      </c>
      <c r="Q15" s="882" t="n">
        <v>59</v>
      </c>
      <c r="R15" s="883">
        <f>N15*P15*SUM(I15:M15)</f>
        <v/>
      </c>
      <c r="S15" s="444" t="n"/>
      <c r="T15" s="438" t="n"/>
      <c r="U15" s="439" t="n"/>
      <c r="V15" s="439" t="n"/>
      <c r="W15" s="421" t="n"/>
      <c r="X15" s="441" t="n"/>
    </row>
    <row r="16" ht="22.5" customFormat="1" customHeight="1" s="415">
      <c r="A16" s="414" t="n"/>
      <c r="B16" s="415" t="inlineStr">
        <is>
          <t>Minarcik, Jiri</t>
        </is>
      </c>
      <c r="C16" s="415" t="inlineStr">
        <is>
          <t>Z004NEXK</t>
        </is>
      </c>
      <c r="D16" s="415" t="inlineStr">
        <is>
          <t>IT Solution Expert</t>
        </is>
      </c>
      <c r="E16" s="416" t="inlineStr">
        <is>
          <t>R5</t>
        </is>
      </c>
      <c r="F16" s="415" t="inlineStr">
        <is>
          <t>intern</t>
        </is>
      </c>
      <c r="G16" s="415" t="inlineStr">
        <is>
          <t>GBS H2R DPS TMS</t>
        </is>
      </c>
      <c r="H16" s="415" t="inlineStr">
        <is>
          <t>CZ - PRG S</t>
        </is>
      </c>
      <c r="I16" s="422" t="n">
        <v>1</v>
      </c>
      <c r="J16" s="422" t="n">
        <v>0</v>
      </c>
      <c r="K16" s="422" t="n">
        <v>0</v>
      </c>
      <c r="L16" s="422" t="n">
        <v>0</v>
      </c>
      <c r="M16" s="422" t="n">
        <v>0</v>
      </c>
      <c r="N16" s="877" t="n">
        <v>1680</v>
      </c>
      <c r="O16" s="877" t="n">
        <v>40</v>
      </c>
      <c r="P16" s="878">
        <f>63700/1680*1.079</f>
        <v/>
      </c>
      <c r="Q16" s="878" t="n">
        <v>43</v>
      </c>
      <c r="R16" s="879">
        <f>N16*P16*SUM(I16:M16)</f>
        <v/>
      </c>
      <c r="S16" s="437" t="inlineStr">
        <is>
          <t>cost rate incl. 7,5% margin + 7,9% CPI increase (info Amir)</t>
        </is>
      </c>
      <c r="T16" s="414" t="n"/>
      <c r="U16" s="434" t="n"/>
      <c r="V16" s="434" t="n"/>
      <c r="W16" s="445" t="n"/>
      <c r="X16" s="222" t="n"/>
      <c r="Y16" s="434" t="n"/>
      <c r="Z16" s="434" t="n"/>
    </row>
    <row r="17" ht="22.5" customFormat="1" customHeight="1" s="415">
      <c r="A17" s="414" t="n"/>
      <c r="B17" s="415" t="inlineStr">
        <is>
          <t>Nová, Miroslava</t>
        </is>
      </c>
      <c r="C17" s="415" t="inlineStr">
        <is>
          <t>Z004C3AF</t>
        </is>
      </c>
      <c r="D17" s="415" t="inlineStr">
        <is>
          <t>IT Solution Expert</t>
        </is>
      </c>
      <c r="E17" s="416" t="inlineStr">
        <is>
          <t>R7</t>
        </is>
      </c>
      <c r="F17" s="415" t="inlineStr">
        <is>
          <t>intern</t>
        </is>
      </c>
      <c r="G17" s="415" t="inlineStr">
        <is>
          <t>GBS H2R DPS TMS</t>
        </is>
      </c>
      <c r="H17" s="415" t="inlineStr">
        <is>
          <t>CZ - PRG S</t>
        </is>
      </c>
      <c r="I17" s="422" t="n">
        <v>1</v>
      </c>
      <c r="J17" s="422" t="n">
        <v>0</v>
      </c>
      <c r="K17" s="422" t="n">
        <v>0</v>
      </c>
      <c r="L17" s="422" t="n">
        <v>0</v>
      </c>
      <c r="M17" s="422" t="n">
        <v>0</v>
      </c>
      <c r="N17" s="877" t="n">
        <v>1680</v>
      </c>
      <c r="O17" s="877" t="n">
        <v>40</v>
      </c>
      <c r="P17" s="878">
        <f>(67500/1680)*1.079</f>
        <v/>
      </c>
      <c r="Q17" s="878" t="n">
        <v>45.6</v>
      </c>
      <c r="R17" s="879">
        <f>N17*P17*SUM(I17:M17)</f>
        <v/>
      </c>
      <c r="S17" s="420" t="inlineStr">
        <is>
          <t>cost rate incl. 7,5% margin + 7,9% CPI increase (info Amir)</t>
        </is>
      </c>
      <c r="T17" s="414" t="n"/>
      <c r="U17" s="434" t="n"/>
      <c r="V17" s="434" t="n"/>
      <c r="W17" s="445" t="n"/>
      <c r="X17" s="222" t="n"/>
      <c r="Y17" s="434" t="n"/>
      <c r="Z17" s="434" t="n"/>
    </row>
    <row r="18" ht="22.5" customFormat="1" customHeight="1" s="415">
      <c r="A18" s="414" t="n"/>
      <c r="B18" s="415" t="inlineStr">
        <is>
          <t>Augusto da Silva, Amanda</t>
        </is>
      </c>
      <c r="C18" s="415" t="inlineStr">
        <is>
          <t>Z004XNWB</t>
        </is>
      </c>
      <c r="D18" s="415" t="inlineStr">
        <is>
          <t>IT Solution Expert</t>
        </is>
      </c>
      <c r="E18" s="416" t="inlineStr">
        <is>
          <t>R5</t>
        </is>
      </c>
      <c r="F18" s="415" t="inlineStr">
        <is>
          <t>intern</t>
        </is>
      </c>
      <c r="G18" s="415" t="inlineStr">
        <is>
          <t>GBS H2R DPS TMS</t>
        </is>
      </c>
      <c r="H18" s="415" t="inlineStr">
        <is>
          <t>CZ - PRG S</t>
        </is>
      </c>
      <c r="I18" s="422" t="n">
        <v>1</v>
      </c>
      <c r="J18" s="422" t="n">
        <v>0</v>
      </c>
      <c r="K18" s="422" t="n">
        <v>0</v>
      </c>
      <c r="L18" s="422" t="n">
        <v>0</v>
      </c>
      <c r="M18" s="422" t="n">
        <v>0</v>
      </c>
      <c r="N18" s="877" t="n">
        <v>1680</v>
      </c>
      <c r="O18" s="877" t="n">
        <v>40</v>
      </c>
      <c r="P18" s="878">
        <f>63700/1680*1.079</f>
        <v/>
      </c>
      <c r="Q18" s="878" t="n">
        <v>43</v>
      </c>
      <c r="R18" s="879">
        <f>N18*P18*SUM(I18:M18)</f>
        <v/>
      </c>
      <c r="S18" s="420" t="inlineStr">
        <is>
          <t>cost rate incl. 7,5% margin + 7,9% CPI increase (info Amir)</t>
        </is>
      </c>
      <c r="T18" s="414" t="n"/>
      <c r="U18" s="434" t="n"/>
      <c r="V18" s="434" t="n"/>
      <c r="X18" s="421" t="n"/>
    </row>
    <row r="19" ht="22.5" customFormat="1" customHeight="1" s="415">
      <c r="A19" s="414" t="n"/>
      <c r="B19" s="415" t="inlineStr">
        <is>
          <t>Timkova, Jarmila</t>
        </is>
      </c>
      <c r="C19" s="415" t="inlineStr">
        <is>
          <t>Z004RNSU</t>
        </is>
      </c>
      <c r="D19" s="415" t="inlineStr">
        <is>
          <t>IT Solution Expert</t>
        </is>
      </c>
      <c r="E19" s="416" t="inlineStr">
        <is>
          <t>R5</t>
        </is>
      </c>
      <c r="F19" s="415" t="inlineStr">
        <is>
          <t>intern</t>
        </is>
      </c>
      <c r="G19" s="415" t="inlineStr">
        <is>
          <t>GBS H2R DPS TMS</t>
        </is>
      </c>
      <c r="H19" s="415" t="inlineStr">
        <is>
          <t>CZ - PRG S</t>
        </is>
      </c>
      <c r="I19" s="422" t="n">
        <v>1</v>
      </c>
      <c r="J19" s="422" t="n">
        <v>0</v>
      </c>
      <c r="K19" s="422" t="n">
        <v>0</v>
      </c>
      <c r="L19" s="422" t="n">
        <v>0</v>
      </c>
      <c r="M19" s="422" t="n">
        <v>0</v>
      </c>
      <c r="N19" s="877" t="n">
        <v>1680</v>
      </c>
      <c r="O19" s="877" t="n">
        <v>40</v>
      </c>
      <c r="P19" s="878">
        <f>63700/1680*1.079</f>
        <v/>
      </c>
      <c r="Q19" s="878" t="n">
        <v>43</v>
      </c>
      <c r="R19" s="879">
        <f>N19*P19*SUM(I19:M19)</f>
        <v/>
      </c>
      <c r="S19" s="420" t="inlineStr">
        <is>
          <t>cost rate incl. 7,5% margin + 7,9% CPI increase (info Amir)</t>
        </is>
      </c>
      <c r="T19" s="414" t="n"/>
      <c r="U19" s="434" t="n"/>
      <c r="V19" s="434" t="n"/>
      <c r="W19" s="445" t="n"/>
      <c r="X19" s="426" t="n"/>
      <c r="Y19" s="434" t="n"/>
      <c r="Z19" s="434" t="n"/>
      <c r="AA19" s="434" t="n"/>
    </row>
    <row r="20" ht="22.5" customFormat="1" customHeight="1" s="415">
      <c r="A20" s="414" t="n"/>
      <c r="B20" s="415" t="inlineStr">
        <is>
          <t>Strojny, Tomasz Lech</t>
        </is>
      </c>
      <c r="C20" s="415" t="inlineStr">
        <is>
          <t>Z0050SBN</t>
        </is>
      </c>
      <c r="D20" s="415" t="inlineStr">
        <is>
          <t>IT Solution Expert</t>
        </is>
      </c>
      <c r="E20" s="416" t="inlineStr">
        <is>
          <t>R5</t>
        </is>
      </c>
      <c r="F20" s="415" t="inlineStr">
        <is>
          <t>intern</t>
        </is>
      </c>
      <c r="G20" s="415" t="inlineStr">
        <is>
          <t>GBS H2R DPS TMS</t>
        </is>
      </c>
      <c r="H20" s="415" t="inlineStr">
        <is>
          <t>CZ - PRG S</t>
        </is>
      </c>
      <c r="I20" s="422" t="n">
        <v>1</v>
      </c>
      <c r="J20" s="422" t="n">
        <v>0</v>
      </c>
      <c r="K20" s="422" t="n">
        <v>0</v>
      </c>
      <c r="L20" s="422" t="n">
        <v>0</v>
      </c>
      <c r="M20" s="422" t="n">
        <v>0</v>
      </c>
      <c r="N20" s="877" t="n">
        <v>1680</v>
      </c>
      <c r="O20" s="877" t="n">
        <v>40</v>
      </c>
      <c r="P20" s="878">
        <f>63700/1680*1.079</f>
        <v/>
      </c>
      <c r="Q20" s="878" t="n">
        <v>43</v>
      </c>
      <c r="R20" s="879">
        <f>N20*P20*SUM(I20:M20)</f>
        <v/>
      </c>
      <c r="S20" s="420" t="inlineStr">
        <is>
          <t>cost rate incl. 7,5% margin + 7,9% CPI increase (info Amir)</t>
        </is>
      </c>
      <c r="T20" s="414" t="n"/>
      <c r="U20" s="434" t="n"/>
      <c r="V20" s="434" t="n"/>
      <c r="X20" s="421" t="n"/>
      <c r="Y20" s="434" t="n"/>
      <c r="Z20" s="434" t="n"/>
      <c r="AA20" s="434" t="n"/>
    </row>
    <row r="21" ht="22.5" customFormat="1" customHeight="1" s="415">
      <c r="A21" s="414" t="n"/>
      <c r="B21" s="446" t="inlineStr">
        <is>
          <t>n.n.</t>
        </is>
      </c>
      <c r="C21" s="427" t="n"/>
      <c r="D21" s="427" t="inlineStr">
        <is>
          <t>IT Solution Expert</t>
        </is>
      </c>
      <c r="E21" s="428" t="inlineStr">
        <is>
          <t>R5</t>
        </is>
      </c>
      <c r="F21" s="427" t="inlineStr">
        <is>
          <t>intern</t>
        </is>
      </c>
      <c r="G21" s="427" t="inlineStr">
        <is>
          <t>GBS H2R DPS TMS</t>
        </is>
      </c>
      <c r="H21" s="427" t="inlineStr">
        <is>
          <t>CZ - PRG S</t>
        </is>
      </c>
      <c r="I21" s="429" t="n">
        <v>1</v>
      </c>
      <c r="J21" s="429" t="n">
        <v>0</v>
      </c>
      <c r="K21" s="429" t="n">
        <v>0</v>
      </c>
      <c r="L21" s="429" t="n">
        <v>0</v>
      </c>
      <c r="M21" s="429" t="n">
        <v>0</v>
      </c>
      <c r="N21" s="881" t="n">
        <v>1680</v>
      </c>
      <c r="O21" s="881" t="n">
        <v>40</v>
      </c>
      <c r="P21" s="882">
        <f>63700/1680*1.079</f>
        <v/>
      </c>
      <c r="Q21" s="882" t="n">
        <v>43</v>
      </c>
      <c r="R21" s="883">
        <f>N21*P21*SUM(I21:M21)</f>
        <v/>
      </c>
      <c r="S21" s="432" t="inlineStr">
        <is>
          <t>cost rate incl. 7,5% margin + 7,9% CPI increase (info Amir)</t>
        </is>
      </c>
      <c r="T21" s="414" t="n"/>
      <c r="U21" s="434" t="n"/>
      <c r="V21" s="434" t="n"/>
      <c r="W21" s="445" t="n"/>
      <c r="X21" s="426" t="n"/>
    </row>
    <row r="22" ht="22.5" customFormat="1" customHeight="1" s="415">
      <c r="A22" s="414" t="n"/>
      <c r="B22" s="415" t="inlineStr">
        <is>
          <t>Matos, Paula</t>
        </is>
      </c>
      <c r="C22" s="415" t="inlineStr">
        <is>
          <t>Z003CRJM</t>
        </is>
      </c>
      <c r="D22" s="415" t="inlineStr">
        <is>
          <t>Support (XFS)</t>
        </is>
      </c>
      <c r="E22" s="416" t="n"/>
      <c r="F22" s="415" t="inlineStr">
        <is>
          <t>Nearshore</t>
        </is>
      </c>
      <c r="G22" s="415" t="inlineStr">
        <is>
          <t>GBS DS TO IMS</t>
        </is>
      </c>
      <c r="H22" s="415" t="inlineStr">
        <is>
          <t>PT - ARA I</t>
        </is>
      </c>
      <c r="I22" s="422" t="n">
        <v>1</v>
      </c>
      <c r="J22" s="422" t="n">
        <v>0</v>
      </c>
      <c r="K22" s="422" t="n">
        <v>0</v>
      </c>
      <c r="L22" s="422" t="n">
        <v>0</v>
      </c>
      <c r="M22" s="422" t="n">
        <v>0</v>
      </c>
      <c r="N22" s="877" t="n">
        <v>1700</v>
      </c>
      <c r="O22" s="877" t="n">
        <v>40</v>
      </c>
      <c r="P22" s="887" t="n">
        <v>46.25</v>
      </c>
      <c r="Q22" s="887" t="n">
        <v>125</v>
      </c>
      <c r="R22" s="879">
        <f>N22*P22*SUM(I22:M22)</f>
        <v/>
      </c>
      <c r="S22" s="420" t="n"/>
      <c r="T22" s="414" t="n"/>
      <c r="U22" s="434" t="n"/>
      <c r="V22" s="434" t="n"/>
      <c r="W22" s="445" t="n"/>
      <c r="X22" s="421" t="n"/>
      <c r="Y22" s="434" t="n"/>
      <c r="Z22" s="447" t="n"/>
      <c r="AA22" s="447" t="n"/>
      <c r="AD22" s="421" t="n"/>
    </row>
    <row r="23" ht="22.5" customFormat="1" customHeight="1" s="415">
      <c r="A23" s="414" t="n"/>
      <c r="B23" s="415" t="inlineStr">
        <is>
          <t>Costa, Bruno</t>
        </is>
      </c>
      <c r="C23" s="415" t="inlineStr">
        <is>
          <t>Z00475SU</t>
        </is>
      </c>
      <c r="D23" s="415" t="inlineStr">
        <is>
          <t>Support (XFS)</t>
        </is>
      </c>
      <c r="E23" s="416" t="n"/>
      <c r="F23" s="415" t="inlineStr">
        <is>
          <t>Nearshore</t>
        </is>
      </c>
      <c r="G23" s="415" t="inlineStr">
        <is>
          <t>GBS DS TO IMS</t>
        </is>
      </c>
      <c r="H23" s="415" t="inlineStr">
        <is>
          <t>PT - ARA I</t>
        </is>
      </c>
      <c r="I23" s="422" t="n">
        <v>1</v>
      </c>
      <c r="J23" s="422" t="n">
        <v>0</v>
      </c>
      <c r="K23" s="422" t="n">
        <v>0</v>
      </c>
      <c r="L23" s="422" t="n">
        <v>0</v>
      </c>
      <c r="M23" s="422" t="n">
        <v>0</v>
      </c>
      <c r="N23" s="877" t="n">
        <v>1700</v>
      </c>
      <c r="O23" s="877" t="n">
        <v>40</v>
      </c>
      <c r="P23" s="887" t="n">
        <v>40</v>
      </c>
      <c r="Q23" s="887" t="n">
        <v>125</v>
      </c>
      <c r="R23" s="879">
        <f>N23*P23*SUM(I23:M23)</f>
        <v/>
      </c>
      <c r="S23" s="420" t="n"/>
      <c r="T23" s="414" t="n"/>
      <c r="U23" s="434" t="n"/>
      <c r="V23" s="434" t="n"/>
      <c r="W23" s="445" t="n"/>
      <c r="X23" s="426" t="n"/>
      <c r="Y23" s="434" t="n"/>
      <c r="Z23" s="434" t="n"/>
      <c r="AA23" s="434" t="n"/>
    </row>
    <row r="24" ht="22.5" customFormat="1" customHeight="1" s="415">
      <c r="A24" s="414" t="n"/>
      <c r="B24" s="427" t="inlineStr">
        <is>
          <t>Conceicao, Ana (ext)</t>
        </is>
      </c>
      <c r="C24" s="427" t="inlineStr">
        <is>
          <t>Z004RTZS</t>
        </is>
      </c>
      <c r="D24" s="427" t="inlineStr">
        <is>
          <t>Support (XFS)</t>
        </is>
      </c>
      <c r="E24" s="428" t="n"/>
      <c r="F24" s="427" t="inlineStr">
        <is>
          <t>Nearshore</t>
        </is>
      </c>
      <c r="G24" s="427" t="inlineStr">
        <is>
          <t>GBS DS TO IMS</t>
        </is>
      </c>
      <c r="H24" s="427" t="inlineStr">
        <is>
          <t>PT - ARA I</t>
        </is>
      </c>
      <c r="I24" s="429" t="n">
        <v>1</v>
      </c>
      <c r="J24" s="429" t="n">
        <v>0</v>
      </c>
      <c r="K24" s="429" t="n">
        <v>0</v>
      </c>
      <c r="L24" s="429" t="n">
        <v>0</v>
      </c>
      <c r="M24" s="429" t="n">
        <v>0</v>
      </c>
      <c r="N24" s="881" t="n">
        <v>1700</v>
      </c>
      <c r="O24" s="881" t="n">
        <v>40</v>
      </c>
      <c r="P24" s="888" t="n">
        <v>40</v>
      </c>
      <c r="Q24" s="888" t="n">
        <v>125</v>
      </c>
      <c r="R24" s="883">
        <f>N24*P24*SUM(I24:K24)</f>
        <v/>
      </c>
      <c r="S24" s="432" t="n"/>
      <c r="T24" s="414" t="n"/>
      <c r="U24" s="434" t="n"/>
      <c r="V24" s="434" t="n"/>
      <c r="W24" s="445" t="n"/>
      <c r="X24" s="421" t="n"/>
      <c r="Y24" s="434" t="n"/>
      <c r="Z24" s="434" t="n"/>
      <c r="AA24" s="434" t="n"/>
    </row>
    <row r="25" ht="22.5" customFormat="1" customHeight="1" s="415">
      <c r="A25" s="414" t="n"/>
      <c r="B25" s="415" t="inlineStr">
        <is>
          <t>Lomidze, Elizaveta</t>
        </is>
      </c>
      <c r="D25" s="415" t="inlineStr">
        <is>
          <t>PowerBI Expert</t>
        </is>
      </c>
      <c r="E25" s="416" t="n"/>
      <c r="F25" s="415" t="inlineStr">
        <is>
          <t>extern</t>
        </is>
      </c>
      <c r="G25" s="415" t="inlineStr">
        <is>
          <t>IT DA</t>
        </is>
      </c>
      <c r="H25" s="415" t="inlineStr">
        <is>
          <t>DE - MCH P</t>
        </is>
      </c>
      <c r="I25" s="422" t="n"/>
      <c r="J25" s="422" t="n"/>
      <c r="K25" s="422" t="n"/>
      <c r="L25" s="422" t="n"/>
      <c r="M25" s="422" t="n"/>
      <c r="N25" s="877" t="n"/>
      <c r="O25" s="877" t="n"/>
      <c r="P25" s="878" t="n">
        <v>150</v>
      </c>
      <c r="Q25" s="878" t="n"/>
      <c r="R25" s="879">
        <f>N25*P25</f>
        <v/>
      </c>
      <c r="S25" s="420" t="n"/>
      <c r="T25" s="414" t="n"/>
      <c r="U25" s="434" t="n"/>
      <c r="V25" s="434" t="n"/>
      <c r="W25" s="445" t="n"/>
      <c r="X25" s="421" t="n"/>
      <c r="Y25" s="434" t="n"/>
      <c r="Z25" s="434" t="n"/>
      <c r="AA25" s="434" t="n"/>
      <c r="AG25" s="448" t="n"/>
    </row>
    <row r="26" ht="22.5" customFormat="1" customHeight="1" s="415">
      <c r="A26" s="414" t="n"/>
      <c r="B26" s="449" t="inlineStr">
        <is>
          <t xml:space="preserve">Guerra Nobre, Mario Hugo </t>
        </is>
      </c>
      <c r="C26" s="449" t="n"/>
      <c r="D26" s="427" t="n"/>
      <c r="E26" s="428" t="n"/>
      <c r="F26" s="427" t="n"/>
      <c r="G26" s="427" t="n"/>
      <c r="H26" s="427" t="n"/>
      <c r="I26" s="429" t="n"/>
      <c r="J26" s="429" t="n"/>
      <c r="K26" s="429" t="n"/>
      <c r="L26" s="429" t="n"/>
      <c r="M26" s="429" t="n"/>
      <c r="N26" s="881" t="n"/>
      <c r="O26" s="881" t="n"/>
      <c r="P26" s="883" t="n"/>
      <c r="Q26" s="883" t="n"/>
      <c r="R26" s="883">
        <f>N26*P26</f>
        <v/>
      </c>
      <c r="S26" s="432" t="n"/>
      <c r="T26" s="414" t="n"/>
      <c r="V26" s="434" t="n"/>
      <c r="W26" s="450" t="n"/>
      <c r="X26" s="426" t="n"/>
    </row>
    <row r="27" ht="22.5" customFormat="1" customHeight="1" s="415">
      <c r="A27" s="414" t="n"/>
      <c r="B27" s="475" t="inlineStr">
        <is>
          <t>Kühlwetter, Esther</t>
        </is>
      </c>
      <c r="C27" s="475" t="n"/>
      <c r="D27" s="415" t="inlineStr">
        <is>
          <t>Scrum Master</t>
        </is>
      </c>
      <c r="E27" s="416" t="n"/>
      <c r="I27" s="422" t="n">
        <v>0</v>
      </c>
      <c r="J27" s="422" t="n">
        <v>0</v>
      </c>
      <c r="K27" s="422" t="n">
        <v>0.6</v>
      </c>
      <c r="L27" s="422" t="n">
        <v>0</v>
      </c>
      <c r="M27" s="422" t="n">
        <v>0</v>
      </c>
      <c r="N27" s="877" t="n">
        <v>1656</v>
      </c>
      <c r="O27" s="877" t="n">
        <v>24</v>
      </c>
      <c r="P27" s="878" t="n">
        <v>130</v>
      </c>
      <c r="Q27" s="878" t="n">
        <v>148</v>
      </c>
      <c r="R27" s="879">
        <f>N27*P27*SUM(I27:M27)</f>
        <v/>
      </c>
      <c r="S27" s="420" t="n"/>
      <c r="T27" s="414" t="n"/>
      <c r="V27" s="434" t="n"/>
      <c r="W27" s="450" t="n"/>
      <c r="X27" s="426" t="n"/>
    </row>
    <row r="28" ht="22.5" customHeight="1">
      <c r="A28" s="199" t="n"/>
      <c r="B28" s="199" t="n"/>
      <c r="C28" s="199" t="n"/>
      <c r="D28" s="199" t="n"/>
      <c r="E28" s="201" t="n"/>
      <c r="F28" s="199" t="n"/>
      <c r="G28" s="199" t="n"/>
      <c r="H28" s="199" t="n"/>
      <c r="I28" s="201" t="n"/>
      <c r="J28" s="201" t="n"/>
      <c r="K28" s="201" t="n"/>
      <c r="L28" s="201" t="n"/>
      <c r="M28" s="201" t="n"/>
      <c r="N28" s="201" t="n"/>
      <c r="O28" s="201" t="n"/>
      <c r="P28" s="201" t="n"/>
      <c r="Q28" s="201" t="n"/>
      <c r="R28" s="201" t="n"/>
      <c r="S28" s="199" t="n"/>
      <c r="T28" s="199" t="n"/>
      <c r="X28" s="223" t="n"/>
    </row>
    <row r="30" ht="22.5" customHeight="1">
      <c r="I30" s="89" t="n"/>
      <c r="J30" s="89" t="n"/>
      <c r="K30" s="89" t="n"/>
      <c r="L30" s="89" t="n"/>
      <c r="M30" s="89" t="n"/>
      <c r="N30" s="220" t="n"/>
      <c r="P30" s="89" t="n"/>
      <c r="Q30" s="89" t="n"/>
      <c r="R30" s="89" t="n"/>
      <c r="X30" s="89" t="n"/>
    </row>
    <row r="31" ht="22.5" customHeight="1">
      <c r="I31" s="89" t="n"/>
      <c r="J31" s="89" t="n"/>
      <c r="K31" s="89" t="n"/>
      <c r="L31" s="89" t="n"/>
      <c r="M31" s="89" t="n"/>
      <c r="N31" s="220" t="n"/>
      <c r="P31" s="89" t="n"/>
      <c r="Q31" s="89" t="n"/>
      <c r="R31" s="89" t="n"/>
      <c r="X31" s="89" t="n"/>
    </row>
    <row r="32" ht="22.5" customHeight="1">
      <c r="I32" s="89" t="n"/>
      <c r="J32" s="89" t="n"/>
      <c r="K32" s="89" t="n"/>
      <c r="L32" s="89" t="n"/>
      <c r="M32" s="89" t="n"/>
      <c r="N32" s="220" t="n"/>
      <c r="P32" s="89" t="n"/>
      <c r="Q32" s="89" t="n"/>
      <c r="R32" s="89" t="n"/>
      <c r="X32" s="89" t="n"/>
    </row>
    <row r="42" ht="22.5" customHeight="1">
      <c r="H42" s="889" t="n"/>
      <c r="I42" s="398" t="n"/>
    </row>
    <row r="43" ht="22.5" customHeight="1">
      <c r="H43" s="889" t="n"/>
    </row>
    <row r="44" ht="22.5" customHeight="1">
      <c r="D44" s="208" t="n"/>
      <c r="H44" s="890" t="n"/>
    </row>
  </sheetData>
  <mergeCells count="1">
    <mergeCell ref="A10:A15"/>
  </mergeCells>
  <pageMargins left="0.7" right="0.7" top="0.787401575" bottom="0.787401575" header="0.3" footer="0.3"/>
  <pageSetup orientation="portrait" paperSize="9"/>
</worksheet>
</file>

<file path=xl/worksheets/sheet3.xml><?xml version="1.0" encoding="utf-8"?>
<worksheet xmlns="http://schemas.openxmlformats.org/spreadsheetml/2006/main">
  <sheetPr>
    <tabColor theme="6" tint="-0.249977111117893"/>
    <outlinePr summaryBelow="1" summaryRight="1"/>
    <pageSetUpPr/>
  </sheetPr>
  <dimension ref="A1:W108"/>
  <sheetViews>
    <sheetView zoomScale="85" zoomScaleNormal="85" workbookViewId="0">
      <pane xSplit="5" ySplit="1" topLeftCell="F15" activePane="bottomRight" state="frozen"/>
      <selection pane="topRight" activeCell="S52" sqref="S52"/>
      <selection pane="bottomLeft" activeCell="S52" sqref="S52"/>
      <selection pane="bottomRight" activeCell="E34" sqref="E34"/>
    </sheetView>
  </sheetViews>
  <sheetFormatPr baseColWidth="8" defaultColWidth="11.453125" defaultRowHeight="12.5" outlineLevelRow="2"/>
  <cols>
    <col hidden="1" width="10.36328125" customWidth="1" style="30" min="1" max="2"/>
    <col hidden="1" width="12.54296875" customWidth="1" style="30" min="3" max="3"/>
    <col hidden="1" width="10.453125" customWidth="1" style="30" min="4" max="4"/>
    <col width="50.1796875" customWidth="1" min="5" max="5"/>
    <col width="12.6328125" customWidth="1" min="6" max="6"/>
    <col width="14.54296875" bestFit="1" customWidth="1" min="7" max="7"/>
    <col width="14.08984375" customWidth="1" min="8" max="8"/>
    <col width="14.08984375" bestFit="1" customWidth="1" min="9" max="9"/>
    <col width="12.54296875" customWidth="1" min="10" max="10"/>
    <col width="14.36328125" bestFit="1" customWidth="1" min="11" max="11"/>
    <col width="13.453125" bestFit="1" customWidth="1" min="12" max="12"/>
    <col width="14.08984375" bestFit="1" customWidth="1" min="13" max="13"/>
    <col width="14.36328125" bestFit="1" customWidth="1" min="14" max="14"/>
    <col width="14.453125" bestFit="1" customWidth="1" min="15" max="17"/>
    <col width="17.90625" customWidth="1" min="18" max="18"/>
    <col width="17.6328125" customWidth="1" min="19" max="19"/>
    <col width="15.453125" customWidth="1" min="20" max="20"/>
    <col width="42" customWidth="1" min="21" max="21"/>
    <col width="17.90625" customWidth="1" min="22" max="22"/>
    <col width="15.6328125" customWidth="1" min="23" max="23"/>
  </cols>
  <sheetData>
    <row r="1" ht="42" customFormat="1" customHeight="1" s="14" thickBot="1">
      <c r="A1" s="57" t="inlineStr">
        <is>
          <t>Fin. 
Transf. 
Cat.</t>
        </is>
      </c>
      <c r="B1" s="57" t="inlineStr">
        <is>
          <t>Fin. DPS Plann.</t>
        </is>
      </c>
      <c r="C1" s="57" t="inlineStr">
        <is>
          <t>PowerBI</t>
        </is>
      </c>
      <c r="D1" s="57" t="inlineStr">
        <is>
          <t>P&amp;O Cat.</t>
        </is>
      </c>
      <c r="E1" s="293" t="inlineStr">
        <is>
          <t>FY25 - TMS Operation</t>
        </is>
      </c>
      <c r="F1" s="456" t="n">
        <v>45566</v>
      </c>
      <c r="G1" s="456" t="n">
        <v>45597</v>
      </c>
      <c r="H1" s="456" t="n">
        <v>45627</v>
      </c>
      <c r="I1" s="456" t="n">
        <v>45658</v>
      </c>
      <c r="J1" s="456" t="n">
        <v>45689</v>
      </c>
      <c r="K1" s="456" t="n">
        <v>45717</v>
      </c>
      <c r="L1" s="456" t="n">
        <v>45748</v>
      </c>
      <c r="M1" s="456" t="n">
        <v>45778</v>
      </c>
      <c r="N1" s="456" t="n">
        <v>45809</v>
      </c>
      <c r="O1" s="456" t="n">
        <v>45839</v>
      </c>
      <c r="P1" s="456" t="n">
        <v>45870</v>
      </c>
      <c r="Q1" s="456" t="n">
        <v>45901</v>
      </c>
      <c r="R1" s="457" t="inlineStr">
        <is>
          <t>Actual FC 
FY25</t>
        </is>
      </c>
      <c r="S1" s="13" t="inlineStr">
        <is>
          <t>confirmed costs
07/2024</t>
        </is>
      </c>
      <c r="T1" s="13" t="inlineStr">
        <is>
          <t>Difference</t>
        </is>
      </c>
      <c r="U1" s="70" t="inlineStr">
        <is>
          <t>Comment</t>
        </is>
      </c>
    </row>
    <row r="2" outlineLevel="1" ht="15" customHeight="1">
      <c r="E2" s="33" t="inlineStr">
        <is>
          <t>Minarcik, Jiri</t>
        </is>
      </c>
      <c r="F2" s="891" t="n">
        <v>6800</v>
      </c>
      <c r="G2" s="891" t="n">
        <v>6720</v>
      </c>
      <c r="H2" s="891" t="n">
        <v>2454</v>
      </c>
      <c r="I2" s="891" t="n">
        <v>6544</v>
      </c>
      <c r="J2" s="891" t="n">
        <v>6544</v>
      </c>
      <c r="K2" s="891" t="n">
        <v>4254</v>
      </c>
      <c r="L2" s="891" t="n">
        <v>5562</v>
      </c>
      <c r="M2" s="891" t="n">
        <v>6217</v>
      </c>
      <c r="N2" s="892">
        <f>'Resource Planning'!I16*'Resource Planning'!N16*'Resource Planning'!P16/12</f>
        <v/>
      </c>
      <c r="O2" s="892">
        <f>'Resource Planning'!I16*'Resource Planning'!N16*'Resource Planning'!P16/12</f>
        <v/>
      </c>
      <c r="P2" s="892">
        <f>'Resource Planning'!I16*'Resource Planning'!N16*'Resource Planning'!P16/12</f>
        <v/>
      </c>
      <c r="Q2" s="892">
        <f>'Resource Planning'!I16*'Resource Planning'!N16*'Resource Planning'!P16/12</f>
        <v/>
      </c>
      <c r="R2" s="893">
        <f>SUM(F2:Q2)</f>
        <v/>
      </c>
      <c r="S2" s="892" t="n">
        <v>72833</v>
      </c>
      <c r="T2" s="894">
        <f>S2-R2</f>
        <v/>
      </c>
    </row>
    <row r="3" outlineLevel="1" ht="15" customHeight="1">
      <c r="E3" s="33" t="inlineStr">
        <is>
          <t>Nová, Miroslava</t>
        </is>
      </c>
      <c r="F3" s="891" t="n">
        <v>3840</v>
      </c>
      <c r="G3" s="891" t="n">
        <v>6400</v>
      </c>
      <c r="H3" s="891" t="n">
        <v>6423</v>
      </c>
      <c r="I3" s="891" t="n">
        <v>6944</v>
      </c>
      <c r="J3" s="891" t="n">
        <v>6597</v>
      </c>
      <c r="K3" s="891" t="n">
        <v>6597</v>
      </c>
      <c r="L3" s="891" t="n">
        <v>7638</v>
      </c>
      <c r="M3" s="891" t="n">
        <v>6597</v>
      </c>
      <c r="N3" s="895">
        <f>'Resource Planning'!I17*'Resource Planning'!N17*'Resource Planning'!P17/12</f>
        <v/>
      </c>
      <c r="O3" s="895">
        <f>'Resource Planning'!I17*'Resource Planning'!N17*'Resource Planning'!P17/12</f>
        <v/>
      </c>
      <c r="P3" s="895">
        <f>'Resource Planning'!I17*'Resource Planning'!N17*'Resource Planning'!P17/12</f>
        <v/>
      </c>
      <c r="Q3" s="895">
        <f>'Resource Planning'!I17*'Resource Planning'!N17*'Resource Planning'!P17/12</f>
        <v/>
      </c>
      <c r="R3" s="896">
        <f>SUM(F3:Q3)</f>
        <v/>
      </c>
      <c r="S3" s="892" t="n">
        <v>72833</v>
      </c>
      <c r="T3" s="894">
        <f>S3-R3</f>
        <v/>
      </c>
    </row>
    <row r="4" outlineLevel="1" ht="15" customHeight="1">
      <c r="E4" s="33" t="inlineStr">
        <is>
          <t>Augusto da Silva, Amanda</t>
        </is>
      </c>
      <c r="F4" s="891" t="n">
        <v>6720</v>
      </c>
      <c r="G4" s="891" t="n">
        <v>4880</v>
      </c>
      <c r="H4" s="891" t="n">
        <v>3844.6</v>
      </c>
      <c r="I4" s="891" t="n">
        <v>5848.7</v>
      </c>
      <c r="J4" s="891" t="n">
        <v>6462</v>
      </c>
      <c r="K4" s="891" t="n">
        <v>4376</v>
      </c>
      <c r="L4" s="891" t="n">
        <v>3313</v>
      </c>
      <c r="M4" s="891" t="n">
        <v>4499</v>
      </c>
      <c r="N4" s="892">
        <f>'Resource Planning'!I18*'Resource Planning'!N18*'Resource Planning'!P18/12</f>
        <v/>
      </c>
      <c r="O4" s="892">
        <f>'Resource Planning'!I18*'Resource Planning'!N18*'Resource Planning'!P18/12</f>
        <v/>
      </c>
      <c r="P4" s="892">
        <f>'Resource Planning'!I18*'Resource Planning'!N18*'Resource Planning'!P18/12</f>
        <v/>
      </c>
      <c r="Q4" s="892">
        <f>'Resource Planning'!I18*'Resource Planning'!N18*'Resource Planning'!P18/12</f>
        <v/>
      </c>
      <c r="R4" s="896">
        <f>SUM(F4:Q4)</f>
        <v/>
      </c>
      <c r="S4" s="892" t="n">
        <v>72833</v>
      </c>
      <c r="T4" s="894">
        <f>S4-R4</f>
        <v/>
      </c>
    </row>
    <row r="5" outlineLevel="1" ht="15" customHeight="1">
      <c r="E5" s="33" t="inlineStr">
        <is>
          <t>Timkova, Jarmila</t>
        </is>
      </c>
      <c r="F5" s="891" t="n">
        <v>5760</v>
      </c>
      <c r="G5" s="891" t="n">
        <v>6720</v>
      </c>
      <c r="H5" s="891" t="n">
        <v>4908</v>
      </c>
      <c r="I5" s="891" t="n">
        <v>6544</v>
      </c>
      <c r="J5" s="891" t="n">
        <v>5849</v>
      </c>
      <c r="K5" s="891" t="n">
        <v>6871</v>
      </c>
      <c r="L5" s="891" t="n">
        <v>7199</v>
      </c>
      <c r="M5" s="891" t="n">
        <v>3272</v>
      </c>
      <c r="N5" s="895">
        <f>'Resource Planning'!I19*'Resource Planning'!N19*'Resource Planning'!P19/12</f>
        <v/>
      </c>
      <c r="O5" s="895">
        <f>'Resource Planning'!I19*'Resource Planning'!N19*'Resource Planning'!P19/12</f>
        <v/>
      </c>
      <c r="P5" s="895">
        <f>'Resource Planning'!I19*'Resource Planning'!N19*'Resource Planning'!P19/12</f>
        <v/>
      </c>
      <c r="Q5" s="895">
        <f>'Resource Planning'!I19*'Resource Planning'!N19*'Resource Planning'!P19/12</f>
        <v/>
      </c>
      <c r="R5" s="896">
        <f>SUM(F5:Q5)</f>
        <v/>
      </c>
      <c r="S5" s="892" t="n">
        <v>68732</v>
      </c>
      <c r="T5" s="894">
        <f>S5-R5</f>
        <v/>
      </c>
    </row>
    <row r="6" outlineLevel="1" ht="15" customHeight="1">
      <c r="E6" s="33" t="inlineStr">
        <is>
          <t>Strojny, Tomasz Lech</t>
        </is>
      </c>
      <c r="F6" s="891" t="n">
        <v>7198.4</v>
      </c>
      <c r="G6" s="891" t="n">
        <v>6871.2</v>
      </c>
      <c r="H6" s="891" t="n">
        <v>5235.2</v>
      </c>
      <c r="I6" s="891" t="n">
        <v>4867.1</v>
      </c>
      <c r="J6" s="891" t="n">
        <v>4867</v>
      </c>
      <c r="K6" s="891" t="n">
        <v>6012</v>
      </c>
      <c r="L6" s="891" t="n">
        <v>5153</v>
      </c>
      <c r="M6" s="891" t="n">
        <v>3722</v>
      </c>
      <c r="N6" s="895">
        <f>'Resource Planning'!I20*'Resource Planning'!N20*'Resource Planning'!P20/12</f>
        <v/>
      </c>
      <c r="O6" s="895">
        <f>'Resource Planning'!I20*'Resource Planning'!N20*'Resource Planning'!P20/12</f>
        <v/>
      </c>
      <c r="P6" s="895">
        <f>'Resource Planning'!I20*'Resource Planning'!N20*'Resource Planning'!P20/12</f>
        <v/>
      </c>
      <c r="Q6" s="895">
        <f>'Resource Planning'!I20*'Resource Planning'!N20*'Resource Planning'!P20/12</f>
        <v/>
      </c>
      <c r="R6" s="896">
        <f>SUM(F6:Q6)</f>
        <v/>
      </c>
      <c r="S6" s="892" t="n">
        <v>68732</v>
      </c>
      <c r="T6" s="894">
        <f>S6-R6</f>
        <v/>
      </c>
    </row>
    <row r="7" outlineLevel="1" ht="15" customHeight="1">
      <c r="E7" s="33" t="inlineStr">
        <is>
          <t>Fernandes Redondo, Amanda</t>
        </is>
      </c>
      <c r="F7" s="891" t="n"/>
      <c r="G7" s="891" t="n"/>
      <c r="H7" s="891" t="n"/>
      <c r="I7" s="891" t="n"/>
      <c r="J7" s="891" t="n"/>
      <c r="K7" s="891" t="n"/>
      <c r="L7" s="891" t="n">
        <v>182</v>
      </c>
      <c r="M7" s="891" t="n">
        <v>183</v>
      </c>
      <c r="N7" s="895" t="n"/>
      <c r="O7" s="895" t="n"/>
      <c r="P7" s="895" t="n"/>
      <c r="Q7" s="895" t="n"/>
      <c r="R7" s="896">
        <f>SUM(F7:Q7)</f>
        <v/>
      </c>
      <c r="S7" s="892" t="n"/>
      <c r="T7" s="894" t="n"/>
    </row>
    <row r="8" outlineLevel="1" ht="15" customHeight="1">
      <c r="E8" s="33" t="inlineStr">
        <is>
          <t>n.n.</t>
        </is>
      </c>
      <c r="F8" s="897" t="n">
        <v>0</v>
      </c>
      <c r="G8" s="897" t="n">
        <v>0</v>
      </c>
      <c r="H8" s="897" t="n">
        <v>0</v>
      </c>
      <c r="I8" s="897" t="n">
        <v>0</v>
      </c>
      <c r="J8" s="897" t="n">
        <v>0</v>
      </c>
      <c r="K8" s="897" t="n">
        <v>0</v>
      </c>
      <c r="L8" s="891" t="n">
        <v>694</v>
      </c>
      <c r="M8" s="894" t="n">
        <v>0</v>
      </c>
      <c r="N8" s="894" t="n">
        <v>0</v>
      </c>
      <c r="O8" s="894" t="n">
        <v>0</v>
      </c>
      <c r="P8" s="894" t="n">
        <v>0</v>
      </c>
      <c r="Q8" s="894" t="n">
        <v>0</v>
      </c>
      <c r="R8" s="896">
        <f>SUM(F8:Q8)</f>
        <v/>
      </c>
      <c r="S8" s="898" t="n">
        <v>68732</v>
      </c>
      <c r="T8" s="894">
        <f>S8-R8</f>
        <v/>
      </c>
    </row>
    <row r="9" ht="15" customHeight="1">
      <c r="A9" s="35" t="inlineStr">
        <is>
          <t>B</t>
        </is>
      </c>
      <c r="B9" s="35" t="n"/>
      <c r="C9" s="35" t="n">
        <v>5975</v>
      </c>
      <c r="D9" s="35" t="n"/>
      <c r="E9" s="6" t="inlineStr">
        <is>
          <t>Support/TMS Experts CZ - total - s.r.o. ARE 5975</t>
        </is>
      </c>
      <c r="F9" s="899">
        <f>SUM(F2:F8)</f>
        <v/>
      </c>
      <c r="G9" s="899">
        <f>SUM(G2:G8)</f>
        <v/>
      </c>
      <c r="H9" s="899">
        <f>SUM(H2:H8)</f>
        <v/>
      </c>
      <c r="I9" s="899">
        <f>SUM(I2:I8)</f>
        <v/>
      </c>
      <c r="J9" s="899">
        <f>SUM(J2:J8)</f>
        <v/>
      </c>
      <c r="K9" s="899">
        <f>SUM(K2:K8)</f>
        <v/>
      </c>
      <c r="L9" s="899">
        <f>SUM(L2:L8)</f>
        <v/>
      </c>
      <c r="M9" s="899">
        <f>SUM(M2:M8)</f>
        <v/>
      </c>
      <c r="N9" s="900">
        <f>SUM(N2:N8)</f>
        <v/>
      </c>
      <c r="O9" s="900">
        <f>SUM(O2:O8)</f>
        <v/>
      </c>
      <c r="P9" s="900">
        <f>SUM(P2:P8)</f>
        <v/>
      </c>
      <c r="Q9" s="900">
        <f>SUM(Q2:Q8)</f>
        <v/>
      </c>
      <c r="R9" s="901">
        <f>SUM(R2:R8)</f>
        <v/>
      </c>
      <c r="S9" s="900">
        <f>SUM(S2:S8)</f>
        <v/>
      </c>
      <c r="T9" s="902">
        <f>SUM(T2:T8)</f>
        <v/>
      </c>
      <c r="U9" s="234" t="inlineStr">
        <is>
          <t>30.09.: In ISA-light between 5975 and 7092 total contract value of 356.100,- € (5 FTE) confirmed</t>
        </is>
      </c>
    </row>
    <row r="10" ht="15" customHeight="1">
      <c r="A10" s="237" t="n"/>
      <c r="B10" s="237" t="n"/>
      <c r="C10" s="237" t="n"/>
      <c r="D10" s="237" t="n"/>
      <c r="E10" s="238" t="inlineStr">
        <is>
          <t>Support/TMS Experts CZ - charging to GBS CN H2R (China)</t>
        </is>
      </c>
      <c r="F10" s="903">
        <f>-24710*60%*1.075/12</f>
        <v/>
      </c>
      <c r="G10" s="903">
        <f>-24710*60%*1.075/12</f>
        <v/>
      </c>
      <c r="H10" s="903">
        <f>-24710*60%*1.075/12</f>
        <v/>
      </c>
      <c r="I10" s="903">
        <f>-24710*60%*1.075/12</f>
        <v/>
      </c>
      <c r="J10" s="903">
        <f>(-24710*60%*1.075)/12</f>
        <v/>
      </c>
      <c r="K10" s="903">
        <f>-24710*60%*1.075/12</f>
        <v/>
      </c>
      <c r="L10" s="903">
        <f>-24710*60%*1.075/12</f>
        <v/>
      </c>
      <c r="M10" s="903">
        <f>-24710*60%*1.075/12</f>
        <v/>
      </c>
      <c r="N10" s="903">
        <f>-24710*60%*1.075/12</f>
        <v/>
      </c>
      <c r="O10" s="903">
        <f>-24710*60%*1.075/12</f>
        <v/>
      </c>
      <c r="P10" s="903">
        <f>-24710*60%*1.075/12</f>
        <v/>
      </c>
      <c r="Q10" s="903">
        <f>-24710*60%*1.075/12</f>
        <v/>
      </c>
      <c r="R10" s="904">
        <f>SUM(F10:Q10)</f>
        <v/>
      </c>
      <c r="S10" s="903" t="n">
        <v>-15938</v>
      </c>
      <c r="T10" s="894">
        <f>S10-R10</f>
        <v/>
      </c>
      <c r="U10" s="240" t="inlineStr">
        <is>
          <t>FY24: 24.710€ (already includes 7,5% CZ profit margin) for SIPCA, WD, TMS; FY25: 60% TMS only; +7,5% CZ PCI increase</t>
        </is>
      </c>
    </row>
    <row r="11" ht="15" customHeight="1">
      <c r="A11" s="237" t="n"/>
      <c r="B11" s="237" t="n"/>
      <c r="C11" s="237" t="n"/>
      <c r="D11" s="237" t="n"/>
      <c r="E11" s="238" t="inlineStr">
        <is>
          <t>Support/TMS Experts CZ - charging to GBS H2R US (USA/Canada)</t>
        </is>
      </c>
      <c r="F11" s="903">
        <f>-103000*1.15/12</f>
        <v/>
      </c>
      <c r="G11" s="903">
        <f>-103000*1.15/12</f>
        <v/>
      </c>
      <c r="H11" s="903">
        <f>-103000*1.15/12</f>
        <v/>
      </c>
      <c r="I11" s="903">
        <f>-103000*1.15/12</f>
        <v/>
      </c>
      <c r="J11" s="903">
        <f>-103000*1.15/12</f>
        <v/>
      </c>
      <c r="K11" s="903">
        <f>-103000*1.15/12</f>
        <v/>
      </c>
      <c r="L11" s="903">
        <f>-103000*1.15/12</f>
        <v/>
      </c>
      <c r="M11" s="903">
        <f>-103000*1.15/12</f>
        <v/>
      </c>
      <c r="N11" s="903">
        <f>-103000*1.15/12</f>
        <v/>
      </c>
      <c r="O11" s="903">
        <f>-103000*1.15/12</f>
        <v/>
      </c>
      <c r="P11" s="903">
        <f>-103000*1.15/12</f>
        <v/>
      </c>
      <c r="Q11" s="903">
        <f>-103000*1.15/12</f>
        <v/>
      </c>
      <c r="R11" s="904">
        <f>SUM(F11:Q11)</f>
        <v/>
      </c>
      <c r="S11" s="903" t="n">
        <v>-118450</v>
      </c>
      <c r="T11" s="894">
        <f>S11-R11</f>
        <v/>
      </c>
      <c r="U11" s="240" t="inlineStr">
        <is>
          <t>FY24: 103.000 €; FY25: +7,5% CZ profit margin +7,5% CZ PCI increase; when SHS will step out 20% reduction effictive next month (credit note)</t>
        </is>
      </c>
    </row>
    <row r="12" ht="15" customHeight="1">
      <c r="A12" s="237" t="n"/>
      <c r="B12" s="237" t="n">
        <v>4</v>
      </c>
      <c r="C12" s="237" t="n"/>
      <c r="D12" s="237" t="inlineStr">
        <is>
          <t>ExpCZ</t>
        </is>
      </c>
      <c r="E12" s="238" t="inlineStr">
        <is>
          <t>Support/TMS Experts CZ - charging to P&amp;O ECO DIG</t>
        </is>
      </c>
      <c r="F12" s="903">
        <f>SUM(F9:F11)</f>
        <v/>
      </c>
      <c r="G12" s="903">
        <f>SUM(G9:G11)</f>
        <v/>
      </c>
      <c r="H12" s="903">
        <f>SUM(H9:H11)</f>
        <v/>
      </c>
      <c r="I12" s="903">
        <f>SUM(I9:I11)</f>
        <v/>
      </c>
      <c r="J12" s="903">
        <f>SUM(J9:J11)</f>
        <v/>
      </c>
      <c r="K12" s="903">
        <f>SUM(K9:K11)</f>
        <v/>
      </c>
      <c r="L12" s="903">
        <f>SUM(L9:L11)</f>
        <v/>
      </c>
      <c r="M12" s="903">
        <f>SUM(M9:M11)</f>
        <v/>
      </c>
      <c r="N12" s="903">
        <f>SUM(N9:N11)</f>
        <v/>
      </c>
      <c r="O12" s="903">
        <f>SUM(O9:O11)</f>
        <v/>
      </c>
      <c r="P12" s="903">
        <f>SUM(P9:P11)</f>
        <v/>
      </c>
      <c r="Q12" s="903">
        <f>SUM(Q9:Q11)</f>
        <v/>
      </c>
      <c r="R12" s="904">
        <f>SUM(R9:R11)</f>
        <v/>
      </c>
      <c r="S12" s="905" t="n">
        <v>289195</v>
      </c>
      <c r="T12" s="894">
        <f>S12-R12</f>
        <v/>
      </c>
      <c r="U12" s="240" t="inlineStr">
        <is>
          <t>346.000 in FY24</t>
        </is>
      </c>
    </row>
    <row r="13" outlineLevel="1" ht="15" customFormat="1" customHeight="1" s="5">
      <c r="A13" s="52" t="n"/>
      <c r="B13" s="52" t="n"/>
      <c r="C13" s="52" t="n"/>
      <c r="D13" s="52" t="n"/>
      <c r="E13" s="34" t="inlineStr">
        <is>
          <t>Matos, Paula</t>
        </is>
      </c>
      <c r="F13" s="891" t="n">
        <v>8027</v>
      </c>
      <c r="G13" s="891" t="n">
        <v>6568</v>
      </c>
      <c r="H13" s="891" t="n">
        <v>6924</v>
      </c>
      <c r="I13" s="891" t="n">
        <v>6998</v>
      </c>
      <c r="J13" s="891" t="n">
        <v>7377</v>
      </c>
      <c r="K13" s="891" t="n">
        <v>6232</v>
      </c>
      <c r="L13" s="891" t="n">
        <v>7539</v>
      </c>
      <c r="M13" s="891" t="n">
        <v>7354</v>
      </c>
      <c r="N13" s="895">
        <f>'Resource Planning'!I22*'Resource Planning'!N22*'Resource Planning'!P22/12</f>
        <v/>
      </c>
      <c r="O13" s="895">
        <f>'Resource Planning'!I22*'Resource Planning'!N22*'Resource Planning'!P22/12</f>
        <v/>
      </c>
      <c r="P13" s="895">
        <f>'Resource Planning'!I22*'Resource Planning'!N22*'Resource Planning'!P22/12</f>
        <v/>
      </c>
      <c r="Q13" s="895">
        <f>'Resource Planning'!I22*'Resource Planning'!N22*'Resource Planning'!P22/12</f>
        <v/>
      </c>
      <c r="R13" s="896">
        <f>SUM(F13:Q13)</f>
        <v/>
      </c>
      <c r="S13" s="898" t="n">
        <v>88400</v>
      </c>
      <c r="T13" s="894">
        <f>SUM(S13-R13)</f>
        <v/>
      </c>
      <c r="U13" s="131" t="n"/>
    </row>
    <row r="14" outlineLevel="1" ht="15" customFormat="1" customHeight="1" s="5">
      <c r="A14" s="52" t="n"/>
      <c r="B14" s="52" t="n"/>
      <c r="C14" s="52" t="n"/>
      <c r="D14" s="52" t="n"/>
      <c r="E14" s="34" t="inlineStr">
        <is>
          <t>Costa, Bruno</t>
        </is>
      </c>
      <c r="F14" s="891" t="n">
        <v>6720</v>
      </c>
      <c r="G14" s="891" t="n">
        <v>6392</v>
      </c>
      <c r="H14" s="891" t="n">
        <v>5440</v>
      </c>
      <c r="I14" s="891" t="n">
        <v>7040</v>
      </c>
      <c r="J14" s="891" t="n">
        <v>6400</v>
      </c>
      <c r="K14" s="891" t="n">
        <v>6020</v>
      </c>
      <c r="L14" s="891" t="n">
        <v>4600</v>
      </c>
      <c r="M14" s="891" t="n">
        <v>5580</v>
      </c>
      <c r="N14" s="895">
        <f>'Resource Planning'!I23*'Resource Planning'!N23*'Resource Planning'!P23/12</f>
        <v/>
      </c>
      <c r="O14" s="895">
        <f>'Resource Planning'!I23*'Resource Planning'!N23*'Resource Planning'!P23/12</f>
        <v/>
      </c>
      <c r="P14" s="895">
        <f>'Resource Planning'!I23*'Resource Planning'!N23*'Resource Planning'!P23/12</f>
        <v/>
      </c>
      <c r="Q14" s="895">
        <f>'Resource Planning'!I23*'Resource Planning'!N23*'Resource Planning'!P23/12</f>
        <v/>
      </c>
      <c r="R14" s="896">
        <f>SUM(F14:Q14)</f>
        <v/>
      </c>
      <c r="S14" s="898" t="n">
        <v>88400</v>
      </c>
      <c r="T14" s="894">
        <f>SUM(S14-R14)</f>
        <v/>
      </c>
      <c r="U14" s="906" t="n"/>
    </row>
    <row r="15" outlineLevel="1" ht="15" customFormat="1" customHeight="1" s="5">
      <c r="A15" s="52" t="n"/>
      <c r="B15" s="52" t="n"/>
      <c r="C15" s="52" t="n"/>
      <c r="D15" s="52" t="n"/>
      <c r="E15" s="34" t="inlineStr">
        <is>
          <t>Conceicao, Ana (ext)</t>
        </is>
      </c>
      <c r="F15" s="891" t="n">
        <v>6800</v>
      </c>
      <c r="G15" s="891" t="n">
        <v>5700</v>
      </c>
      <c r="H15" s="891" t="n">
        <v>4160</v>
      </c>
      <c r="I15" s="891" t="n">
        <v>6800</v>
      </c>
      <c r="J15" s="891" t="n">
        <v>5920</v>
      </c>
      <c r="K15" s="891" t="n">
        <v>6360</v>
      </c>
      <c r="L15" s="891" t="n">
        <v>4320</v>
      </c>
      <c r="M15" s="891" t="n">
        <v>6600</v>
      </c>
      <c r="N15" s="895">
        <f>'Resource Planning'!I24*'Resource Planning'!N24*'Resource Planning'!P24/12</f>
        <v/>
      </c>
      <c r="O15" s="895">
        <f>'Resource Planning'!I24*'Resource Planning'!N24*'Resource Planning'!P24/12</f>
        <v/>
      </c>
      <c r="P15" s="895">
        <f>'Resource Planning'!I24*'Resource Planning'!N24*'Resource Planning'!P24/12</f>
        <v/>
      </c>
      <c r="Q15" s="895">
        <f>'Resource Planning'!I24*'Resource Planning'!N24*'Resource Planning'!P24/12</f>
        <v/>
      </c>
      <c r="R15" s="896">
        <f>SUM(F15:Q15)</f>
        <v/>
      </c>
      <c r="S15" s="898" t="n">
        <v>88400</v>
      </c>
      <c r="T15" s="894">
        <f>SUM(S15-R15)</f>
        <v/>
      </c>
      <c r="U15" s="71" t="n"/>
    </row>
    <row r="16" outlineLevel="1" ht="15" customFormat="1" customHeight="1" s="5">
      <c r="A16" s="52" t="n"/>
      <c r="B16" s="52" t="n"/>
      <c r="C16" s="52" t="n"/>
      <c r="D16" s="52" t="n"/>
      <c r="E16" s="34" t="inlineStr">
        <is>
          <t>Support SNOW</t>
        </is>
      </c>
      <c r="F16" s="891" t="n"/>
      <c r="G16" s="891" t="n"/>
      <c r="H16" s="891" t="n"/>
      <c r="I16" s="891" t="n">
        <v>1126</v>
      </c>
      <c r="J16" s="891" t="n">
        <v>1976</v>
      </c>
      <c r="K16" s="891" t="n">
        <v>1778</v>
      </c>
      <c r="L16" s="891" t="n">
        <v>615</v>
      </c>
      <c r="M16" s="891" t="n">
        <v>1799</v>
      </c>
      <c r="N16" s="895" t="n"/>
      <c r="O16" s="895" t="n"/>
      <c r="P16" s="895" t="n"/>
      <c r="Q16" s="895" t="n"/>
      <c r="R16" s="896">
        <f>SUM(F16:Q16)</f>
        <v/>
      </c>
      <c r="S16" s="898" t="n"/>
      <c r="T16" s="894" t="n"/>
      <c r="U16" s="71" t="n"/>
    </row>
    <row r="17" outlineLevel="1" ht="15" customFormat="1" customHeight="1" s="5">
      <c r="A17" s="52" t="n"/>
      <c r="B17" s="52" t="n"/>
      <c r="C17" s="52" t="n"/>
      <c r="D17" s="52" t="n"/>
      <c r="E17" s="34" t="inlineStr">
        <is>
          <t>Others</t>
        </is>
      </c>
      <c r="F17" s="891" t="n">
        <v>785</v>
      </c>
      <c r="G17" s="891" t="n">
        <v>465</v>
      </c>
      <c r="H17" s="891" t="n">
        <v>206</v>
      </c>
      <c r="I17" s="891" t="n">
        <v>149</v>
      </c>
      <c r="J17" s="891" t="n">
        <v>324</v>
      </c>
      <c r="K17" s="891" t="n">
        <v>429</v>
      </c>
      <c r="L17" s="891" t="n">
        <v>79</v>
      </c>
      <c r="M17" s="891" t="n">
        <v>882</v>
      </c>
      <c r="N17" s="895" t="n"/>
      <c r="O17" s="895" t="n"/>
      <c r="P17" s="895" t="n"/>
      <c r="Q17" s="895" t="n"/>
      <c r="R17" s="896">
        <f>SUM(F17:Q17)</f>
        <v/>
      </c>
      <c r="S17" s="892" t="n">
        <v>0</v>
      </c>
      <c r="T17" s="894">
        <f>SUM(S17-R17)</f>
        <v/>
      </c>
      <c r="U17" s="71" t="n"/>
    </row>
    <row r="18" ht="15" customHeight="1">
      <c r="A18" s="35" t="inlineStr">
        <is>
          <t>C</t>
        </is>
      </c>
      <c r="B18" s="35" t="n">
        <v>4</v>
      </c>
      <c r="C18" s="35" t="n">
        <v>5240</v>
      </c>
      <c r="D18" s="35" t="inlineStr">
        <is>
          <t>ExpPT</t>
        </is>
      </c>
      <c r="E18" s="6" t="inlineStr">
        <is>
          <t>Support/TMS Experts PT - total - ARE 5240</t>
        </is>
      </c>
      <c r="F18" s="907">
        <f>SUM(F13:F17)</f>
        <v/>
      </c>
      <c r="G18" s="907">
        <f>SUM(G13:G17)</f>
        <v/>
      </c>
      <c r="H18" s="899">
        <f>SUM(H13:H17)</f>
        <v/>
      </c>
      <c r="I18" s="899">
        <f>SUM(I13:I17)</f>
        <v/>
      </c>
      <c r="J18" s="899">
        <f>SUM(J13:J17)</f>
        <v/>
      </c>
      <c r="K18" s="899">
        <f>SUM(K13:K17)</f>
        <v/>
      </c>
      <c r="L18" s="899">
        <f>SUM(L13:L17)</f>
        <v/>
      </c>
      <c r="M18" s="899">
        <f>SUM(M13:M17)</f>
        <v/>
      </c>
      <c r="N18" s="900">
        <f>SUM(N13:N15)</f>
        <v/>
      </c>
      <c r="O18" s="900">
        <f>SUM(O13:O15)</f>
        <v/>
      </c>
      <c r="P18" s="900">
        <f>SUM(P13:P15)</f>
        <v/>
      </c>
      <c r="Q18" s="900">
        <f>SUM(Q13:Q15)</f>
        <v/>
      </c>
      <c r="R18" s="901">
        <f>SUM(R13:R17)</f>
        <v/>
      </c>
      <c r="S18" s="908">
        <f>SUM(S13:S17)</f>
        <v/>
      </c>
      <c r="T18" s="902">
        <f>SUM(T13:T17)</f>
        <v/>
      </c>
      <c r="U18" s="234" t="n"/>
    </row>
    <row r="19" outlineLevel="1" ht="15" customHeight="1">
      <c r="E19" s="33" t="inlineStr">
        <is>
          <t>Magro, Daniel</t>
        </is>
      </c>
      <c r="F19" s="891" t="n">
        <v>3960</v>
      </c>
      <c r="G19" s="891" t="n">
        <v>3600</v>
      </c>
      <c r="H19" s="891" t="n">
        <v>2880</v>
      </c>
      <c r="I19" s="891" t="n">
        <v>3735</v>
      </c>
      <c r="J19" s="891" t="n">
        <v>3420</v>
      </c>
      <c r="K19" s="891" t="n">
        <v>1800</v>
      </c>
      <c r="L19" s="891" t="n">
        <v>3600</v>
      </c>
      <c r="M19" s="891" t="n">
        <v>3600</v>
      </c>
      <c r="N19" s="895">
        <f>'Resource Planning'!I10*'Resource Planning'!N10*'Resource Planning'!P10/12</f>
        <v/>
      </c>
      <c r="O19" s="895">
        <f>'Resource Planning'!I10*'Resource Planning'!N10*'Resource Planning'!P10/12</f>
        <v/>
      </c>
      <c r="P19" s="895">
        <f>'Resource Planning'!I10*'Resource Planning'!N10*'Resource Planning'!P10/12</f>
        <v/>
      </c>
      <c r="Q19" s="895">
        <f>'Resource Planning'!I10*'Resource Planning'!N10*'Resource Planning'!P10/12</f>
        <v/>
      </c>
      <c r="R19" s="896">
        <f>SUM(F19:Q19)</f>
        <v/>
      </c>
      <c r="S19" s="892" t="n">
        <v>44200</v>
      </c>
      <c r="T19" s="892">
        <f>SUM(S19-R19)</f>
        <v/>
      </c>
    </row>
    <row r="20" outlineLevel="1" ht="15" customHeight="1">
      <c r="E20" s="33" t="inlineStr">
        <is>
          <t>Rosa, Claudia (ext)</t>
        </is>
      </c>
      <c r="F20" s="897" t="n">
        <v>0</v>
      </c>
      <c r="G20" s="897" t="n">
        <v>0</v>
      </c>
      <c r="H20" s="897" t="n">
        <v>0</v>
      </c>
      <c r="I20" s="897" t="n">
        <v>0</v>
      </c>
      <c r="J20" s="897" t="n">
        <v>0</v>
      </c>
      <c r="K20" s="897" t="n">
        <v>0</v>
      </c>
      <c r="L20" s="895">
        <f>'Resource Planning'!K11*'Resource Planning'!P11*'Resource Planning'!R11/12</f>
        <v/>
      </c>
      <c r="M20" s="895">
        <f>'Resource Planning'!K11*'Resource Planning'!P11*'Resource Planning'!R11/12</f>
        <v/>
      </c>
      <c r="N20" s="895">
        <f>'Resource Planning'!M11*'Resource Planning'!R11*'Resource Planning'!T11/12</f>
        <v/>
      </c>
      <c r="O20" s="895">
        <f>'Resource Planning'!M11*'Resource Planning'!R11*'Resource Planning'!T11/12</f>
        <v/>
      </c>
      <c r="P20" s="895">
        <f>'Resource Planning'!O11*'Resource Planning'!T11*'Resource Planning'!V11/12</f>
        <v/>
      </c>
      <c r="Q20" s="895">
        <f>'Resource Planning'!O11*'Resource Planning'!T11*'Resource Planning'!V11/12</f>
        <v/>
      </c>
      <c r="R20" s="896">
        <f>SUM(F20:Q20)</f>
        <v/>
      </c>
      <c r="S20" s="892" t="n">
        <v>0</v>
      </c>
      <c r="T20" s="892">
        <f>SUM(S20-R20)</f>
        <v/>
      </c>
    </row>
    <row r="21" outlineLevel="1" ht="15" customHeight="1">
      <c r="E21" s="33" t="inlineStr">
        <is>
          <t>Matos Oliveira, Rita</t>
        </is>
      </c>
      <c r="F21" s="897" t="n">
        <v>0</v>
      </c>
      <c r="G21" s="897" t="n">
        <v>0</v>
      </c>
      <c r="H21" s="897" t="n">
        <v>0</v>
      </c>
      <c r="I21" s="897" t="n">
        <v>0</v>
      </c>
      <c r="J21" s="897" t="n">
        <v>0</v>
      </c>
      <c r="K21" s="897" t="n">
        <v>0</v>
      </c>
      <c r="L21" s="895">
        <f>'Resource Planning'!I12*'Resource Planning'!N12*'Resource Planning'!P12/12</f>
        <v/>
      </c>
      <c r="M21" s="895">
        <f>'Resource Planning'!I12*'Resource Planning'!N12*'Resource Planning'!P12/12</f>
        <v/>
      </c>
      <c r="N21" s="895">
        <f>'Resource Planning'!I12*'Resource Planning'!N12*'Resource Planning'!P12/12</f>
        <v/>
      </c>
      <c r="O21" s="895">
        <f>'Resource Planning'!I12*'Resource Planning'!N12*'Resource Planning'!P12/12</f>
        <v/>
      </c>
      <c r="P21" s="895">
        <f>'Resource Planning'!I12*'Resource Planning'!N12*'Resource Planning'!P12/12</f>
        <v/>
      </c>
      <c r="Q21" s="895">
        <f>'Resource Planning'!I12*'Resource Planning'!N12*'Resource Planning'!P12/12</f>
        <v/>
      </c>
      <c r="R21" s="896">
        <f>SUM(F21:Q21)</f>
        <v/>
      </c>
      <c r="S21" s="892" t="n">
        <v>0</v>
      </c>
      <c r="T21" s="892">
        <f>SUM(S21-R21)</f>
        <v/>
      </c>
    </row>
    <row r="22" outlineLevel="1" ht="15" customHeight="1">
      <c r="E22" s="33" t="inlineStr">
        <is>
          <t>Pires, Filipe</t>
        </is>
      </c>
      <c r="F22" s="897" t="n">
        <v>0</v>
      </c>
      <c r="G22" s="897" t="n">
        <v>0</v>
      </c>
      <c r="H22" s="897" t="n">
        <v>0</v>
      </c>
      <c r="I22" s="897" t="n">
        <v>0</v>
      </c>
      <c r="J22" s="897" t="n">
        <v>0</v>
      </c>
      <c r="K22" s="897" t="n">
        <v>0</v>
      </c>
      <c r="L22" s="895">
        <f>'Resource Planning'!I13*'Resource Planning'!N13*'Resource Planning'!P13/12</f>
        <v/>
      </c>
      <c r="M22" s="895">
        <f>'Resource Planning'!I13*'Resource Planning'!N13*'Resource Planning'!P13/12</f>
        <v/>
      </c>
      <c r="N22" s="895">
        <f>'Resource Planning'!I13*'Resource Planning'!N13*'Resource Planning'!P13/12</f>
        <v/>
      </c>
      <c r="O22" s="895">
        <f>'Resource Planning'!I13*'Resource Planning'!N13*'Resource Planning'!P13/12</f>
        <v/>
      </c>
      <c r="P22" s="895">
        <f>'Resource Planning'!I13*'Resource Planning'!N13*'Resource Planning'!P13/12</f>
        <v/>
      </c>
      <c r="Q22" s="895">
        <f>'Resource Planning'!I13*'Resource Planning'!N13*'Resource Planning'!P13/12</f>
        <v/>
      </c>
      <c r="R22" s="896">
        <f>SUM(F22:Q22)</f>
        <v/>
      </c>
      <c r="S22" s="892" t="n">
        <v>0</v>
      </c>
      <c r="T22" s="892">
        <f>SUM(S22-R22)</f>
        <v/>
      </c>
    </row>
    <row r="23" outlineLevel="1" ht="15" customHeight="1">
      <c r="E23" s="33" t="inlineStr">
        <is>
          <t>Plácido, Andreia</t>
        </is>
      </c>
      <c r="F23" s="897" t="n">
        <v>0</v>
      </c>
      <c r="G23" s="897" t="n">
        <v>0</v>
      </c>
      <c r="H23" s="897" t="n">
        <v>0</v>
      </c>
      <c r="I23" s="897" t="n">
        <v>0</v>
      </c>
      <c r="J23" s="897" t="n">
        <v>0</v>
      </c>
      <c r="K23" s="897" t="n">
        <v>0</v>
      </c>
      <c r="L23" s="895">
        <f>'Resource Planning'!K14*'Resource Planning'!P14*'Resource Planning'!R14/12</f>
        <v/>
      </c>
      <c r="M23" s="895">
        <f>'Resource Planning'!L14*'Resource Planning'!Q14*'Resource Planning'!S14/12</f>
        <v/>
      </c>
      <c r="N23" s="895">
        <f>'Resource Planning'!M14*'Resource Planning'!R14*'Resource Planning'!T14/12</f>
        <v/>
      </c>
      <c r="O23" s="895">
        <f>'Resource Planning'!N14*'Resource Planning'!S14*'Resource Planning'!U14/12</f>
        <v/>
      </c>
      <c r="P23" s="895">
        <f>'Resource Planning'!O14*'Resource Planning'!T14*'Resource Planning'!V14/12</f>
        <v/>
      </c>
      <c r="Q23" s="895">
        <f>'Resource Planning'!P14*'Resource Planning'!U14*'Resource Planning'!W14/12</f>
        <v/>
      </c>
      <c r="R23" s="896">
        <f>SUM(F23:Q23)</f>
        <v/>
      </c>
      <c r="S23" s="892" t="n">
        <v>0</v>
      </c>
      <c r="T23" s="892">
        <f>SUM(S23-R23)</f>
        <v/>
      </c>
    </row>
    <row r="24" outlineLevel="1" ht="15" customHeight="1">
      <c r="E24" s="34" t="inlineStr">
        <is>
          <t>Antunes, Ricardo</t>
        </is>
      </c>
      <c r="F24" s="891" t="n">
        <v>8280</v>
      </c>
      <c r="G24" s="891" t="n">
        <v>7200</v>
      </c>
      <c r="H24" s="891" t="n">
        <v>5400</v>
      </c>
      <c r="I24" s="891" t="n">
        <v>7920</v>
      </c>
      <c r="J24" s="891" t="n">
        <v>7200</v>
      </c>
      <c r="K24" s="891" t="n">
        <v>3600</v>
      </c>
      <c r="L24" s="891" t="n">
        <v>0</v>
      </c>
      <c r="M24" s="909" t="n">
        <v>0</v>
      </c>
      <c r="N24" s="894">
        <f>'Resource Planning'!I15*'Resource Planning'!N15*'Resource Planning'!P15/12</f>
        <v/>
      </c>
      <c r="O24" s="894">
        <f>'Resource Planning'!I15*'Resource Planning'!N15*'Resource Planning'!P15/12</f>
        <v/>
      </c>
      <c r="P24" s="894">
        <f>'Resource Planning'!I15*'Resource Planning'!N15*'Resource Planning'!P15/12</f>
        <v/>
      </c>
      <c r="Q24" s="894">
        <f>'Resource Planning'!I15*'Resource Planning'!N15*'Resource Planning'!P15/12</f>
        <v/>
      </c>
      <c r="R24" s="910">
        <f>SUM(F24:Q24)</f>
        <v/>
      </c>
      <c r="S24" s="909" t="n">
        <v>88400</v>
      </c>
      <c r="T24" s="894">
        <f>SUM(S24-R24)</f>
        <v/>
      </c>
    </row>
    <row r="25" ht="15" customFormat="1" customHeight="1" s="1">
      <c r="A25" s="35" t="inlineStr">
        <is>
          <t>C</t>
        </is>
      </c>
      <c r="B25" s="35" t="n">
        <v>4</v>
      </c>
      <c r="C25" s="35" t="n">
        <v>5240</v>
      </c>
      <c r="D25" s="35" t="inlineStr">
        <is>
          <t>Test</t>
        </is>
      </c>
      <c r="E25" s="6" t="inlineStr">
        <is>
          <t>Testing PT - ARE 5240</t>
        </is>
      </c>
      <c r="F25" s="907">
        <f>SUM(F19:F24)</f>
        <v/>
      </c>
      <c r="G25" s="907">
        <f>SUM(G19:G24)</f>
        <v/>
      </c>
      <c r="H25" s="899">
        <f>SUM(H19:H24)</f>
        <v/>
      </c>
      <c r="I25" s="899">
        <f>SUM(I19:I24)</f>
        <v/>
      </c>
      <c r="J25" s="899">
        <f>SUM(J19:J24)</f>
        <v/>
      </c>
      <c r="K25" s="899">
        <f>SUM(K19:K24)</f>
        <v/>
      </c>
      <c r="L25" s="899">
        <f>SUM(L19:L24)</f>
        <v/>
      </c>
      <c r="M25" s="899">
        <f>SUM(M19:M24)</f>
        <v/>
      </c>
      <c r="N25" s="902">
        <f>SUM(N19:N24)</f>
        <v/>
      </c>
      <c r="O25" s="902">
        <f>SUM(O19:O24)</f>
        <v/>
      </c>
      <c r="P25" s="902">
        <f>SUM(P19:P24)</f>
        <v/>
      </c>
      <c r="Q25" s="902">
        <f>SUM(Q19:Q24)</f>
        <v/>
      </c>
      <c r="R25" s="911">
        <f>SUM(R19:R24)</f>
        <v/>
      </c>
      <c r="S25" s="905">
        <f>SUM(S19:S24)</f>
        <v/>
      </c>
      <c r="T25" s="902">
        <f>SUM(T19:T24)</f>
        <v/>
      </c>
      <c r="U25" s="902" t="n"/>
    </row>
    <row r="26" outlineLevel="1" ht="15" customHeight="1">
      <c r="A26" s="30" t="inlineStr">
        <is>
          <t>A</t>
        </is>
      </c>
      <c r="B26" s="30" t="n">
        <v>5</v>
      </c>
      <c r="E26" s="33" t="inlineStr">
        <is>
          <t>Helbing, Björn</t>
        </is>
      </c>
      <c r="F26" s="891" t="n">
        <v>7289</v>
      </c>
      <c r="G26" s="891" t="n">
        <v>5207</v>
      </c>
      <c r="H26" s="891" t="n">
        <v>4859</v>
      </c>
      <c r="I26" s="891" t="n">
        <v>6595</v>
      </c>
      <c r="J26" s="891" t="n">
        <v>5206</v>
      </c>
      <c r="K26" s="891" t="n">
        <v>6072</v>
      </c>
      <c r="L26" s="891" t="n">
        <v>3120</v>
      </c>
      <c r="M26" s="891" t="n">
        <v>2808</v>
      </c>
      <c r="N26" s="895">
        <f>'Resource Planning'!I3*'Resource Planning'!N3*'Resource Planning'!P3/12</f>
        <v/>
      </c>
      <c r="O26" s="895">
        <f>'Resource Planning'!I3*'Resource Planning'!N3*'Resource Planning'!P3/12</f>
        <v/>
      </c>
      <c r="P26" s="895">
        <f>'Resource Planning'!I3*'Resource Planning'!N3*'Resource Planning'!P3/12</f>
        <v/>
      </c>
      <c r="Q26" s="895">
        <f>'Resource Planning'!I3*'Resource Planning'!N3*'Resource Planning'!P3/12</f>
        <v/>
      </c>
      <c r="R26" s="912">
        <f>SUM(F26:Q26)</f>
        <v/>
      </c>
      <c r="S26" s="895" t="n">
        <v>71760</v>
      </c>
      <c r="T26" s="894">
        <f>SUM(S26-R26)</f>
        <v/>
      </c>
      <c r="U26" t="inlineStr">
        <is>
          <t>ab April pro Monat Support CN 20 Std und US 72 Std</t>
        </is>
      </c>
      <c r="V26" s="167" t="n"/>
    </row>
    <row r="27" outlineLevel="1" ht="15" customHeight="1">
      <c r="A27" s="30" t="inlineStr">
        <is>
          <t>B</t>
        </is>
      </c>
      <c r="B27" s="30" t="n">
        <v>4</v>
      </c>
      <c r="C27" s="30" t="n">
        <v>5290</v>
      </c>
      <c r="E27" s="33" t="inlineStr">
        <is>
          <t>Fernandes Redondo, Amanda</t>
        </is>
      </c>
      <c r="F27" s="891" t="n">
        <v>9196</v>
      </c>
      <c r="G27" s="891" t="n">
        <v>9683</v>
      </c>
      <c r="H27" s="891" t="n">
        <v>7247</v>
      </c>
      <c r="I27" s="891" t="n">
        <v>10231</v>
      </c>
      <c r="J27" s="891" t="n">
        <v>9683</v>
      </c>
      <c r="K27" s="891" t="n">
        <v>9013</v>
      </c>
      <c r="L27" s="891" t="n">
        <v>8100</v>
      </c>
      <c r="M27" s="891" t="n">
        <v>6638</v>
      </c>
      <c r="N27" s="892">
        <f>'Resource Planning'!I4*'Resource Planning'!N4*'Resource Planning'!P4/12</f>
        <v/>
      </c>
      <c r="O27" s="892">
        <f>'Resource Planning'!I4*'Resource Planning'!N4*'Resource Planning'!P4/12</f>
        <v/>
      </c>
      <c r="P27" s="892">
        <f>'Resource Planning'!I4*'Resource Planning'!N4*'Resource Planning'!P4/12</f>
        <v/>
      </c>
      <c r="Q27" s="892">
        <f>'Resource Planning'!I4*'Resource Planning'!N4*'Resource Planning'!P4/12</f>
        <v/>
      </c>
      <c r="R27" s="896">
        <f>SUM(F27:Q27)</f>
        <v/>
      </c>
      <c r="S27" s="892" t="n">
        <v>100363</v>
      </c>
      <c r="T27" s="894">
        <f>SUM(S27-R27)</f>
        <v/>
      </c>
    </row>
    <row r="28" outlineLevel="1" ht="15" customHeight="1">
      <c r="A28" s="30" t="inlineStr">
        <is>
          <t>B</t>
        </is>
      </c>
      <c r="B28" s="30" t="n">
        <v>4</v>
      </c>
      <c r="C28" s="30" t="n">
        <v>5290</v>
      </c>
      <c r="E28" s="33" t="inlineStr">
        <is>
          <t>Zouine, Meryem</t>
        </is>
      </c>
      <c r="F28" s="897" t="n">
        <v>0</v>
      </c>
      <c r="G28" s="897" t="n">
        <v>0</v>
      </c>
      <c r="H28" s="897" t="n">
        <v>0</v>
      </c>
      <c r="I28" s="897" t="n">
        <v>0</v>
      </c>
      <c r="J28" s="897" t="n">
        <v>0</v>
      </c>
      <c r="K28" s="891">
        <f>'Resource Planning'!I5*'Resource Planning'!N5*'Resource Planning'!P5/12</f>
        <v/>
      </c>
      <c r="L28" s="895">
        <f>'Resource Planning'!I5*'Resource Planning'!N5*'Resource Planning'!P5/12</f>
        <v/>
      </c>
      <c r="M28" s="895">
        <f>'Resource Planning'!I5*'Resource Planning'!N5*'Resource Planning'!P5/12</f>
        <v/>
      </c>
      <c r="N28" s="895">
        <f>'Resource Planning'!I5*'Resource Planning'!N5*'Resource Planning'!P5/12</f>
        <v/>
      </c>
      <c r="O28" s="895">
        <f>'Resource Planning'!I5*'Resource Planning'!N5*'Resource Planning'!P5/12</f>
        <v/>
      </c>
      <c r="P28" s="895">
        <f>'Resource Planning'!I5*'Resource Planning'!N5*'Resource Planning'!P5/12</f>
        <v/>
      </c>
      <c r="Q28" s="895">
        <f>'Resource Planning'!I5*'Resource Planning'!N5*'Resource Planning'!P5/12</f>
        <v/>
      </c>
      <c r="R28" s="912">
        <f>SUM(F28:Q28)</f>
        <v/>
      </c>
      <c r="S28" s="895" t="n">
        <v>0</v>
      </c>
      <c r="T28" s="894">
        <f>SUM(S28-R28)</f>
        <v/>
      </c>
      <c r="U28" t="inlineStr">
        <is>
          <t>compared to external ressource (125T€) -20%</t>
        </is>
      </c>
    </row>
    <row r="29" outlineLevel="1" ht="15" customHeight="1">
      <c r="A29" s="30" t="inlineStr">
        <is>
          <t>B</t>
        </is>
      </c>
      <c r="B29" s="30" t="n">
        <v>4</v>
      </c>
      <c r="C29" s="30" t="n">
        <v>5290</v>
      </c>
      <c r="E29" s="33" t="inlineStr">
        <is>
          <t>Cerezo, Alberto</t>
        </is>
      </c>
      <c r="F29" s="897" t="n">
        <v>0</v>
      </c>
      <c r="G29" s="891" t="n">
        <v>122</v>
      </c>
      <c r="H29" s="897" t="n">
        <v>0</v>
      </c>
      <c r="I29" s="897" t="n">
        <v>0</v>
      </c>
      <c r="J29" s="897" t="n">
        <v>0</v>
      </c>
      <c r="K29" s="891">
        <f>'Resource Planning'!I6*'Resource Planning'!N6*'Resource Planning'!P6/12</f>
        <v/>
      </c>
      <c r="L29" s="895">
        <f>'Resource Planning'!I6*'Resource Planning'!N6*'Resource Planning'!P6/12</f>
        <v/>
      </c>
      <c r="M29" s="895">
        <f>'Resource Planning'!I6*'Resource Planning'!N6*'Resource Planning'!P6/12</f>
        <v/>
      </c>
      <c r="N29" s="895">
        <f>'Resource Planning'!I6*'Resource Planning'!N6*'Resource Planning'!P6/12</f>
        <v/>
      </c>
      <c r="O29" s="895">
        <f>'Resource Planning'!I6*'Resource Planning'!N6*'Resource Planning'!P6/12</f>
        <v/>
      </c>
      <c r="P29" s="895">
        <f>'Resource Planning'!I6*'Resource Planning'!N6*'Resource Planning'!P6/12</f>
        <v/>
      </c>
      <c r="Q29" s="895">
        <f>'Resource Planning'!I6*'Resource Planning'!N6*'Resource Planning'!P6/12</f>
        <v/>
      </c>
      <c r="R29" s="912">
        <f>SUM(F29:Q29)</f>
        <v/>
      </c>
      <c r="S29" s="895" t="n"/>
      <c r="T29" s="894">
        <f>SUM(S29-R29)</f>
        <v/>
      </c>
    </row>
    <row r="30" outlineLevel="1" ht="15" customHeight="1">
      <c r="A30" s="30" t="inlineStr">
        <is>
          <t>A</t>
        </is>
      </c>
      <c r="B30" s="30" t="n">
        <v>5</v>
      </c>
      <c r="E30" s="33" t="inlineStr">
        <is>
          <t>Swoboda, Claudia</t>
        </is>
      </c>
      <c r="F30" s="891" t="n">
        <v>9100</v>
      </c>
      <c r="G30" s="891" t="n">
        <v>8000</v>
      </c>
      <c r="H30" s="891" t="n">
        <v>6300</v>
      </c>
      <c r="I30" s="891" t="n">
        <v>7800</v>
      </c>
      <c r="J30" s="891" t="n">
        <v>7200</v>
      </c>
      <c r="K30" s="891" t="n">
        <v>8600</v>
      </c>
      <c r="L30" s="891" t="n">
        <v>9800</v>
      </c>
      <c r="M30" s="891" t="n">
        <v>-10000</v>
      </c>
      <c r="N30" s="894">
        <f>'Resource Planning'!I7*'Resource Planning'!N7*'Resource Planning'!P7/12</f>
        <v/>
      </c>
      <c r="O30" s="894">
        <f>'Resource Planning'!I7*'Resource Planning'!N7*'Resource Planning'!P7/12</f>
        <v/>
      </c>
      <c r="P30" s="894">
        <f>'Resource Planning'!I7*'Resource Planning'!N7*'Resource Planning'!P7/12</f>
        <v/>
      </c>
      <c r="Q30" s="894">
        <f>'Resource Planning'!I7*'Resource Planning'!N7*'Resource Planning'!P7/12</f>
        <v/>
      </c>
      <c r="R30" s="896">
        <f>SUM(F30:Q30)</f>
        <v/>
      </c>
      <c r="S30" s="892" t="n">
        <v>91080</v>
      </c>
      <c r="T30" s="894">
        <f>SUM(S30-R30)</f>
        <v/>
      </c>
      <c r="U30" t="inlineStr">
        <is>
          <t>ab April pro Monat 80 Std für Support US</t>
        </is>
      </c>
    </row>
    <row r="31" outlineLevel="1" ht="15" customHeight="1">
      <c r="A31" s="30" t="inlineStr">
        <is>
          <t>B</t>
        </is>
      </c>
      <c r="B31" s="30" t="n">
        <v>4</v>
      </c>
      <c r="C31" s="30" t="n">
        <v>5290</v>
      </c>
      <c r="E31" s="33" t="inlineStr">
        <is>
          <t>Bicho, Rita</t>
        </is>
      </c>
      <c r="F31" s="891" t="n">
        <v>2606</v>
      </c>
      <c r="G31" s="891" t="n">
        <v>1629</v>
      </c>
      <c r="H31" s="913" t="n">
        <v>2932</v>
      </c>
      <c r="I31" s="891" t="n">
        <v>2769</v>
      </c>
      <c r="J31" s="891" t="n">
        <v>3257</v>
      </c>
      <c r="K31" s="891" t="n">
        <v>3257</v>
      </c>
      <c r="L31" s="891" t="n">
        <v>1950</v>
      </c>
      <c r="M31" s="891" t="n">
        <v>3096</v>
      </c>
      <c r="N31" s="895">
        <f>'Resource Planning'!I8*'Resource Planning'!N8*'Resource Planning'!P8/12</f>
        <v/>
      </c>
      <c r="O31" s="895">
        <f>'Resource Planning'!I8*'Resource Planning'!N8*'Resource Planning'!P8/12</f>
        <v/>
      </c>
      <c r="P31" s="895">
        <f>'Resource Planning'!I8*'Resource Planning'!N8*'Resource Planning'!P8/12</f>
        <v/>
      </c>
      <c r="Q31" s="895">
        <f>'Resource Planning'!I8*'Resource Planning'!N8*'Resource Planning'!P8/12</f>
        <v/>
      </c>
      <c r="R31" s="912">
        <f>SUM(F31:Q31)</f>
        <v/>
      </c>
      <c r="S31" s="895" t="n">
        <v>33454</v>
      </c>
      <c r="T31" s="894">
        <f>SUM(S31-R31)</f>
        <v/>
      </c>
    </row>
    <row r="32" outlineLevel="1" ht="15" customHeight="1">
      <c r="A32" s="127" t="inlineStr">
        <is>
          <t>A</t>
        </is>
      </c>
      <c r="B32" s="127" t="n">
        <v>5</v>
      </c>
      <c r="C32" s="127" t="n"/>
      <c r="D32" s="127" t="n"/>
      <c r="E32" s="125" t="inlineStr">
        <is>
          <t>Heinen, Anna</t>
        </is>
      </c>
      <c r="F32" s="914" t="n">
        <v>0</v>
      </c>
      <c r="G32" s="914" t="n">
        <v>0</v>
      </c>
      <c r="H32" s="914" t="n">
        <v>0</v>
      </c>
      <c r="I32" s="914" t="n">
        <v>0</v>
      </c>
      <c r="J32" s="915" t="n">
        <v>1400</v>
      </c>
      <c r="K32" s="915" t="n"/>
      <c r="L32" s="916" t="n"/>
      <c r="M32" s="916" t="n"/>
      <c r="N32" s="916" t="n"/>
      <c r="O32" s="916" t="n"/>
      <c r="P32" s="916" t="n"/>
      <c r="Q32" s="916">
        <f>'Resource Planning'!I9*'Resource Planning'!N9*'Resource Planning'!P9</f>
        <v/>
      </c>
      <c r="R32" s="917">
        <f>SUM(F32:Q32)</f>
        <v/>
      </c>
      <c r="S32" s="918" t="n"/>
      <c r="T32" s="916">
        <f>SUM(S32-R32)</f>
        <v/>
      </c>
      <c r="U32" s="38" t="n"/>
    </row>
    <row r="33" outlineLevel="1" ht="15" customHeight="1">
      <c r="E33" s="33" t="inlineStr">
        <is>
          <t>IT Lease costs</t>
        </is>
      </c>
      <c r="F33" s="897" t="n"/>
      <c r="G33" s="897" t="n">
        <v>16.25</v>
      </c>
      <c r="H33" s="897" t="n">
        <v>3.75</v>
      </c>
      <c r="I33" s="897" t="n">
        <v>5</v>
      </c>
      <c r="J33" s="891" t="n">
        <v>7.5</v>
      </c>
      <c r="K33" s="891" t="n">
        <v>2.5</v>
      </c>
      <c r="L33" s="891" t="n">
        <v>12</v>
      </c>
      <c r="M33" s="894" t="n"/>
      <c r="N33" s="894" t="n"/>
      <c r="O33" s="894" t="n"/>
      <c r="P33" s="894" t="n"/>
      <c r="Q33" s="894" t="n"/>
      <c r="R33" s="910">
        <f>SUM(F33:Q33)</f>
        <v/>
      </c>
      <c r="S33" s="892" t="n"/>
      <c r="T33" s="894" t="n"/>
    </row>
    <row r="34" outlineLevel="1" ht="13" customHeight="1">
      <c r="A34" s="30" t="inlineStr">
        <is>
          <t>E</t>
        </is>
      </c>
      <c r="D34" s="30" t="inlineStr">
        <is>
          <t>Av</t>
        </is>
      </c>
      <c r="E34" s="33" t="inlineStr">
        <is>
          <t>Avature Certification (PO 9708929580)</t>
        </is>
      </c>
      <c r="F34" s="895" t="n"/>
      <c r="G34" s="895" t="n"/>
      <c r="H34" s="891" t="n"/>
      <c r="I34" s="895" t="n"/>
      <c r="J34" s="895" t="n"/>
      <c r="K34" s="895" t="n"/>
      <c r="L34" s="895" t="n"/>
      <c r="M34" s="895" t="n"/>
      <c r="N34" s="895" t="n"/>
      <c r="O34" s="895" t="n"/>
      <c r="P34" s="895" t="n"/>
      <c r="Q34" s="895" t="n">
        <v>15000</v>
      </c>
      <c r="R34" s="912">
        <f>SUM(F34:Q34)</f>
        <v/>
      </c>
      <c r="S34" s="895" t="n">
        <v>15000</v>
      </c>
      <c r="T34" s="919">
        <f>SUM(R34-S34)</f>
        <v/>
      </c>
      <c r="U34" s="895" t="n"/>
      <c r="V34" s="895">
        <f>SUM(T34-R34)</f>
        <v/>
      </c>
      <c r="W34" s="167" t="inlineStr">
        <is>
          <t>should be moved to Operations</t>
        </is>
      </c>
    </row>
    <row r="35" outlineLevel="1" ht="15" customHeight="1">
      <c r="A35" s="30" t="inlineStr">
        <is>
          <t>F</t>
        </is>
      </c>
      <c r="B35" s="30" t="n">
        <v>3</v>
      </c>
      <c r="E35" s="33" t="inlineStr">
        <is>
          <t>DPS Internal Umlage (global)</t>
        </is>
      </c>
      <c r="F35" s="891" t="n">
        <v>9288</v>
      </c>
      <c r="G35" s="891" t="n">
        <v>9288</v>
      </c>
      <c r="H35" s="891" t="n">
        <v>9288</v>
      </c>
      <c r="I35" s="891" t="n">
        <v>9288</v>
      </c>
      <c r="J35" s="891" t="n">
        <v>9288</v>
      </c>
      <c r="K35" s="891" t="n">
        <v>9288</v>
      </c>
      <c r="L35" s="891" t="n">
        <v>9288</v>
      </c>
      <c r="M35" s="894" t="n">
        <v>9288</v>
      </c>
      <c r="N35" s="894" t="n">
        <v>9288</v>
      </c>
      <c r="O35" s="894" t="n">
        <v>9288</v>
      </c>
      <c r="P35" s="894" t="n">
        <v>9288</v>
      </c>
      <c r="Q35" s="894" t="n">
        <v>9288</v>
      </c>
      <c r="R35" s="920">
        <f>SUM(F35:Q35)</f>
        <v/>
      </c>
      <c r="S35" s="722" t="n">
        <v>212375</v>
      </c>
      <c r="T35" s="894">
        <f>SUM(S35-R35)</f>
        <v/>
      </c>
    </row>
    <row r="36" ht="15" customFormat="1" customHeight="1" s="1">
      <c r="A36" s="35" t="n"/>
      <c r="B36" s="35" t="n"/>
      <c r="C36" s="35" t="n"/>
      <c r="D36" s="35" t="inlineStr">
        <is>
          <t>GBS</t>
        </is>
      </c>
      <c r="E36" s="6" t="inlineStr">
        <is>
          <t>Service Management - ES- 5290 + int.</t>
        </is>
      </c>
      <c r="F36" s="907">
        <f>SUM(F26:F35)</f>
        <v/>
      </c>
      <c r="G36" s="907">
        <f>SUM(G26:G35)</f>
        <v/>
      </c>
      <c r="H36" s="899">
        <f>SUM(H26:H35)</f>
        <v/>
      </c>
      <c r="I36" s="899">
        <f>SUM(I26:I35)</f>
        <v/>
      </c>
      <c r="J36" s="899">
        <f>SUM(J26:J35)</f>
        <v/>
      </c>
      <c r="K36" s="899">
        <f>SUM(K26:K35)</f>
        <v/>
      </c>
      <c r="L36" s="899">
        <f>SUM(L26:L35)</f>
        <v/>
      </c>
      <c r="M36" s="900">
        <f>SUM(M26:M35)</f>
        <v/>
      </c>
      <c r="N36" s="900">
        <f>SUM(N26:N35)</f>
        <v/>
      </c>
      <c r="O36" s="900">
        <f>SUM(O26:O35)</f>
        <v/>
      </c>
      <c r="P36" s="900">
        <f>SUM(P26:P35)</f>
        <v/>
      </c>
      <c r="Q36" s="900">
        <f>SUM(Q26:Q35)</f>
        <v/>
      </c>
      <c r="R36" s="901">
        <f>SUM(R26:R35)</f>
        <v/>
      </c>
      <c r="S36" s="900">
        <f>SUM(S26:S35)</f>
        <v/>
      </c>
      <c r="T36" s="902">
        <f>SUM(T26:T35)</f>
        <v/>
      </c>
      <c r="U36" s="234" t="n"/>
    </row>
    <row r="37" outlineLevel="1" ht="15" customFormat="1" customHeight="1" s="26">
      <c r="A37" s="30" t="inlineStr">
        <is>
          <t>A</t>
        </is>
      </c>
      <c r="B37" s="30" t="n"/>
      <c r="C37" s="30" t="n"/>
      <c r="D37" s="30" t="n"/>
      <c r="E37" s="33" t="inlineStr">
        <is>
          <t>DirX</t>
        </is>
      </c>
      <c r="F37" s="891" t="n"/>
      <c r="G37" s="891" t="n"/>
      <c r="H37" s="921" t="n"/>
      <c r="I37" s="921" t="n"/>
      <c r="J37" s="921" t="n"/>
      <c r="K37" s="921" t="n"/>
      <c r="L37" s="921" t="n"/>
      <c r="M37" s="921" t="n"/>
      <c r="N37" s="921" t="n"/>
      <c r="O37" s="921" t="n"/>
      <c r="P37" s="921" t="n"/>
      <c r="Q37" s="894" t="n"/>
      <c r="R37" s="922">
        <f>SUM(F37:Q37)</f>
        <v/>
      </c>
      <c r="S37" s="919" t="n"/>
      <c r="T37" s="919" t="n"/>
    </row>
    <row r="38" outlineLevel="1" ht="13" customHeight="1">
      <c r="A38" s="30" t="inlineStr">
        <is>
          <t>A</t>
        </is>
      </c>
      <c r="E38" s="33" t="inlineStr">
        <is>
          <t>CHCM</t>
        </is>
      </c>
      <c r="F38" s="891" t="n"/>
      <c r="G38" s="891" t="n"/>
      <c r="H38" s="897" t="n"/>
      <c r="I38" s="897" t="n"/>
      <c r="J38" s="894" t="n"/>
      <c r="K38" s="894" t="n"/>
      <c r="L38" s="894" t="n"/>
      <c r="M38" s="894" t="n"/>
      <c r="N38" s="894" t="n"/>
      <c r="O38" s="894" t="n"/>
      <c r="P38" s="894" t="n"/>
      <c r="Q38" s="894" t="n"/>
      <c r="R38" s="922">
        <f>SUM(F38:Q38)</f>
        <v/>
      </c>
      <c r="S38" s="919" t="n"/>
      <c r="T38" s="919" t="n"/>
    </row>
    <row r="39" outlineLevel="1" ht="13" customHeight="1">
      <c r="A39" s="30" t="inlineStr">
        <is>
          <t>A</t>
        </is>
      </c>
      <c r="E39" s="33" t="inlineStr">
        <is>
          <t>JCC</t>
        </is>
      </c>
      <c r="F39" s="891" t="n">
        <v>112</v>
      </c>
      <c r="G39" s="891" t="n"/>
      <c r="H39" s="897" t="n">
        <v>53</v>
      </c>
      <c r="I39" s="897" t="n"/>
      <c r="J39" s="894" t="n"/>
      <c r="K39" s="891" t="n">
        <v>112</v>
      </c>
      <c r="L39" s="894" t="n"/>
      <c r="M39" s="891" t="n">
        <v>493</v>
      </c>
      <c r="N39" s="894" t="n"/>
      <c r="O39" s="894" t="n"/>
      <c r="P39" s="894" t="n"/>
      <c r="Q39" s="894" t="n"/>
      <c r="R39" s="922">
        <f>SUM(F39:Q39)</f>
        <v/>
      </c>
      <c r="S39" s="919" t="n"/>
      <c r="T39" s="919" t="n"/>
    </row>
    <row r="40" outlineLevel="1" ht="13" customHeight="1">
      <c r="A40" s="30" t="inlineStr">
        <is>
          <t>A</t>
        </is>
      </c>
      <c r="E40" s="33" t="inlineStr">
        <is>
          <t>Others</t>
        </is>
      </c>
      <c r="F40" s="891" t="n"/>
      <c r="G40" s="891" t="n"/>
      <c r="H40" s="897" t="n"/>
      <c r="I40" s="897" t="n"/>
      <c r="J40" s="894" t="n"/>
      <c r="K40" s="891" t="n">
        <v>590</v>
      </c>
      <c r="L40" s="894" t="n"/>
      <c r="M40" s="894" t="n"/>
      <c r="N40" s="894" t="n"/>
      <c r="O40" s="894" t="n"/>
      <c r="P40" s="894" t="n"/>
      <c r="Q40" s="894" t="n"/>
      <c r="R40" s="922">
        <f>SUM(F40:Q40)</f>
        <v/>
      </c>
      <c r="S40" s="919" t="n">
        <v>0</v>
      </c>
      <c r="T40" s="919">
        <f>SUM(S40-R40)</f>
        <v/>
      </c>
    </row>
    <row r="41" ht="15" customFormat="1" customHeight="1" s="1">
      <c r="A41" s="35" t="n"/>
      <c r="B41" s="35" t="n">
        <v>3</v>
      </c>
      <c r="C41" s="35" t="n"/>
      <c r="D41" s="35" t="inlineStr">
        <is>
          <t>GBS</t>
        </is>
      </c>
      <c r="E41" s="6" t="inlineStr">
        <is>
          <t>Change Management</t>
        </is>
      </c>
      <c r="F41" s="899">
        <f>SUM(F37:F40)</f>
        <v/>
      </c>
      <c r="G41" s="899">
        <f>SUM(G37:G40)</f>
        <v/>
      </c>
      <c r="H41" s="899">
        <f>SUM(H37:H40)</f>
        <v/>
      </c>
      <c r="I41" s="899">
        <f>SUM(I37:I40)</f>
        <v/>
      </c>
      <c r="J41" s="899">
        <f>SUM(J37:J40)</f>
        <v/>
      </c>
      <c r="K41" s="899">
        <f>SUM(K37:K40)</f>
        <v/>
      </c>
      <c r="L41" s="900">
        <f>SUM(L37:L40)</f>
        <v/>
      </c>
      <c r="M41" s="899">
        <f>SUM(M37:M40)</f>
        <v/>
      </c>
      <c r="N41" s="900">
        <f>SUM(N37:N40)</f>
        <v/>
      </c>
      <c r="O41" s="900">
        <f>SUM(O37:O40)</f>
        <v/>
      </c>
      <c r="P41" s="900">
        <f>SUM(P37:P40)</f>
        <v/>
      </c>
      <c r="Q41" s="900">
        <f>SUM(Q37:Q40)</f>
        <v/>
      </c>
      <c r="R41" s="901">
        <f>SUM(R37:R40)</f>
        <v/>
      </c>
      <c r="S41" s="900">
        <f>SUM(S37:S40)</f>
        <v/>
      </c>
      <c r="T41" s="900">
        <f>SUM(T37:T40)</f>
        <v/>
      </c>
      <c r="U41" s="18" t="n"/>
    </row>
    <row r="42" outlineLevel="1" ht="15" customHeight="1">
      <c r="A42" s="30" t="inlineStr">
        <is>
          <t>E</t>
        </is>
      </c>
      <c r="D42" s="30" t="inlineStr">
        <is>
          <t>TuP</t>
        </is>
      </c>
      <c r="E42" s="33" t="inlineStr">
        <is>
          <t xml:space="preserve">Tupu (TRE) Renewal PO </t>
        </is>
      </c>
      <c r="F42" s="894" t="n"/>
      <c r="G42" s="894" t="n"/>
      <c r="H42" s="891">
        <f>SUM(H43:H44)</f>
        <v/>
      </c>
      <c r="I42" s="894" t="n"/>
      <c r="J42" s="894" t="n"/>
      <c r="K42" s="894" t="n"/>
      <c r="L42" s="894" t="n"/>
      <c r="M42" s="894" t="n"/>
      <c r="N42" s="894" t="n"/>
      <c r="O42" s="894" t="n"/>
      <c r="P42" s="894" t="n"/>
      <c r="Q42" s="894" t="n"/>
      <c r="R42" s="922">
        <f>SUM(F42:Q42)</f>
        <v/>
      </c>
      <c r="S42" s="919" t="n">
        <v>53612</v>
      </c>
      <c r="T42" s="919">
        <f>SUM(S42-R42)</f>
        <v/>
      </c>
      <c r="U42" s="906" t="n"/>
    </row>
    <row r="43" outlineLevel="2" ht="15" customHeight="1">
      <c r="E43" s="55" t="inlineStr">
        <is>
          <t>SAG Subscription fee 5th year</t>
        </is>
      </c>
      <c r="F43" s="894" t="n"/>
      <c r="G43" s="894" t="n"/>
      <c r="H43" s="923" t="n">
        <v>9759</v>
      </c>
      <c r="I43" s="894" t="n"/>
      <c r="J43" s="894" t="n"/>
      <c r="K43" s="894" t="n"/>
      <c r="L43" s="894" t="n"/>
      <c r="M43" s="894" t="n"/>
      <c r="N43" s="894" t="n"/>
      <c r="O43" s="894" t="n"/>
      <c r="P43" s="894" t="n"/>
      <c r="Q43" s="894" t="n"/>
      <c r="R43" s="922" t="n"/>
      <c r="S43" s="919" t="n"/>
      <c r="T43" s="919" t="n"/>
    </row>
    <row r="44" outlineLevel="2" ht="15" customHeight="1">
      <c r="E44" s="55" t="inlineStr">
        <is>
          <t xml:space="preserve">SAG/SHS Licenses 55 </t>
        </is>
      </c>
      <c r="F44" s="894" t="n"/>
      <c r="G44" s="894" t="n"/>
      <c r="H44" s="923" t="n">
        <v>33749</v>
      </c>
      <c r="I44" s="894" t="n"/>
      <c r="J44" s="894" t="n"/>
      <c r="K44" s="894" t="n"/>
      <c r="L44" s="894" t="n"/>
      <c r="M44" s="26" t="n"/>
      <c r="N44" s="894" t="n"/>
      <c r="O44" s="26" t="n"/>
      <c r="P44" s="894" t="n"/>
      <c r="Q44" s="894" t="n"/>
      <c r="R44" s="922" t="n"/>
      <c r="S44" s="919" t="n"/>
      <c r="T44" s="919" t="n"/>
    </row>
    <row r="45" outlineLevel="1" ht="13" customHeight="1">
      <c r="A45" s="30" t="inlineStr">
        <is>
          <t>E</t>
        </is>
      </c>
      <c r="D45" s="30" t="inlineStr">
        <is>
          <t>eQ</t>
        </is>
      </c>
      <c r="E45" s="33" t="inlineStr">
        <is>
          <t>eQuest -  109.000 € / PO 9708727251</t>
        </is>
      </c>
      <c r="F45" s="891" t="n">
        <v>9084</v>
      </c>
      <c r="G45" s="891" t="n">
        <v>9084</v>
      </c>
      <c r="H45" s="891" t="n">
        <v>9084</v>
      </c>
      <c r="I45" s="891" t="n">
        <v>9084</v>
      </c>
      <c r="J45" s="891" t="n">
        <v>9084</v>
      </c>
      <c r="K45" s="891" t="n">
        <v>9084</v>
      </c>
      <c r="L45" s="891" t="n">
        <v>9084</v>
      </c>
      <c r="M45" s="894" t="n">
        <v>9084</v>
      </c>
      <c r="N45" s="894" t="n">
        <v>9084</v>
      </c>
      <c r="O45" s="894" t="n">
        <v>9084</v>
      </c>
      <c r="P45" s="894" t="n">
        <v>9080</v>
      </c>
      <c r="Q45" s="894" t="n">
        <v>9080</v>
      </c>
      <c r="R45" s="922">
        <f>SUM(F45:Q45)</f>
        <v/>
      </c>
      <c r="S45" s="919" t="n">
        <v>109000</v>
      </c>
      <c r="T45" s="919">
        <f>SUM(R45-S45)</f>
        <v/>
      </c>
      <c r="U45" s="906" t="n"/>
    </row>
    <row r="46" outlineLevel="2" ht="15" customFormat="1" customHeight="1" s="5">
      <c r="A46" s="30" t="inlineStr">
        <is>
          <t>E</t>
        </is>
      </c>
      <c r="B46" s="30" t="n"/>
      <c r="C46" s="30" t="n"/>
      <c r="D46" s="30" t="n"/>
      <c r="E46" s="56" t="inlineStr">
        <is>
          <t xml:space="preserve">Premium Data Report for SAG </t>
        </is>
      </c>
      <c r="F46" s="894" t="n"/>
      <c r="G46" s="894" t="n"/>
      <c r="I46" s="894" t="n"/>
      <c r="J46" s="894" t="n"/>
      <c r="L46" s="26" t="n"/>
      <c r="M46" s="894" t="n"/>
      <c r="N46" s="894" t="n"/>
      <c r="O46" s="894" t="n"/>
      <c r="P46" s="894" t="n"/>
      <c r="Q46" s="894" t="n"/>
      <c r="R46" s="922">
        <f>SUM(F46:Q46)</f>
        <v/>
      </c>
      <c r="S46" s="919" t="n"/>
      <c r="T46" s="919" t="n"/>
    </row>
    <row r="47" outlineLevel="1" ht="15" customHeight="1">
      <c r="A47" s="30" t="inlineStr">
        <is>
          <t>D</t>
        </is>
      </c>
      <c r="D47" s="30" t="inlineStr">
        <is>
          <t>Adob</t>
        </is>
      </c>
      <c r="E47" s="100" t="inlineStr">
        <is>
          <t>Adobe Sign</t>
        </is>
      </c>
      <c r="F47" s="924" t="n"/>
      <c r="G47" s="892" t="n"/>
      <c r="H47" s="891" t="n">
        <v>25628</v>
      </c>
      <c r="I47" s="891" t="n">
        <v>8543</v>
      </c>
      <c r="J47" s="891" t="n">
        <v>8543</v>
      </c>
      <c r="K47" s="891" t="n">
        <v>8543</v>
      </c>
      <c r="L47" s="891">
        <f>8543-18809.35</f>
        <v/>
      </c>
      <c r="M47" s="892" t="n">
        <v>8543</v>
      </c>
      <c r="N47" s="892" t="n">
        <v>8543</v>
      </c>
      <c r="O47" s="892" t="n">
        <v>8543</v>
      </c>
      <c r="P47" s="892" t="n">
        <v>8543</v>
      </c>
      <c r="Q47" s="892">
        <f>82751-SUM(H47:P47)-6900</f>
        <v/>
      </c>
      <c r="R47" s="922">
        <f>SUM(F47:Q47)</f>
        <v/>
      </c>
      <c r="S47" s="919" t="n">
        <v>50600</v>
      </c>
      <c r="T47" s="919">
        <f>SUM(R47-S47)</f>
        <v/>
      </c>
      <c r="U47" t="inlineStr">
        <is>
          <t>Olgierd Dudko, 18.12.2024: 82.761,12 € / 27.02.2025: 75.900 € / credit note €6.900</t>
        </is>
      </c>
    </row>
    <row r="48" ht="15" customHeight="1">
      <c r="A48" s="196" t="n"/>
      <c r="B48" s="196" t="n">
        <v>2</v>
      </c>
      <c r="C48" s="196" t="n"/>
      <c r="D48" s="196" t="inlineStr">
        <is>
          <t>ext. Prov</t>
        </is>
      </c>
      <c r="E48" s="6" t="inlineStr">
        <is>
          <t>Integrations external Provider</t>
        </is>
      </c>
      <c r="F48" s="899">
        <f>SUM(F42:F47)</f>
        <v/>
      </c>
      <c r="G48" s="899">
        <f>SUM(G42:G47)</f>
        <v/>
      </c>
      <c r="H48" s="899">
        <f>SUM(H43:H47)</f>
        <v/>
      </c>
      <c r="I48" s="899">
        <f>SUM(I42:I47)</f>
        <v/>
      </c>
      <c r="J48" s="899">
        <f>SUM(J42:J47)</f>
        <v/>
      </c>
      <c r="K48" s="899">
        <f>SUM(K42:K47)</f>
        <v/>
      </c>
      <c r="L48" s="899">
        <f>SUM(L42:L47)</f>
        <v/>
      </c>
      <c r="M48" s="900">
        <f>SUM(M42:M47)</f>
        <v/>
      </c>
      <c r="N48" s="900">
        <f>SUM(N42:N47)</f>
        <v/>
      </c>
      <c r="O48" s="900">
        <f>SUM(O42:O47)</f>
        <v/>
      </c>
      <c r="P48" s="900">
        <f>SUM(P42:P47)</f>
        <v/>
      </c>
      <c r="Q48" s="900">
        <f>SUM(Q42:Q47)</f>
        <v/>
      </c>
      <c r="R48" s="901">
        <f>SUM(R42:R47)</f>
        <v/>
      </c>
      <c r="S48" s="900">
        <f>SUM(S42:S47)</f>
        <v/>
      </c>
      <c r="T48" s="900">
        <f>SUM(R48-S48)</f>
        <v/>
      </c>
      <c r="U48" s="925" t="n"/>
    </row>
    <row r="49" outlineLevel="1" ht="15" customFormat="1" customHeight="1" s="5">
      <c r="A49" s="30" t="inlineStr">
        <is>
          <t>A</t>
        </is>
      </c>
      <c r="B49" s="30" t="n"/>
      <c r="C49" s="30" t="n"/>
      <c r="D49" s="30" t="n"/>
      <c r="E49" s="33" t="inlineStr">
        <is>
          <t>Siemens SMTP (Mailgateway Tupu) - MSGSMTP33691410220734</t>
        </is>
      </c>
      <c r="F49" s="891" t="n">
        <v>0</v>
      </c>
      <c r="G49" s="891" t="n">
        <v>1250</v>
      </c>
      <c r="H49" s="891">
        <f>7500/12</f>
        <v/>
      </c>
      <c r="I49" s="891">
        <f>7500/12</f>
        <v/>
      </c>
      <c r="J49" s="891">
        <f>7500/12</f>
        <v/>
      </c>
      <c r="K49" s="891">
        <f>7500/12</f>
        <v/>
      </c>
      <c r="L49" s="891">
        <f>7500/12</f>
        <v/>
      </c>
      <c r="M49" s="895">
        <f>7500/12</f>
        <v/>
      </c>
      <c r="N49" s="895">
        <f>7500/12</f>
        <v/>
      </c>
      <c r="O49" s="895">
        <f>7500/12</f>
        <v/>
      </c>
      <c r="P49" s="895">
        <f>7500/12</f>
        <v/>
      </c>
      <c r="Q49" s="895">
        <f>7500/12</f>
        <v/>
      </c>
      <c r="R49" s="922">
        <f>SUM(F49:Q49)</f>
        <v/>
      </c>
      <c r="S49" s="919" t="n">
        <v>7500</v>
      </c>
      <c r="T49" s="919">
        <f>SUM(R49-S49)</f>
        <v/>
      </c>
    </row>
    <row r="50" outlineLevel="1" ht="15" customFormat="1" customHeight="1" s="5">
      <c r="A50" s="30" t="inlineStr">
        <is>
          <t>A</t>
        </is>
      </c>
      <c r="B50" s="30" t="n"/>
      <c r="C50" s="30" t="n"/>
      <c r="D50" s="30" t="n"/>
      <c r="E50" s="33" t="inlineStr">
        <is>
          <t>Siemens SMTP (Mailgateway EF) - MSGSMTP33182209220509</t>
        </is>
      </c>
      <c r="F50" s="891" t="n"/>
      <c r="G50" s="891" t="n">
        <v>4400</v>
      </c>
      <c r="H50" s="891" t="n">
        <v>2200</v>
      </c>
      <c r="I50" s="891" t="n">
        <v>2200</v>
      </c>
      <c r="J50" s="891" t="n">
        <v>2200</v>
      </c>
      <c r="K50" s="891" t="n">
        <v>2200</v>
      </c>
      <c r="L50" s="891" t="n">
        <v>2200</v>
      </c>
      <c r="M50" s="895" t="n">
        <v>2200</v>
      </c>
      <c r="N50" s="895" t="n">
        <v>2200</v>
      </c>
      <c r="O50" s="895" t="n">
        <v>2200</v>
      </c>
      <c r="P50" s="895" t="n">
        <v>2200</v>
      </c>
      <c r="Q50" s="895" t="n">
        <v>2200</v>
      </c>
      <c r="R50" s="922">
        <f>SUM(F50:Q50)</f>
        <v/>
      </c>
      <c r="S50" s="919" t="n">
        <v>24000</v>
      </c>
      <c r="T50" s="919">
        <f>SUM(R50-S50)</f>
        <v/>
      </c>
    </row>
    <row r="51" outlineLevel="1" ht="15" customFormat="1" customHeight="1" s="5">
      <c r="A51" s="30" t="inlineStr">
        <is>
          <t>A</t>
        </is>
      </c>
      <c r="B51" s="30" t="n"/>
      <c r="C51" s="30" t="n"/>
      <c r="D51" s="30" t="n"/>
      <c r="E51" s="33" t="inlineStr">
        <is>
          <t>Siemens SMTP (Mailgateway Avature) - MSGSMTP35971412220447</t>
        </is>
      </c>
      <c r="F51" s="895" t="n"/>
      <c r="G51" s="895" t="n"/>
      <c r="H51" s="895" t="n"/>
      <c r="I51" s="895" t="n"/>
      <c r="J51" s="895" t="n"/>
      <c r="K51" s="895" t="n"/>
      <c r="L51" s="895" t="n"/>
      <c r="M51" s="895" t="n"/>
      <c r="N51" s="895" t="n"/>
      <c r="O51" s="895" t="n"/>
      <c r="P51" s="895" t="n"/>
      <c r="Q51" s="895" t="n"/>
      <c r="R51" s="922">
        <f>SUM(F51:Q51)</f>
        <v/>
      </c>
      <c r="S51" s="926" t="n">
        <v>24000</v>
      </c>
      <c r="T51" s="919">
        <f>SUM(R51-S51)</f>
        <v/>
      </c>
      <c r="U51" t="inlineStr">
        <is>
          <t>charged together w/ Eightfold TIP</t>
        </is>
      </c>
    </row>
    <row r="52" outlineLevel="1" ht="15" customFormat="1" customHeight="1" s="5">
      <c r="A52" s="30" t="inlineStr">
        <is>
          <t>A</t>
        </is>
      </c>
      <c r="B52" s="30" t="n"/>
      <c r="C52" s="30" t="n"/>
      <c r="D52" s="30" t="n"/>
      <c r="E52" s="33" t="inlineStr">
        <is>
          <t>Wiki (TA Wiki; ALM Archive)</t>
        </is>
      </c>
      <c r="F52" s="891" t="n">
        <v>0</v>
      </c>
      <c r="H52" s="891" t="n">
        <v>100</v>
      </c>
      <c r="I52" s="891" t="n">
        <v>300</v>
      </c>
      <c r="J52" s="891" t="n">
        <v>100</v>
      </c>
      <c r="K52" s="891" t="n">
        <v>100</v>
      </c>
      <c r="L52" s="927" t="n"/>
      <c r="M52" s="927" t="n"/>
      <c r="N52" s="927" t="n"/>
      <c r="O52" s="927" t="n"/>
      <c r="P52" s="927" t="n"/>
      <c r="Q52" s="927" t="n"/>
      <c r="R52" s="922">
        <f>SUM(F52:Q52)</f>
        <v/>
      </c>
      <c r="S52" s="919" t="n">
        <v>2220</v>
      </c>
      <c r="T52" s="919">
        <f>SUM(R52-S52)</f>
        <v/>
      </c>
    </row>
    <row r="53" outlineLevel="1" ht="15" customFormat="1" customHeight="1" s="5">
      <c r="A53" s="30" t="inlineStr">
        <is>
          <t>A</t>
        </is>
      </c>
      <c r="B53" s="30" t="n"/>
      <c r="C53" s="30" t="n"/>
      <c r="D53" s="30" t="n"/>
      <c r="E53" s="33" t="inlineStr">
        <is>
          <t>Siemens IT - GBS H2R DPS others (SCD Zusatzdienste for AV 1.100,- €)</t>
        </is>
      </c>
      <c r="F53" s="921" t="n">
        <v>0</v>
      </c>
      <c r="G53" s="891" t="n">
        <v>1100</v>
      </c>
      <c r="H53" s="891" t="n">
        <v>1100</v>
      </c>
      <c r="I53" s="891" t="n">
        <v>1100</v>
      </c>
      <c r="J53" s="891" t="n">
        <v>1100</v>
      </c>
      <c r="K53" s="891" t="n">
        <v>1100</v>
      </c>
      <c r="L53" s="891" t="n">
        <v>1100</v>
      </c>
      <c r="M53" s="895" t="n">
        <v>1100</v>
      </c>
      <c r="N53" s="895" t="n">
        <v>1100</v>
      </c>
      <c r="O53" s="895" t="n">
        <v>1100</v>
      </c>
      <c r="P53" s="895" t="n">
        <v>1100</v>
      </c>
      <c r="Q53" s="895" t="n">
        <v>1100</v>
      </c>
      <c r="R53" s="922">
        <f>SUM(F53:Q53)</f>
        <v/>
      </c>
      <c r="S53" s="919" t="n">
        <v>44796</v>
      </c>
      <c r="T53" s="919">
        <f>SUM(R53-S53)</f>
        <v/>
      </c>
    </row>
    <row r="54" outlineLevel="1" ht="15" customFormat="1" customHeight="1" s="5">
      <c r="A54" s="30" t="n"/>
      <c r="B54" s="30" t="n"/>
      <c r="C54" s="30" t="n"/>
      <c r="D54" s="30" t="n"/>
      <c r="E54" s="33" t="inlineStr">
        <is>
          <t>Siemens IT - GBS H2R DPS others (Certificates)</t>
        </is>
      </c>
      <c r="F54" s="921" t="n"/>
      <c r="G54" s="891" t="n"/>
      <c r="H54" s="891" t="n">
        <v>140</v>
      </c>
      <c r="I54" s="891" t="n"/>
      <c r="J54" s="891" t="n"/>
      <c r="K54" s="891" t="n">
        <v>70</v>
      </c>
      <c r="L54" s="895" t="n"/>
      <c r="M54" s="895" t="n"/>
      <c r="N54" s="895" t="n"/>
      <c r="O54" s="895" t="n"/>
      <c r="P54" s="895" t="n"/>
      <c r="Q54" s="895" t="n"/>
      <c r="R54" s="922">
        <f>SUM(F54:Q54)</f>
        <v/>
      </c>
      <c r="S54" s="919" t="n"/>
      <c r="T54" s="919" t="n"/>
    </row>
    <row r="55" outlineLevel="1" ht="15" customFormat="1" customHeight="1" s="5">
      <c r="A55" s="30" t="inlineStr">
        <is>
          <t>A</t>
        </is>
      </c>
      <c r="B55" s="30" t="n"/>
      <c r="C55" s="30" t="n"/>
      <c r="D55" s="30" t="n"/>
      <c r="E55" s="33" t="inlineStr">
        <is>
          <t>DirX (Avature: 1.601)</t>
        </is>
      </c>
      <c r="F55" s="891" t="n">
        <v>0</v>
      </c>
      <c r="G55" s="891" t="n">
        <v>3202</v>
      </c>
      <c r="H55" s="891" t="n">
        <v>1601</v>
      </c>
      <c r="I55" s="891" t="n">
        <v>1601</v>
      </c>
      <c r="J55" s="891" t="n">
        <v>1601</v>
      </c>
      <c r="K55" s="891" t="n">
        <v>1601</v>
      </c>
      <c r="L55" s="891" t="n">
        <v>1601</v>
      </c>
      <c r="M55" s="895" t="n">
        <v>1601</v>
      </c>
      <c r="N55" s="895" t="n">
        <v>1601</v>
      </c>
      <c r="O55" s="895" t="n">
        <v>1601</v>
      </c>
      <c r="P55" s="895" t="n">
        <v>1601</v>
      </c>
      <c r="Q55" s="895" t="n">
        <v>1601</v>
      </c>
      <c r="R55" s="922">
        <f>SUM(F55:Q55)</f>
        <v/>
      </c>
      <c r="S55" s="919" t="n">
        <v>19212</v>
      </c>
      <c r="T55" s="919">
        <f>SUM(R55-S55)</f>
        <v/>
      </c>
    </row>
    <row r="56" outlineLevel="1" ht="15" customFormat="1" customHeight="1" s="5">
      <c r="A56" s="30" t="inlineStr">
        <is>
          <t>A</t>
        </is>
      </c>
      <c r="B56" s="30" t="n"/>
      <c r="C56" s="30" t="n"/>
      <c r="D56" s="30" t="n"/>
      <c r="E56" s="33" t="inlineStr">
        <is>
          <t>Jira</t>
        </is>
      </c>
      <c r="F56" s="891" t="n">
        <v>0</v>
      </c>
      <c r="G56" s="891" t="n">
        <v>2000</v>
      </c>
      <c r="H56" s="891" t="n">
        <v>1000</v>
      </c>
      <c r="I56" s="891" t="n">
        <v>1000</v>
      </c>
      <c r="J56" s="891" t="n">
        <v>1000</v>
      </c>
      <c r="K56" s="891" t="n">
        <v>1000</v>
      </c>
      <c r="L56" s="891" t="n">
        <v>1000</v>
      </c>
      <c r="M56" s="895" t="n">
        <v>1000</v>
      </c>
      <c r="N56" s="895" t="n">
        <v>1000</v>
      </c>
      <c r="O56" s="895" t="n">
        <v>1000</v>
      </c>
      <c r="P56" s="895" t="n">
        <v>1000</v>
      </c>
      <c r="Q56" s="895" t="n">
        <v>1000</v>
      </c>
      <c r="R56" s="922">
        <f>SUM(F56:Q56)</f>
        <v/>
      </c>
      <c r="S56" s="919" t="n">
        <v>12000</v>
      </c>
      <c r="T56" s="919">
        <f>SUM(R56-S56)</f>
        <v/>
      </c>
    </row>
    <row r="57" outlineLevel="1" ht="15" customHeight="1">
      <c r="A57" s="30" t="inlineStr">
        <is>
          <t>A</t>
        </is>
      </c>
      <c r="E57" s="33" t="inlineStr">
        <is>
          <t>JCC (Proxy for ICSR)</t>
        </is>
      </c>
      <c r="F57" s="891" t="n">
        <v>0</v>
      </c>
      <c r="G57" s="891" t="n">
        <v>945</v>
      </c>
      <c r="H57" s="891" t="n">
        <v>472.5</v>
      </c>
      <c r="I57" s="891" t="n">
        <v>472.5</v>
      </c>
      <c r="J57" s="891" t="n">
        <v>472.5</v>
      </c>
      <c r="K57" s="891" t="n">
        <v>472.5</v>
      </c>
      <c r="L57" s="891" t="n">
        <v>472</v>
      </c>
      <c r="M57" s="895" t="n">
        <v>472</v>
      </c>
      <c r="N57" s="895" t="n">
        <v>472</v>
      </c>
      <c r="O57" s="895" t="n">
        <v>472</v>
      </c>
      <c r="P57" s="895" t="n">
        <v>472</v>
      </c>
      <c r="Q57" s="895" t="n">
        <v>472</v>
      </c>
      <c r="R57" s="922">
        <f>SUM(F57:Q57)</f>
        <v/>
      </c>
      <c r="S57" s="919" t="n">
        <v>5670</v>
      </c>
      <c r="T57" s="919">
        <f>SUM(R57-S57)</f>
        <v/>
      </c>
    </row>
    <row r="58" outlineLevel="1" ht="15" customHeight="1">
      <c r="A58" s="30" t="inlineStr">
        <is>
          <t>D</t>
        </is>
      </c>
      <c r="E58" s="33" t="inlineStr">
        <is>
          <t>MyLearningWorld</t>
        </is>
      </c>
      <c r="F58" s="895" t="n"/>
      <c r="G58" s="895" t="n"/>
      <c r="H58" s="895" t="n"/>
      <c r="I58" s="895" t="n"/>
      <c r="J58" s="895" t="n"/>
      <c r="K58" s="895" t="n"/>
      <c r="L58" s="895" t="n"/>
      <c r="M58" s="895" t="n"/>
      <c r="N58" s="895" t="n"/>
      <c r="O58" s="895" t="n"/>
      <c r="P58" s="895" t="n"/>
      <c r="Q58" s="895" t="n"/>
      <c r="R58" s="922">
        <f>SUM(F58:Q58)</f>
        <v/>
      </c>
      <c r="S58" s="919" t="n">
        <v>0</v>
      </c>
      <c r="T58" s="919">
        <f>SUM(R58-S58)</f>
        <v/>
      </c>
    </row>
    <row r="59" outlineLevel="1" ht="15" customHeight="1">
      <c r="A59" s="30" t="inlineStr">
        <is>
          <t>D</t>
        </is>
      </c>
      <c r="E59" s="33" t="inlineStr">
        <is>
          <t>SOC</t>
        </is>
      </c>
      <c r="F59" s="895" t="n"/>
      <c r="G59" s="895" t="n"/>
      <c r="H59" s="895" t="n"/>
      <c r="I59" s="895" t="n"/>
      <c r="J59" s="895" t="n"/>
      <c r="K59" s="895" t="n"/>
      <c r="L59" s="895" t="n"/>
      <c r="M59" s="895" t="n"/>
      <c r="N59" s="895" t="n"/>
      <c r="O59" s="895" t="n"/>
      <c r="P59" s="895" t="n"/>
      <c r="Q59" s="895" t="n"/>
      <c r="R59" s="922">
        <f>SUM(F59:Q59)</f>
        <v/>
      </c>
      <c r="S59" s="919" t="n"/>
      <c r="T59" s="919" t="n"/>
    </row>
    <row r="60" ht="15" customHeight="1">
      <c r="A60" s="196" t="n"/>
      <c r="B60" s="196" t="n">
        <v>3</v>
      </c>
      <c r="C60" s="196" t="n"/>
      <c r="D60" s="196" t="inlineStr">
        <is>
          <t>Int</t>
        </is>
      </c>
      <c r="E60" s="6" t="inlineStr">
        <is>
          <t>Integrations SAG (internal booking)</t>
        </is>
      </c>
      <c r="F60" s="902">
        <f>SUM(F49:F59)</f>
        <v/>
      </c>
      <c r="G60" s="902">
        <f>SUM(G49:G59)</f>
        <v/>
      </c>
      <c r="H60" s="902">
        <f>SUM(H49:H59)</f>
        <v/>
      </c>
      <c r="I60" s="902">
        <f>SUM(I49:I59)</f>
        <v/>
      </c>
      <c r="J60" s="902">
        <f>SUM(J49:J59)</f>
        <v/>
      </c>
      <c r="K60" s="902">
        <f>SUM(K49:K59)</f>
        <v/>
      </c>
      <c r="L60" s="902">
        <f>SUM(L49:L59)</f>
        <v/>
      </c>
      <c r="M60" s="902">
        <f>SUM(M49:M59)</f>
        <v/>
      </c>
      <c r="N60" s="902">
        <f>SUM(N49:N59)</f>
        <v/>
      </c>
      <c r="O60" s="902">
        <f>SUM(O49:O59)</f>
        <v/>
      </c>
      <c r="P60" s="902">
        <f>SUM(P49:P59)</f>
        <v/>
      </c>
      <c r="Q60" s="902">
        <f>SUM(Q49:Q59)</f>
        <v/>
      </c>
      <c r="R60" s="901">
        <f>SUM(R49:R59)</f>
        <v/>
      </c>
      <c r="S60" s="900">
        <f>SUM(S49:S59)</f>
        <v/>
      </c>
      <c r="T60" s="900">
        <f>SUM(S60-R60)</f>
        <v/>
      </c>
      <c r="U60" s="18" t="n"/>
    </row>
    <row r="61" ht="15" customHeight="1">
      <c r="A61" s="35" t="n"/>
      <c r="B61" s="35" t="n"/>
      <c r="C61" s="35" t="n"/>
      <c r="D61" s="35" t="inlineStr">
        <is>
          <t>x</t>
        </is>
      </c>
      <c r="E61" s="6" t="inlineStr">
        <is>
          <t>Integrations total</t>
        </is>
      </c>
      <c r="F61" s="902">
        <f>F60+F48</f>
        <v/>
      </c>
      <c r="G61" s="902">
        <f>G60+G48</f>
        <v/>
      </c>
      <c r="H61" s="902">
        <f>H60+H48</f>
        <v/>
      </c>
      <c r="I61" s="902">
        <f>I60+I48</f>
        <v/>
      </c>
      <c r="J61" s="902">
        <f>J60+J48</f>
        <v/>
      </c>
      <c r="K61" s="902">
        <f>K60+K48</f>
        <v/>
      </c>
      <c r="L61" s="902">
        <f>L60+L48</f>
        <v/>
      </c>
      <c r="M61" s="902">
        <f>M60+M48</f>
        <v/>
      </c>
      <c r="N61" s="902">
        <f>N60+N48</f>
        <v/>
      </c>
      <c r="O61" s="902">
        <f>O60+O48</f>
        <v/>
      </c>
      <c r="P61" s="902">
        <f>P60+P48</f>
        <v/>
      </c>
      <c r="Q61" s="902">
        <f>Q60+Q48</f>
        <v/>
      </c>
      <c r="R61" s="901">
        <f>SUM(R48,R60)</f>
        <v/>
      </c>
      <c r="S61" s="900">
        <f>SUM(S48,S60)</f>
        <v/>
      </c>
      <c r="T61" s="900">
        <f>SUM(S61-R61)</f>
        <v/>
      </c>
      <c r="U61" s="18" t="n"/>
    </row>
    <row r="62" outlineLevel="1" ht="15" customHeight="1">
      <c r="A62" s="30" t="inlineStr">
        <is>
          <t>A</t>
        </is>
      </c>
      <c r="B62" s="30" t="n">
        <v>5</v>
      </c>
      <c r="E62" s="33" t="inlineStr">
        <is>
          <t>Audit (Moers, Holland)</t>
        </is>
      </c>
      <c r="F62" s="897" t="n"/>
      <c r="G62" s="897" t="n"/>
      <c r="H62" s="891" t="n"/>
      <c r="I62" s="891" t="n"/>
      <c r="J62" s="892" t="n"/>
      <c r="K62" s="892" t="n"/>
      <c r="L62" s="892" t="n"/>
      <c r="M62" s="892" t="n"/>
      <c r="N62" s="892" t="n"/>
      <c r="O62" s="892" t="n"/>
      <c r="P62" s="892" t="n"/>
      <c r="Q62" s="892" t="n"/>
      <c r="R62" s="922">
        <f>SUM(F62:Q62)</f>
        <v/>
      </c>
      <c r="S62" s="919" t="n">
        <v>0</v>
      </c>
      <c r="T62" s="919">
        <f>SUM(S62-R62)</f>
        <v/>
      </c>
    </row>
    <row r="63" outlineLevel="1" ht="15" customHeight="1">
      <c r="A63" s="30" t="inlineStr">
        <is>
          <t>D</t>
        </is>
      </c>
      <c r="B63" s="30" t="n">
        <v>2</v>
      </c>
      <c r="E63" s="33" t="inlineStr">
        <is>
          <t>Accessibility Testing</t>
        </is>
      </c>
      <c r="F63" s="897" t="n"/>
      <c r="G63" s="897" t="n"/>
      <c r="H63" s="892" t="n"/>
      <c r="I63" s="892" t="n"/>
      <c r="J63" s="892" t="n"/>
      <c r="K63" s="892" t="n"/>
      <c r="L63" s="892" t="n"/>
      <c r="M63" s="892" t="n"/>
      <c r="N63" s="892" t="n"/>
      <c r="O63" s="892" t="n"/>
      <c r="P63" s="892" t="n"/>
      <c r="Q63" s="892" t="n">
        <v>10000</v>
      </c>
      <c r="R63" s="922">
        <f>SUM(F63:Q63)</f>
        <v/>
      </c>
      <c r="S63" s="919" t="n">
        <v>10000</v>
      </c>
      <c r="T63" s="919">
        <f>SUM(S63-R63)</f>
        <v/>
      </c>
    </row>
    <row r="64" outlineLevel="1" ht="15" customFormat="1" customHeight="1" s="5">
      <c r="A64" s="52" t="inlineStr">
        <is>
          <t>D</t>
        </is>
      </c>
      <c r="B64" s="52" t="n">
        <v>2</v>
      </c>
      <c r="C64" s="52" t="n"/>
      <c r="D64" s="52" t="n"/>
      <c r="E64" s="34" t="inlineStr">
        <is>
          <t>CERT Check</t>
        </is>
      </c>
      <c r="F64" s="894" t="n"/>
      <c r="G64" s="894" t="n"/>
      <c r="H64" s="894" t="n"/>
      <c r="I64" s="894" t="n"/>
      <c r="J64" s="894" t="n"/>
      <c r="K64" s="894" t="n"/>
      <c r="L64" s="894" t="n"/>
      <c r="M64" s="894" t="n"/>
      <c r="N64" s="894" t="n"/>
      <c r="O64" s="894" t="n"/>
      <c r="P64" s="894" t="n"/>
      <c r="Q64" s="909" t="n">
        <v>10000</v>
      </c>
      <c r="R64" s="928">
        <f>SUM(F64:Q64)</f>
        <v/>
      </c>
      <c r="S64" s="929" t="n">
        <v>10000</v>
      </c>
      <c r="T64" s="929">
        <f>SUM(S64-R64)</f>
        <v/>
      </c>
      <c r="U64" s="26" t="inlineStr">
        <is>
          <t>Pentest for JCC Proxy after AWS Migration</t>
        </is>
      </c>
    </row>
    <row r="65" outlineLevel="1" ht="15" customHeight="1">
      <c r="A65" s="30" t="inlineStr">
        <is>
          <t>C</t>
        </is>
      </c>
      <c r="B65" s="30" t="inlineStr">
        <is>
          <t>x</t>
        </is>
      </c>
      <c r="E65" s="33" t="inlineStr">
        <is>
          <t>Translations</t>
        </is>
      </c>
      <c r="F65" s="897" t="n"/>
      <c r="G65" s="897" t="n"/>
      <c r="H65" s="892" t="n"/>
      <c r="I65" s="892" t="n"/>
      <c r="J65" s="892" t="n"/>
      <c r="K65" s="892" t="n"/>
      <c r="L65" s="892" t="n"/>
      <c r="M65" s="892" t="n"/>
      <c r="N65" s="892" t="n"/>
      <c r="O65" s="892" t="n"/>
      <c r="P65" s="892" t="n"/>
      <c r="Q65" s="892" t="n"/>
      <c r="R65" s="922">
        <f>SUM(F65:Q65)</f>
        <v/>
      </c>
      <c r="S65" s="919" t="n"/>
      <c r="T65" s="919" t="n"/>
    </row>
    <row r="66" outlineLevel="1" ht="15" customHeight="1">
      <c r="A66" s="30" t="inlineStr">
        <is>
          <t>D</t>
        </is>
      </c>
      <c r="B66" s="30" t="inlineStr">
        <is>
          <t>x</t>
        </is>
      </c>
      <c r="E66" s="33" t="inlineStr">
        <is>
          <t>Travel &amp; Hospitality</t>
        </is>
      </c>
      <c r="F66" s="897" t="n"/>
      <c r="G66" s="897" t="n"/>
      <c r="H66" s="892" t="n"/>
      <c r="I66" s="892" t="n"/>
      <c r="J66" s="892" t="n"/>
      <c r="K66" s="892" t="n"/>
      <c r="L66" s="892" t="n"/>
      <c r="M66" s="892" t="n"/>
      <c r="N66" s="892" t="n"/>
      <c r="O66" s="892" t="n"/>
      <c r="P66" s="892" t="n"/>
      <c r="Q66" s="892" t="n"/>
      <c r="R66" s="922">
        <f>SUM(F66:Q66)</f>
        <v/>
      </c>
      <c r="S66" s="919" t="n"/>
      <c r="T66" s="919" t="n"/>
    </row>
    <row r="67" ht="15" customHeight="1">
      <c r="A67" s="35" t="n"/>
      <c r="B67" s="35" t="n"/>
      <c r="C67" s="35" t="n"/>
      <c r="D67" s="35" t="inlineStr">
        <is>
          <t>GBS</t>
        </is>
      </c>
      <c r="E67" s="6" t="inlineStr">
        <is>
          <t>Additional costs</t>
        </is>
      </c>
      <c r="F67" s="902">
        <f>SUM(F62:F66)</f>
        <v/>
      </c>
      <c r="G67" s="902">
        <f>SUM(G62:G66)</f>
        <v/>
      </c>
      <c r="H67" s="902">
        <f>SUM(H62:H66)</f>
        <v/>
      </c>
      <c r="I67" s="902">
        <f>SUM(I62:I66)</f>
        <v/>
      </c>
      <c r="J67" s="902">
        <f>SUM(J62:J66)</f>
        <v/>
      </c>
      <c r="K67" s="900">
        <f>SUM(K62:K66)</f>
        <v/>
      </c>
      <c r="L67" s="900">
        <f>SUM(L62:L66)</f>
        <v/>
      </c>
      <c r="M67" s="900">
        <f>SUM(M62:M66)</f>
        <v/>
      </c>
      <c r="N67" s="900">
        <f>SUM(N62:N66)</f>
        <v/>
      </c>
      <c r="O67" s="900">
        <f>SUM(O62:O66)</f>
        <v/>
      </c>
      <c r="P67" s="900">
        <f>SUM(P62:P66)</f>
        <v/>
      </c>
      <c r="Q67" s="900">
        <f>SUM(Q62:Q66)</f>
        <v/>
      </c>
      <c r="R67" s="901">
        <f>SUM(R62:R66)</f>
        <v/>
      </c>
      <c r="S67" s="900">
        <f>SUM(S62:S66)</f>
        <v/>
      </c>
      <c r="T67" s="900">
        <f>SUM(R67-S67)</f>
        <v/>
      </c>
      <c r="U67" s="18" t="n"/>
    </row>
    <row r="68" ht="15" customHeight="1" thickBot="1">
      <c r="A68" s="35" t="n"/>
      <c r="B68" s="35" t="n"/>
      <c r="C68" s="35" t="n"/>
      <c r="D68" s="35" t="inlineStr">
        <is>
          <t>GBS</t>
        </is>
      </c>
      <c r="E68" s="6" t="inlineStr">
        <is>
          <t>GBS total</t>
        </is>
      </c>
      <c r="F68" s="902" t="n"/>
      <c r="G68" s="902" t="n"/>
      <c r="H68" s="902" t="n"/>
      <c r="I68" s="902" t="n"/>
      <c r="J68" s="902" t="n"/>
      <c r="K68" s="900" t="n"/>
      <c r="L68" s="900" t="n"/>
      <c r="M68" s="900" t="n"/>
      <c r="N68" s="900" t="n"/>
      <c r="O68" s="900" t="n"/>
      <c r="P68" s="900" t="n"/>
      <c r="Q68" s="900" t="n"/>
      <c r="R68" s="901">
        <f>R36+R41+R67</f>
        <v/>
      </c>
      <c r="S68" s="900" t="n"/>
      <c r="T68" s="900" t="n"/>
      <c r="U68" s="18" t="n"/>
    </row>
    <row r="69" ht="15" customHeight="1">
      <c r="A69" s="734" t="n"/>
      <c r="B69" s="734" t="n"/>
      <c r="C69" s="734" t="n"/>
      <c r="D69" s="734" t="n"/>
      <c r="E69" s="735" t="inlineStr">
        <is>
          <t>Operations - total costs for P&amp;O ECO DIG</t>
        </is>
      </c>
      <c r="F69" s="930">
        <f>F18+F25+F36+F60+F67+F48+F12+F41</f>
        <v/>
      </c>
      <c r="G69" s="930">
        <f>G18+G25+G36+G60+G67+G48+G12+G41</f>
        <v/>
      </c>
      <c r="H69" s="930">
        <f>H18+H25+H36+H60+H67+H48+H12+H41</f>
        <v/>
      </c>
      <c r="I69" s="930">
        <f>I18+I25+I36+I60+I67+I48+I12+I41</f>
        <v/>
      </c>
      <c r="J69" s="930">
        <f>J18+J25+J36+J60+J67+J48+J12+J41</f>
        <v/>
      </c>
      <c r="K69" s="930">
        <f>K18+K25+K36+K60+K67+K48+K12+K41</f>
        <v/>
      </c>
      <c r="L69" s="930">
        <f>L18+L25+L36+L60+L67+L48+L12+L41</f>
        <v/>
      </c>
      <c r="M69" s="930">
        <f>M18+M25+M36+M60+M67+M48+M12+M41</f>
        <v/>
      </c>
      <c r="N69" s="930">
        <f>N18+N25+N36+N60+N67+N48+N12+N41</f>
        <v/>
      </c>
      <c r="O69" s="930">
        <f>O18+O25+O36+O60+O67+O48+O12+O41</f>
        <v/>
      </c>
      <c r="P69" s="930">
        <f>P18+P25+P36+P60+P67+P48+P12+P41</f>
        <v/>
      </c>
      <c r="Q69" s="930">
        <f>Q18+Q25+Q36+Q60+Q67+Q48+Q12+Q41</f>
        <v/>
      </c>
      <c r="R69" s="931">
        <f>R18+R25+R36+R60+R67+R48+R12+R41</f>
        <v/>
      </c>
      <c r="S69" s="930">
        <f>S12+S18+S25+S36+S61+S67+S41</f>
        <v/>
      </c>
      <c r="T69" s="930">
        <f>SUM(S69-R69)</f>
        <v/>
      </c>
      <c r="U69" s="930" t="n"/>
      <c r="V69" s="346" t="inlineStr">
        <is>
          <t>Revenue P&amp;O</t>
        </is>
      </c>
      <c r="W69" s="932" t="n">
        <v>1650000</v>
      </c>
    </row>
    <row r="70" ht="13.5" customHeight="1" thickBot="1">
      <c r="A70" s="737" t="n"/>
      <c r="B70" s="737" t="n"/>
      <c r="C70" s="737" t="n"/>
      <c r="D70" s="737" t="n"/>
      <c r="E70" s="738" t="n"/>
      <c r="F70" s="933">
        <f>F69</f>
        <v/>
      </c>
      <c r="G70" s="933">
        <f>F70+G69</f>
        <v/>
      </c>
      <c r="H70" s="933">
        <f>G70+H69</f>
        <v/>
      </c>
      <c r="I70" s="933">
        <f>H70+I69</f>
        <v/>
      </c>
      <c r="J70" s="933">
        <f>I70+J69</f>
        <v/>
      </c>
      <c r="K70" s="933">
        <f>J70+K69</f>
        <v/>
      </c>
      <c r="L70" s="933">
        <f>K70+L69</f>
        <v/>
      </c>
      <c r="M70" s="933">
        <f>L70+M69</f>
        <v/>
      </c>
      <c r="N70" s="933">
        <f>M70+N69</f>
        <v/>
      </c>
      <c r="O70" s="933">
        <f>N70+O69</f>
        <v/>
      </c>
      <c r="P70" s="933">
        <f>O70+P69</f>
        <v/>
      </c>
      <c r="Q70" s="934">
        <f>P70+Q69</f>
        <v/>
      </c>
      <c r="R70" s="741" t="n"/>
      <c r="S70" s="742" t="n"/>
      <c r="T70" s="742" t="n"/>
      <c r="U70" s="742" t="n"/>
      <c r="V70" s="348" t="inlineStr">
        <is>
          <t>Profit Margin</t>
        </is>
      </c>
      <c r="W70" s="349">
        <f>(W69-R69)/W69</f>
        <v/>
      </c>
    </row>
    <row r="71" ht="13.5" customHeight="1" thickBot="1">
      <c r="A71" s="65" t="n"/>
      <c r="B71" s="65" t="n"/>
      <c r="C71" s="65" t="n"/>
      <c r="D71" s="65" t="n"/>
      <c r="E71" s="367" t="n"/>
      <c r="F71" s="935" t="n"/>
      <c r="G71" s="935" t="n"/>
      <c r="H71" s="935" t="n"/>
      <c r="I71" s="935" t="n"/>
      <c r="J71" s="935" t="n"/>
      <c r="K71" s="935" t="n"/>
      <c r="L71" s="935" t="n"/>
      <c r="M71" s="935" t="n"/>
      <c r="N71" s="935" t="n"/>
      <c r="O71" s="935" t="n"/>
      <c r="P71" s="935" t="n"/>
      <c r="Q71" s="935" t="n"/>
      <c r="R71" s="367" t="n"/>
      <c r="S71" s="367" t="n"/>
      <c r="T71" s="367" t="n"/>
      <c r="U71" s="367" t="n"/>
      <c r="V71" s="732" t="n"/>
      <c r="W71" s="733" t="n"/>
    </row>
    <row r="72" ht="13" customHeight="1">
      <c r="A72" s="727" t="n"/>
      <c r="B72" s="727" t="n"/>
      <c r="C72" s="727" t="n"/>
      <c r="D72" s="727" t="n"/>
      <c r="E72" s="728" t="inlineStr">
        <is>
          <t>Operations - total costs for PowerBI reporting</t>
        </is>
      </c>
      <c r="F72" s="936">
        <f>F18+F25+F36+F60+F67+F48+F9+F41</f>
        <v/>
      </c>
      <c r="G72" s="936">
        <f>G18+G25+G36+G60+G67+G48+G9+G41</f>
        <v/>
      </c>
      <c r="H72" s="936">
        <f>H18+H25+H36+H60+H67+H48+H9+H41</f>
        <v/>
      </c>
      <c r="I72" s="936">
        <f>I18+I25+I36+I60+I67+I48+I9+I41</f>
        <v/>
      </c>
      <c r="J72" s="936">
        <f>J18+J25+J36+J60+J67+J48+J9+J41</f>
        <v/>
      </c>
      <c r="K72" s="936">
        <f>K18+K25+K36+K60+K67+K48+K9+K41</f>
        <v/>
      </c>
      <c r="L72" s="936">
        <f>L18+L25+L36+L60+L67+L48+L9+L41</f>
        <v/>
      </c>
      <c r="M72" s="936">
        <f>M18+M25+M36+M60+M67+M48+M9+M41</f>
        <v/>
      </c>
      <c r="N72" s="936">
        <f>N18+N25+N36+N60+N67+N48+N9+N41</f>
        <v/>
      </c>
      <c r="O72" s="936">
        <f>O18+O25+O36+O60+O67+O48+O9+O41</f>
        <v/>
      </c>
      <c r="P72" s="936">
        <f>P18+P25+P36+P60+P67+P48+P9+P41</f>
        <v/>
      </c>
      <c r="Q72" s="936">
        <f>Q18+Q25+Q36+Q60+Q67+Q48+Q9+Q41</f>
        <v/>
      </c>
      <c r="R72" s="937">
        <f>R18+R25+R36+R60+R67+R48+R9+R41</f>
        <v/>
      </c>
      <c r="S72" s="730" t="n"/>
      <c r="T72" s="730" t="n"/>
      <c r="U72" s="730" t="n"/>
      <c r="V72" s="743" t="inlineStr">
        <is>
          <t>Revenue total</t>
        </is>
      </c>
      <c r="W72" s="938">
        <f>1650000+124373+16735</f>
        <v/>
      </c>
    </row>
    <row r="73" ht="13.5" customHeight="1" thickBot="1">
      <c r="A73" s="727" t="n"/>
      <c r="B73" s="727" t="n"/>
      <c r="C73" s="727" t="n"/>
      <c r="D73" s="727" t="n"/>
      <c r="E73" s="728" t="inlineStr">
        <is>
          <t>(incl. P&amp;O / US / CN)</t>
        </is>
      </c>
      <c r="F73" s="939">
        <f>F72</f>
        <v/>
      </c>
      <c r="G73" s="939">
        <f>F73+G72</f>
        <v/>
      </c>
      <c r="H73" s="939">
        <f>G73+H72</f>
        <v/>
      </c>
      <c r="I73" s="939">
        <f>H73+I72</f>
        <v/>
      </c>
      <c r="J73" s="939">
        <f>I73+J72</f>
        <v/>
      </c>
      <c r="K73" s="939">
        <f>J73+K72</f>
        <v/>
      </c>
      <c r="L73" s="939">
        <f>K73+L72</f>
        <v/>
      </c>
      <c r="M73" s="939">
        <f>L73+M72</f>
        <v/>
      </c>
      <c r="N73" s="939">
        <f>M73+N72</f>
        <v/>
      </c>
      <c r="O73" s="939">
        <f>N73+O72</f>
        <v/>
      </c>
      <c r="P73" s="939">
        <f>O73+P72</f>
        <v/>
      </c>
      <c r="Q73" s="939">
        <f>P73+Q72</f>
        <v/>
      </c>
      <c r="R73" s="730" t="n"/>
      <c r="S73" s="730" t="n"/>
      <c r="T73" s="730" t="n"/>
      <c r="U73" s="730" t="n"/>
      <c r="V73" s="744" t="inlineStr">
        <is>
          <t>Profit Margin</t>
        </is>
      </c>
      <c r="W73" s="745">
        <f>(W72-R72)/W72</f>
        <v/>
      </c>
    </row>
    <row r="74">
      <c r="F74" t="inlineStr">
        <is>
          <t>P01</t>
        </is>
      </c>
      <c r="G74" t="inlineStr">
        <is>
          <t>P02</t>
        </is>
      </c>
      <c r="H74" t="inlineStr">
        <is>
          <t>P03</t>
        </is>
      </c>
      <c r="I74" t="inlineStr">
        <is>
          <t>P04</t>
        </is>
      </c>
      <c r="J74" t="inlineStr">
        <is>
          <t>P05</t>
        </is>
      </c>
      <c r="K74" t="inlineStr">
        <is>
          <t>P06</t>
        </is>
      </c>
      <c r="L74" t="inlineStr">
        <is>
          <t>P07</t>
        </is>
      </c>
      <c r="M74" t="inlineStr">
        <is>
          <t>P08</t>
        </is>
      </c>
      <c r="N74" t="inlineStr">
        <is>
          <t>P09</t>
        </is>
      </c>
      <c r="O74" t="inlineStr">
        <is>
          <t>P10</t>
        </is>
      </c>
      <c r="P74" t="inlineStr">
        <is>
          <t>P11</t>
        </is>
      </c>
      <c r="Q74" t="inlineStr">
        <is>
          <t>P12</t>
        </is>
      </c>
      <c r="S74" s="906" t="n"/>
    </row>
    <row r="75" ht="13" customHeight="1">
      <c r="A75" s="1" t="inlineStr">
        <is>
          <t>Legend</t>
        </is>
      </c>
      <c r="E75" t="inlineStr">
        <is>
          <t xml:space="preserve">DPS Reporting - ACT Cost </t>
        </is>
      </c>
      <c r="G75" s="940" t="n">
        <v>104271.93</v>
      </c>
      <c r="H75" s="940" t="n">
        <v>216618.98</v>
      </c>
      <c r="I75" s="940" t="n">
        <v>100246.07</v>
      </c>
      <c r="J75" s="940" t="n">
        <v>98668.13</v>
      </c>
      <c r="K75" s="940" t="n">
        <v>224783.83</v>
      </c>
      <c r="L75" s="940" t="n">
        <v>104223.11</v>
      </c>
      <c r="M75" s="940" t="n">
        <v>93644.22</v>
      </c>
    </row>
    <row r="76">
      <c r="A76" s="33" t="inlineStr">
        <is>
          <t>Forecast</t>
        </is>
      </c>
      <c r="E76" t="inlineStr">
        <is>
          <t>DPS Reporting - ACT Cost YTD</t>
        </is>
      </c>
      <c r="H76" s="940">
        <f>H75+G75</f>
        <v/>
      </c>
      <c r="I76" s="940">
        <f>H76+I75</f>
        <v/>
      </c>
      <c r="J76" s="940">
        <f>I76+J75</f>
        <v/>
      </c>
      <c r="K76" s="940">
        <f>J76+K75</f>
        <v/>
      </c>
      <c r="L76" s="940">
        <f>K76+L75</f>
        <v/>
      </c>
      <c r="M76" s="940" t="n">
        <v>942456.27</v>
      </c>
    </row>
    <row r="77">
      <c r="A77" s="209" t="inlineStr">
        <is>
          <t>Actuals</t>
        </is>
      </c>
      <c r="F77" s="941">
        <f>F76-F73</f>
        <v/>
      </c>
      <c r="G77" s="941">
        <f>G76-G73</f>
        <v/>
      </c>
      <c r="H77" s="941">
        <f>H76-H73</f>
        <v/>
      </c>
      <c r="I77" s="941">
        <f>I76-I73</f>
        <v/>
      </c>
      <c r="J77" s="941">
        <f>J76-J73</f>
        <v/>
      </c>
      <c r="K77" s="941">
        <f>K76-K73</f>
        <v/>
      </c>
      <c r="L77" s="941">
        <f>L76-L73</f>
        <v/>
      </c>
    </row>
    <row r="78">
      <c r="E78" t="inlineStr">
        <is>
          <t>Revenue Charging</t>
        </is>
      </c>
      <c r="H78" s="942" t="n">
        <v>412500</v>
      </c>
      <c r="I78" s="942" t="n">
        <v>137500</v>
      </c>
      <c r="J78" s="942" t="n">
        <v>137500</v>
      </c>
      <c r="K78" s="942" t="n">
        <v>137500</v>
      </c>
      <c r="L78" s="942" t="n">
        <v>137500</v>
      </c>
      <c r="M78" s="940" t="n">
        <v>137500</v>
      </c>
      <c r="N78" s="940" t="n">
        <v>137500</v>
      </c>
      <c r="O78" s="940" t="n">
        <v>137500</v>
      </c>
      <c r="P78" s="940" t="n">
        <v>137500</v>
      </c>
      <c r="Q78" s="940" t="n">
        <v>137500</v>
      </c>
    </row>
    <row r="80">
      <c r="A80" s="209" t="n"/>
      <c r="L80" t="n">
        <v>2326</v>
      </c>
    </row>
    <row r="81">
      <c r="A81" s="30" t="inlineStr">
        <is>
          <t>A</t>
        </is>
      </c>
      <c r="E81" s="33" t="inlineStr">
        <is>
          <t>DPS internal costs (including DPS internal services) '- Germany</t>
        </is>
      </c>
    </row>
    <row r="82">
      <c r="A82" s="30" t="inlineStr">
        <is>
          <t>B</t>
        </is>
      </c>
      <c r="E82" s="33" t="inlineStr">
        <is>
          <t>DPS cost from another country (internal + external) '- ES and CZ</t>
        </is>
      </c>
    </row>
    <row r="83">
      <c r="A83" s="30" t="inlineStr">
        <is>
          <t>C</t>
        </is>
      </c>
      <c r="E83" s="33" t="inlineStr">
        <is>
          <t>External cost time and material (external to DPS) '- PT</t>
        </is>
      </c>
    </row>
    <row r="84">
      <c r="A84" s="30" t="inlineStr">
        <is>
          <t>D</t>
        </is>
      </c>
      <c r="E84" s="33" t="inlineStr">
        <is>
          <t>External cost fix (external to DPS) '- non DPS</t>
        </is>
      </c>
    </row>
    <row r="85">
      <c r="A85" s="30" t="inlineStr">
        <is>
          <t>E</t>
        </is>
      </c>
      <c r="E85" s="33" t="inlineStr">
        <is>
          <t>External provider</t>
        </is>
      </c>
    </row>
    <row r="86">
      <c r="A86" s="30" t="inlineStr">
        <is>
          <t>F</t>
        </is>
      </c>
      <c r="E86" s="33" t="inlineStr">
        <is>
          <t xml:space="preserve">Licenses and subscription fees </t>
        </is>
      </c>
    </row>
    <row r="88" ht="14.5" customHeight="1">
      <c r="B88" s="30" t="n">
        <v>1</v>
      </c>
      <c r="E88" s="653" t="inlineStr">
        <is>
          <t>01_Revenue</t>
        </is>
      </c>
    </row>
    <row r="89" ht="14.5" customHeight="1">
      <c r="B89" s="30" t="n">
        <v>2</v>
      </c>
      <c r="E89" s="653" t="inlineStr">
        <is>
          <t>02_External (3rd party supplier/provider, Adobe)</t>
        </is>
      </c>
    </row>
    <row r="90" ht="14.5" customHeight="1">
      <c r="B90" s="30" t="n">
        <v>3</v>
      </c>
      <c r="E90" s="653" t="inlineStr">
        <is>
          <t>03_Internal Booking (Umlage, costs allocation from other DE DPS chapters eg. JCC, DirX etc.)</t>
        </is>
      </c>
    </row>
    <row r="91" ht="14.5" customHeight="1">
      <c r="B91" s="30" t="n">
        <v>5</v>
      </c>
      <c r="E91" s="653" t="inlineStr">
        <is>
          <t>05_DPS Pers (hours reported by DE DPS colleagues )</t>
        </is>
      </c>
    </row>
    <row r="92" ht="14.5" customHeight="1">
      <c r="B92" s="30" t="n">
        <v>4</v>
      </c>
      <c r="E92" s="653" t="inlineStr">
        <is>
          <t>04_Provision Hours (non-DE DPS colleagues eg. ES/CZ and non-DPS- non-DE PT etc. )</t>
        </is>
      </c>
    </row>
    <row r="93" ht="12.65" customHeight="1"/>
    <row r="94">
      <c r="D94" s="646" t="inlineStr">
        <is>
          <t>Adob</t>
        </is>
      </c>
      <c r="E94" s="645" t="inlineStr">
        <is>
          <t xml:space="preserve">Addons - Adobe Sign </t>
        </is>
      </c>
    </row>
    <row r="95">
      <c r="D95" s="30" t="inlineStr">
        <is>
          <t>eQue</t>
        </is>
      </c>
      <c r="E95" s="645" t="inlineStr">
        <is>
          <t xml:space="preserve">Addons - eQuest </t>
        </is>
      </c>
    </row>
    <row r="96">
      <c r="D96" s="30" t="inlineStr">
        <is>
          <t>Tup</t>
        </is>
      </c>
      <c r="E96" s="645" t="inlineStr">
        <is>
          <t xml:space="preserve">Addons - Tupu </t>
        </is>
      </c>
    </row>
    <row r="97">
      <c r="D97" s="30" t="inlineStr">
        <is>
          <t>Int</t>
        </is>
      </c>
      <c r="E97" s="645" t="inlineStr">
        <is>
          <t>Addons - Siemens Integrations</t>
        </is>
      </c>
    </row>
    <row r="98">
      <c r="D98" s="646" t="inlineStr">
        <is>
          <t>GBS</t>
        </is>
      </c>
      <c r="E98" s="645" t="inlineStr">
        <is>
          <t>GBS H2R DPS SM</t>
        </is>
      </c>
    </row>
    <row r="99">
      <c r="D99" s="30" t="inlineStr">
        <is>
          <t>Test</t>
        </is>
      </c>
      <c r="E99" s="645" t="inlineStr">
        <is>
          <t>Test</t>
        </is>
      </c>
    </row>
    <row r="100">
      <c r="D100" s="30" t="inlineStr">
        <is>
          <t>ExpCZ</t>
        </is>
      </c>
      <c r="E100" s="645" t="inlineStr">
        <is>
          <t>Support/TMS Experts CZ</t>
        </is>
      </c>
    </row>
    <row r="101" ht="13" customHeight="1">
      <c r="D101" s="30" t="inlineStr">
        <is>
          <t>ExpPT</t>
        </is>
      </c>
      <c r="E101" s="645" t="inlineStr">
        <is>
          <t>Support/TMS Experts PT</t>
        </is>
      </c>
      <c r="I101" s="929" t="n"/>
      <c r="L101" s="929" t="n"/>
      <c r="O101" s="929" t="n"/>
      <c r="R101" s="892">
        <f>SUM(F101:Q101)</f>
        <v/>
      </c>
    </row>
    <row r="102">
      <c r="G102" s="894" t="n"/>
      <c r="H102" s="894" t="n"/>
      <c r="I102" s="894" t="n"/>
      <c r="J102" s="894" t="n"/>
      <c r="K102" s="891" t="n"/>
      <c r="L102" s="891" t="n"/>
      <c r="M102" s="891" t="n"/>
      <c r="N102" s="891" t="n"/>
      <c r="O102" s="891" t="n"/>
      <c r="P102" s="891" t="n"/>
      <c r="Q102" s="891" t="n"/>
      <c r="R102" s="892">
        <f>SUM(F102:Q102)</f>
        <v/>
      </c>
    </row>
    <row r="103">
      <c r="G103" s="894" t="n"/>
      <c r="H103" s="894" t="n"/>
      <c r="I103" s="894" t="n"/>
      <c r="J103" s="894" t="n"/>
      <c r="K103" s="891" t="n"/>
      <c r="L103" s="891" t="n"/>
      <c r="M103" s="891" t="n"/>
      <c r="N103" s="891" t="n"/>
      <c r="O103" s="891" t="n"/>
      <c r="P103" s="891" t="n"/>
      <c r="R103" s="892">
        <f>SUM(F103:P103)</f>
        <v/>
      </c>
    </row>
    <row r="104" ht="13" customHeight="1">
      <c r="E104" s="1" t="inlineStr">
        <is>
          <t>P&amp;O direct ordering</t>
        </is>
      </c>
      <c r="R104" s="943">
        <f>SUM(R101:R103)</f>
        <v/>
      </c>
    </row>
    <row r="105" ht="13" customHeight="1">
      <c r="E105" s="33" t="inlineStr">
        <is>
          <t xml:space="preserve">Avature Total - </t>
        </is>
      </c>
      <c r="F105" s="892" t="n">
        <v>1790271</v>
      </c>
    </row>
    <row r="106" ht="13" customHeight="1">
      <c r="E106" s="33" t="inlineStr">
        <is>
          <t xml:space="preserve">Eightfold - </t>
        </is>
      </c>
      <c r="F106" s="894" t="n">
        <v>810000</v>
      </c>
    </row>
    <row r="107" ht="13" customHeight="1">
      <c r="E107" s="33" t="inlineStr">
        <is>
          <t>Eightfold -  30.000 for 3rd instance</t>
        </is>
      </c>
      <c r="F107" s="916" t="n">
        <v>30000</v>
      </c>
    </row>
    <row r="108">
      <c r="F108" s="906">
        <f>SUM(F105:F107)</f>
        <v/>
      </c>
    </row>
  </sheetData>
  <autoFilter ref="A1:U92"/>
  <conditionalFormatting sqref="T2:T69">
    <cfRule type="cellIs" priority="2" operator="lessThan" dxfId="3">
      <formula>0</formula>
    </cfRule>
  </conditionalFormatting>
  <conditionalFormatting sqref="V34">
    <cfRule type="cellIs" priority="1" operator="lessThan" dxfId="3">
      <formula>0</formula>
    </cfRule>
  </conditionalFormatting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2"/>
  <sheetViews>
    <sheetView topLeftCell="A9" workbookViewId="0">
      <selection activeCell="E46" sqref="E46"/>
    </sheetView>
  </sheetViews>
  <sheetFormatPr baseColWidth="8" defaultColWidth="10.90625" defaultRowHeight="12.5"/>
  <cols>
    <col width="26.90625" bestFit="1" customWidth="1" min="1" max="1"/>
    <col width="17.90625" bestFit="1" customWidth="1" min="2" max="2"/>
    <col width="13.54296875" bestFit="1" customWidth="1" min="3" max="3"/>
    <col width="12.36328125" bestFit="1" customWidth="1" min="4" max="6"/>
    <col width="23.54296875" bestFit="1" customWidth="1" min="7" max="7"/>
  </cols>
  <sheetData>
    <row r="1" ht="14.5" customHeight="1">
      <c r="A1" s="702" t="inlineStr">
        <is>
          <t>Stand 18.03.2025</t>
        </is>
      </c>
      <c r="B1" s="654" t="n"/>
      <c r="C1" s="654" t="inlineStr">
        <is>
          <t>Category</t>
        </is>
      </c>
      <c r="D1" s="654" t="n"/>
      <c r="E1" s="654" t="n"/>
      <c r="F1" s="654" t="n"/>
      <c r="G1" s="653" t="n"/>
    </row>
    <row r="2" ht="14.5" customHeight="1">
      <c r="A2" s="654" t="inlineStr">
        <is>
          <t>Topic</t>
        </is>
      </c>
      <c r="B2" s="654" t="inlineStr">
        <is>
          <t>Type</t>
        </is>
      </c>
      <c r="C2" s="654" t="inlineStr">
        <is>
          <t>00_Actuals P04</t>
        </is>
      </c>
      <c r="D2" s="654" t="inlineStr">
        <is>
          <t>01_FC Q1</t>
        </is>
      </c>
      <c r="E2" s="654" t="inlineStr">
        <is>
          <t>02_FC Q2</t>
        </is>
      </c>
      <c r="F2" s="654" t="inlineStr">
        <is>
          <t>03_BDG 26</t>
        </is>
      </c>
      <c r="G2" s="653" t="n"/>
    </row>
    <row r="3" ht="14.5" customHeight="1">
      <c r="A3" s="653" t="inlineStr">
        <is>
          <t>TMS Project, Projekt</t>
        </is>
      </c>
      <c r="B3" s="653" t="inlineStr">
        <is>
          <t>01_Revenue</t>
        </is>
      </c>
      <c r="C3" s="655" t="n">
        <v>232414.17</v>
      </c>
      <c r="D3" s="655" t="n">
        <v>2395000</v>
      </c>
      <c r="E3" s="655" t="n">
        <v>2429500</v>
      </c>
      <c r="F3" s="655" t="n">
        <v>2128500</v>
      </c>
      <c r="G3" s="653" t="n"/>
    </row>
    <row r="4" ht="14.5" customHeight="1">
      <c r="A4" s="653" t="n"/>
      <c r="B4" s="653" t="inlineStr">
        <is>
          <t>02_External</t>
        </is>
      </c>
      <c r="C4" s="655" t="n">
        <v>-233635.75</v>
      </c>
      <c r="D4" s="653" t="n"/>
      <c r="E4" s="653" t="n">
        <v>0</v>
      </c>
      <c r="F4" s="653" t="n">
        <v>0</v>
      </c>
      <c r="G4" s="653" t="n"/>
    </row>
    <row r="5" ht="14.5" customHeight="1">
      <c r="A5" s="653" t="n"/>
      <c r="B5" s="653" t="inlineStr">
        <is>
          <t>03_Internal Booking</t>
        </is>
      </c>
      <c r="C5" s="655" t="n">
        <v>-59982.89</v>
      </c>
      <c r="D5" s="653" t="n"/>
      <c r="E5" s="653" t="n">
        <v>0</v>
      </c>
      <c r="F5" s="653" t="n">
        <v>0</v>
      </c>
      <c r="G5" s="653" t="n"/>
    </row>
    <row r="6" ht="14.5" customHeight="1">
      <c r="A6" s="653" t="n"/>
      <c r="B6" s="653" t="inlineStr">
        <is>
          <t>05_DPS Pers</t>
        </is>
      </c>
      <c r="C6" s="655" t="n">
        <v>-47810.1</v>
      </c>
      <c r="D6" s="655" t="n">
        <v>-2280000</v>
      </c>
      <c r="E6" s="655" t="n">
        <v>-2313662</v>
      </c>
      <c r="F6" s="655" t="n">
        <v>-2027000</v>
      </c>
      <c r="G6" s="653" t="n"/>
    </row>
    <row r="7" ht="14.5" customHeight="1">
      <c r="A7" s="653" t="n"/>
      <c r="B7" s="653" t="inlineStr">
        <is>
          <t>04_Provision Hours</t>
        </is>
      </c>
      <c r="C7" s="655" t="n">
        <v>-160342.85</v>
      </c>
      <c r="D7" s="653" t="n"/>
      <c r="E7" s="653" t="n">
        <v>0</v>
      </c>
      <c r="F7" s="653" t="n">
        <v>0</v>
      </c>
      <c r="G7" s="653" t="n"/>
    </row>
    <row r="8" ht="14.5" customHeight="1">
      <c r="A8" s="656" t="inlineStr">
        <is>
          <t>TMS Project, Projekt Ergebnis</t>
        </is>
      </c>
      <c r="B8" s="656" t="n"/>
      <c r="C8" s="657" t="n">
        <v>-269357.42</v>
      </c>
      <c r="D8" s="657" t="n">
        <v>115000</v>
      </c>
      <c r="E8" s="657" t="n">
        <v>115838</v>
      </c>
      <c r="F8" s="657" t="n">
        <v>101500</v>
      </c>
      <c r="G8" s="653" t="n"/>
    </row>
    <row r="9" ht="14.5" customHeight="1">
      <c r="A9" s="653" t="inlineStr">
        <is>
          <t>TMS, OP</t>
        </is>
      </c>
      <c r="B9" s="653" t="inlineStr">
        <is>
          <t>01_Revenue</t>
        </is>
      </c>
      <c r="C9" s="655" t="n">
        <v>550000</v>
      </c>
      <c r="D9" s="655" t="n">
        <v>1650000</v>
      </c>
      <c r="E9" s="655" t="n">
        <v>1650000</v>
      </c>
      <c r="F9" s="655" t="n">
        <v>1550000</v>
      </c>
      <c r="G9" s="653" t="n"/>
    </row>
    <row r="10" ht="14.5" customHeight="1">
      <c r="A10" s="653" t="n"/>
      <c r="B10" s="653" t="inlineStr">
        <is>
          <t>02_External</t>
        </is>
      </c>
      <c r="C10" s="655" t="n">
        <v>-80397.89</v>
      </c>
      <c r="D10" s="653" t="n"/>
      <c r="E10" s="653" t="n">
        <v>0</v>
      </c>
      <c r="F10" s="653" t="n">
        <v>0</v>
      </c>
      <c r="G10" s="653" t="n"/>
    </row>
    <row r="11" ht="14.5" customHeight="1">
      <c r="A11" s="653" t="n"/>
      <c r="B11" s="653" t="inlineStr">
        <is>
          <t>03_Internal Booking</t>
        </is>
      </c>
      <c r="C11" s="655" t="n">
        <v>-98892.28</v>
      </c>
      <c r="D11" s="653" t="n"/>
      <c r="E11" s="653" t="n">
        <v>0</v>
      </c>
      <c r="F11" s="653" t="n">
        <v>0</v>
      </c>
      <c r="G11" s="653" t="n"/>
    </row>
    <row r="12" ht="14.5" customHeight="1">
      <c r="A12" s="653" t="n"/>
      <c r="B12" s="653" t="inlineStr">
        <is>
          <t>05_DPS Pers</t>
        </is>
      </c>
      <c r="C12" s="655" t="n">
        <v>-56569.9</v>
      </c>
      <c r="D12" s="655" t="n">
        <v>-1570000</v>
      </c>
      <c r="E12" s="655" t="n">
        <v>-1325635</v>
      </c>
      <c r="F12" s="655" t="n">
        <v>-1475000</v>
      </c>
      <c r="G12" s="653" t="n"/>
    </row>
    <row r="13" ht="14.5" customHeight="1">
      <c r="A13" s="653" t="n"/>
      <c r="B13" s="653" t="inlineStr">
        <is>
          <t>04_Provision Hours</t>
        </is>
      </c>
      <c r="C13" s="655" t="n">
        <v>-185276.91</v>
      </c>
      <c r="D13" s="653" t="n"/>
      <c r="E13" s="653" t="n">
        <v>0</v>
      </c>
      <c r="F13" s="653" t="n">
        <v>0</v>
      </c>
      <c r="G13" s="653" t="n"/>
    </row>
    <row r="14" ht="14.5" customHeight="1">
      <c r="A14" s="656" t="inlineStr">
        <is>
          <t>TMS, OP Ergebnis</t>
        </is>
      </c>
      <c r="B14" s="656" t="n"/>
      <c r="C14" s="657" t="n">
        <v>128863.02</v>
      </c>
      <c r="D14" s="657" t="n">
        <v>80000</v>
      </c>
      <c r="E14" s="657" t="n">
        <v>324365</v>
      </c>
      <c r="F14" s="657" t="n">
        <v>75000</v>
      </c>
      <c r="G14" s="653" t="n"/>
    </row>
    <row r="15" ht="14.5" customHeight="1">
      <c r="A15" s="653" t="inlineStr">
        <is>
          <t>TMS, SB</t>
        </is>
      </c>
      <c r="B15" s="653" t="inlineStr">
        <is>
          <t>01_Revenue</t>
        </is>
      </c>
      <c r="C15" s="653" t="n"/>
      <c r="D15" s="655" t="n">
        <v>5000</v>
      </c>
      <c r="E15" s="655" t="n">
        <v>18609</v>
      </c>
      <c r="F15" s="655" t="n">
        <v>15000</v>
      </c>
      <c r="G15" s="653" t="n"/>
    </row>
    <row r="16" ht="14.5" customHeight="1">
      <c r="A16" s="653" t="n"/>
      <c r="B16" s="653" t="inlineStr">
        <is>
          <t>02_External</t>
        </is>
      </c>
      <c r="C16" s="653" t="n"/>
      <c r="D16" s="653" t="n"/>
      <c r="E16" s="653" t="n">
        <v>0</v>
      </c>
      <c r="F16" s="653" t="n">
        <v>0</v>
      </c>
      <c r="G16" s="653" t="n"/>
    </row>
    <row r="17" ht="14.5" customHeight="1">
      <c r="A17" s="653" t="n"/>
      <c r="B17" s="653" t="inlineStr">
        <is>
          <t>03_Internal Booking</t>
        </is>
      </c>
      <c r="C17" s="653" t="n"/>
      <c r="D17" s="653" t="n"/>
      <c r="E17" s="653" t="n">
        <v>0</v>
      </c>
      <c r="F17" s="653" t="n">
        <v>0</v>
      </c>
      <c r="G17" s="653" t="n"/>
    </row>
    <row r="18" ht="14.5" customHeight="1">
      <c r="A18" s="653" t="n"/>
      <c r="B18" s="653" t="inlineStr">
        <is>
          <t>05_DPS Pers</t>
        </is>
      </c>
      <c r="C18" s="653" t="n"/>
      <c r="D18" s="655" t="n">
        <v>-5000</v>
      </c>
      <c r="E18" s="655" t="n">
        <v>-18609</v>
      </c>
      <c r="F18" s="655" t="n">
        <v>-14200</v>
      </c>
      <c r="G18" s="653" t="n"/>
    </row>
    <row r="19" ht="14.5" customHeight="1">
      <c r="A19" s="653" t="n"/>
      <c r="B19" s="653" t="inlineStr">
        <is>
          <t>04_Provision Hours</t>
        </is>
      </c>
      <c r="C19" s="655" t="n">
        <v>-8538.200000000001</v>
      </c>
      <c r="D19" s="653" t="n"/>
      <c r="E19" s="653" t="n">
        <v>0</v>
      </c>
      <c r="F19" s="653" t="n">
        <v>0</v>
      </c>
      <c r="G19" s="653" t="n"/>
    </row>
    <row r="20" ht="14.5" customHeight="1">
      <c r="A20" s="656" t="inlineStr">
        <is>
          <t>TMS, SB Ergebnis</t>
        </is>
      </c>
      <c r="B20" s="656" t="n"/>
      <c r="C20" s="657" t="n">
        <v>-8538.200000000001</v>
      </c>
      <c r="D20" s="656" t="n">
        <v>0</v>
      </c>
      <c r="E20" s="656" t="n">
        <v>0</v>
      </c>
      <c r="F20" s="656" t="n">
        <v>800</v>
      </c>
      <c r="G20" s="653" t="n"/>
    </row>
    <row r="21" ht="14.5" customHeight="1">
      <c r="A21" s="658" t="n"/>
      <c r="B21" s="658" t="n"/>
      <c r="C21" s="659" t="n">
        <v>-148513.1</v>
      </c>
      <c r="D21" s="659" t="n">
        <v>194000</v>
      </c>
      <c r="E21" s="659" t="n">
        <v>440203</v>
      </c>
      <c r="F21" s="659" t="n">
        <v>177300</v>
      </c>
      <c r="G21" s="653" t="n"/>
    </row>
    <row r="22" ht="14.5" customHeight="1">
      <c r="A22" s="702" t="inlineStr">
        <is>
          <t>Aligned with Iva: 18.03.2025</t>
        </is>
      </c>
      <c r="B22" s="654" t="n"/>
      <c r="C22" s="654" t="inlineStr">
        <is>
          <t>Category</t>
        </is>
      </c>
      <c r="D22" s="654" t="n"/>
      <c r="E22" s="654" t="n"/>
      <c r="F22" s="654" t="n"/>
    </row>
    <row r="23" ht="14.5" customHeight="1">
      <c r="A23" s="654" t="inlineStr">
        <is>
          <t>Topic</t>
        </is>
      </c>
      <c r="B23" s="654" t="inlineStr">
        <is>
          <t>Type</t>
        </is>
      </c>
      <c r="C23" s="654" t="inlineStr">
        <is>
          <t>00_Actuals P04</t>
        </is>
      </c>
      <c r="D23" s="654" t="inlineStr">
        <is>
          <t>01_FC Q1</t>
        </is>
      </c>
      <c r="E23" s="654" t="inlineStr">
        <is>
          <t>02_FC Q2</t>
        </is>
      </c>
      <c r="F23" s="654" t="inlineStr">
        <is>
          <t>03_BDG 26</t>
        </is>
      </c>
    </row>
    <row r="24" ht="14.5" customHeight="1">
      <c r="A24" s="653" t="inlineStr">
        <is>
          <t>TMS Project, Projekt</t>
        </is>
      </c>
      <c r="B24" s="653" t="inlineStr">
        <is>
          <t>01_Revenue</t>
        </is>
      </c>
      <c r="C24" s="655" t="n">
        <v>232414.17</v>
      </c>
      <c r="D24" s="655" t="n">
        <v>2395000</v>
      </c>
      <c r="E24" s="655" t="n">
        <v>2429500</v>
      </c>
      <c r="F24" s="653" t="n">
        <v>2113250</v>
      </c>
    </row>
    <row r="25" ht="14.5" customHeight="1">
      <c r="A25" s="653" t="n"/>
      <c r="B25" s="653" t="inlineStr">
        <is>
          <t>02_External</t>
        </is>
      </c>
      <c r="C25" s="655" t="n">
        <v>-233635.75</v>
      </c>
      <c r="D25" s="653" t="n"/>
      <c r="E25" s="663" t="n">
        <v>-1376158</v>
      </c>
      <c r="F25" s="664" t="n">
        <v>-1175000</v>
      </c>
    </row>
    <row r="26" ht="14.5" customHeight="1">
      <c r="A26" s="653" t="n"/>
      <c r="B26" s="653" t="inlineStr">
        <is>
          <t>03_Internal Booking</t>
        </is>
      </c>
      <c r="C26" s="655" t="n">
        <v>-59982.89</v>
      </c>
      <c r="D26" s="653" t="n"/>
      <c r="E26" s="663" t="n">
        <v>-225259</v>
      </c>
      <c r="F26" s="664" t="n">
        <v>-231566</v>
      </c>
    </row>
    <row r="27" ht="14.5" customHeight="1">
      <c r="A27" s="653" t="n"/>
      <c r="B27" s="653" t="inlineStr">
        <is>
          <t>05_DPS Pers</t>
        </is>
      </c>
      <c r="C27" s="655" t="n">
        <v>-47810.1</v>
      </c>
      <c r="D27" s="655" t="n">
        <v>-2280000</v>
      </c>
      <c r="E27" s="663" t="n">
        <v>-167764</v>
      </c>
      <c r="F27" s="664" t="n">
        <v>-133142</v>
      </c>
    </row>
    <row r="28" ht="14.5" customHeight="1">
      <c r="A28" s="653" t="n"/>
      <c r="B28" s="653" t="inlineStr">
        <is>
          <t>04_Provision Hours</t>
        </is>
      </c>
      <c r="C28" s="655" t="n">
        <v>-160342.85</v>
      </c>
      <c r="D28" s="653" t="n"/>
      <c r="E28" s="663" t="n">
        <v>-544481</v>
      </c>
      <c r="F28" s="664" t="n">
        <v>-442062</v>
      </c>
    </row>
    <row r="29" ht="14.5" customHeight="1">
      <c r="A29" s="656" t="inlineStr">
        <is>
          <t>TMS Project, Projekt Ergebnis</t>
        </is>
      </c>
      <c r="B29" s="656" t="n"/>
      <c r="C29" s="657" t="n">
        <v>-269357.42</v>
      </c>
      <c r="D29" s="657" t="n">
        <v>115000</v>
      </c>
      <c r="E29" s="657" t="n">
        <v>115838</v>
      </c>
      <c r="F29" s="657" t="n">
        <v>101500</v>
      </c>
    </row>
    <row r="30" ht="14.5" customHeight="1">
      <c r="A30" s="653" t="inlineStr">
        <is>
          <t>TMS, OP</t>
        </is>
      </c>
      <c r="B30" s="653" t="inlineStr">
        <is>
          <t>01_Revenue</t>
        </is>
      </c>
      <c r="C30" s="655" t="n">
        <v>550000</v>
      </c>
      <c r="D30" s="655" t="n">
        <v>1650000</v>
      </c>
      <c r="E30" s="662" t="n">
        <v>1650000</v>
      </c>
      <c r="F30" s="660" t="n">
        <v>1571700</v>
      </c>
    </row>
    <row r="31" ht="14.5" customHeight="1">
      <c r="A31" s="653" t="n"/>
      <c r="B31" s="653" t="inlineStr">
        <is>
          <t>02_External</t>
        </is>
      </c>
      <c r="C31" s="655" t="n">
        <v>-80397.89</v>
      </c>
      <c r="D31" s="653" t="n"/>
      <c r="E31" s="663" t="n">
        <v>-248429</v>
      </c>
      <c r="F31" s="661" t="n">
        <v>-224000</v>
      </c>
      <c r="G31" s="653" t="inlineStr">
        <is>
          <t>TuP, eQ, Adob, Cys, Av Trv</t>
        </is>
      </c>
    </row>
    <row r="32" ht="14.5" customHeight="1">
      <c r="A32" s="653" t="n"/>
      <c r="B32" s="653" t="inlineStr">
        <is>
          <t>03_Internal Booking</t>
        </is>
      </c>
      <c r="C32" s="655" t="n">
        <v>-98892.28</v>
      </c>
      <c r="D32" s="653" t="n"/>
      <c r="E32" s="663" t="n">
        <v>-214199</v>
      </c>
      <c r="F32" s="661" t="n">
        <v>-337000</v>
      </c>
      <c r="G32" s="653" t="inlineStr">
        <is>
          <t>Umlage, Integr.,</t>
        </is>
      </c>
    </row>
    <row r="33" ht="14.5" customHeight="1">
      <c r="A33" s="653" t="n"/>
      <c r="B33" s="653" t="inlineStr">
        <is>
          <t>05_DPS Pers</t>
        </is>
      </c>
      <c r="C33" s="655" t="n">
        <v>-56569.9</v>
      </c>
      <c r="D33" s="655" t="n">
        <v>-1570000</v>
      </c>
      <c r="E33" s="663" t="n">
        <v>-168105</v>
      </c>
      <c r="F33" s="661" t="n">
        <v>-193500</v>
      </c>
      <c r="G33" t="inlineStr">
        <is>
          <t>Trv</t>
        </is>
      </c>
    </row>
    <row r="34" ht="14.5" customHeight="1">
      <c r="A34" s="653" t="n"/>
      <c r="B34" s="653" t="inlineStr">
        <is>
          <t>04_Provision Hours</t>
        </is>
      </c>
      <c r="C34" s="655" t="n">
        <v>-185276.91</v>
      </c>
      <c r="D34" s="653" t="n"/>
      <c r="E34" s="663" t="n">
        <v>-694902</v>
      </c>
      <c r="F34" s="661" t="n">
        <v>-742500</v>
      </c>
      <c r="G34" s="653" t="inlineStr">
        <is>
          <t>DPS CZ, ES, Trv</t>
        </is>
      </c>
    </row>
    <row r="35" ht="14.5" customHeight="1">
      <c r="A35" s="656" t="inlineStr">
        <is>
          <t>TMS, OP Ergebnis</t>
        </is>
      </c>
      <c r="B35" s="656" t="n"/>
      <c r="C35" s="657" t="n">
        <v>128863.02</v>
      </c>
      <c r="D35" s="657" t="n">
        <v>80000</v>
      </c>
      <c r="E35" s="657" t="n">
        <v>324365</v>
      </c>
      <c r="F35" s="657" t="n">
        <v>75000</v>
      </c>
      <c r="G35" s="653" t="n"/>
    </row>
    <row r="38" ht="14.5" customHeight="1">
      <c r="A38" s="653" t="inlineStr">
        <is>
          <t>Preboarding Project, Projekt</t>
        </is>
      </c>
      <c r="B38" s="653" t="inlineStr">
        <is>
          <t>01_Revenue</t>
        </is>
      </c>
      <c r="F38" t="inlineStr">
        <is>
          <t>tbd</t>
        </is>
      </c>
    </row>
    <row r="39" ht="14.5" customHeight="1">
      <c r="B39" s="653" t="inlineStr">
        <is>
          <t>02_External</t>
        </is>
      </c>
    </row>
    <row r="40" ht="14.5" customHeight="1">
      <c r="B40" s="653" t="inlineStr">
        <is>
          <t>03_Internal Booking</t>
        </is>
      </c>
    </row>
    <row r="41" ht="14.5" customHeight="1">
      <c r="B41" s="653" t="inlineStr">
        <is>
          <t>05_DPS Pers</t>
        </is>
      </c>
    </row>
    <row r="42" ht="14.5" customHeight="1">
      <c r="B42" s="653" t="inlineStr">
        <is>
          <t>04_Provision Hours</t>
        </is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>
    <tabColor theme="3" tint="0.5999938962981048"/>
    <outlinePr summaryBelow="1" summaryRight="1"/>
    <pageSetUpPr/>
  </sheetPr>
  <dimension ref="A1:AA140"/>
  <sheetViews>
    <sheetView tabSelected="1" zoomScale="175" zoomScaleNormal="175" workbookViewId="0">
      <pane xSplit="5" ySplit="1" topLeftCell="I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baseColWidth="8" defaultColWidth="11.453125" defaultRowHeight="11.5" outlineLevelRow="1"/>
  <cols>
    <col hidden="1" width="7.36328125" customWidth="1" style="294" min="1" max="1"/>
    <col hidden="1" width="11.54296875" customWidth="1" style="294" min="2" max="2"/>
    <col hidden="1" width="11.90625" customWidth="1" style="294" min="3" max="3"/>
    <col width="15" bestFit="1" customWidth="1" style="294" min="4" max="4"/>
    <col width="45" customWidth="1" style="300" min="5" max="5"/>
    <col width="13" bestFit="1" customWidth="1" style="300" min="6" max="10"/>
    <col width="14.6328125" bestFit="1" customWidth="1" style="300" min="11" max="17"/>
    <col width="19.90625" customWidth="1" style="300" min="18" max="18"/>
    <col width="14.6328125" customWidth="1" style="300" min="19" max="19"/>
    <col width="16.54296875" customWidth="1" style="300" min="20" max="20"/>
    <col width="14.6328125" customWidth="1" style="300" min="21" max="21"/>
    <col width="14.54296875" customWidth="1" style="300" min="22" max="22"/>
    <col width="35.36328125" customWidth="1" style="300" min="23" max="23"/>
    <col width="13.453125" customWidth="1" style="300" min="24" max="24"/>
    <col width="14.6328125" customWidth="1" style="300" min="25" max="25"/>
    <col width="20.453125" customWidth="1" style="300" min="26" max="26"/>
    <col width="19.453125" bestFit="1" customWidth="1" style="300" min="27" max="27"/>
    <col width="11.453125" customWidth="1" style="300" min="28" max="16384"/>
  </cols>
  <sheetData>
    <row r="1" ht="40.25" customFormat="1" customHeight="1" s="341">
      <c r="A1" s="391" t="inlineStr">
        <is>
          <t>Fin. Transf. 
Cat.</t>
        </is>
      </c>
      <c r="B1" s="57" t="inlineStr">
        <is>
          <t>Fin. DPS Plann.</t>
        </is>
      </c>
      <c r="C1" s="57" t="inlineStr">
        <is>
          <t>PowerBI</t>
        </is>
      </c>
      <c r="D1" s="391" t="inlineStr">
        <is>
          <t>P&amp;O Cat.</t>
        </is>
      </c>
      <c r="E1" s="393" t="inlineStr">
        <is>
          <t>FY25
TMS Project</t>
        </is>
      </c>
      <c r="F1" s="394" t="n">
        <v>45566</v>
      </c>
      <c r="G1" s="394" t="n">
        <v>45597</v>
      </c>
      <c r="H1" s="394" t="n">
        <v>45627</v>
      </c>
      <c r="I1" s="394" t="n">
        <v>45658</v>
      </c>
      <c r="J1" s="394" t="n">
        <v>45689</v>
      </c>
      <c r="K1" s="394" t="n">
        <v>45717</v>
      </c>
      <c r="L1" s="394" t="n">
        <v>45748</v>
      </c>
      <c r="M1" s="394" t="n">
        <v>45778</v>
      </c>
      <c r="N1" s="394" t="n">
        <v>45809</v>
      </c>
      <c r="O1" s="394" t="n">
        <v>45839</v>
      </c>
      <c r="P1" s="394" t="n">
        <v>45870</v>
      </c>
      <c r="Q1" s="394" t="n">
        <v>45901</v>
      </c>
      <c r="R1" s="392" t="inlineStr">
        <is>
          <t>Actual FC
FY25</t>
        </is>
      </c>
      <c r="S1" s="392" t="inlineStr">
        <is>
          <t>FC FY25 (01/2025)</t>
        </is>
      </c>
      <c r="T1" s="392" t="inlineStr">
        <is>
          <t>FC FY25 (11/2024)</t>
        </is>
      </c>
      <c r="U1" s="392" t="inlineStr">
        <is>
          <t>Budget FY25 (May 2024)</t>
        </is>
      </c>
      <c r="V1" s="392" t="inlineStr">
        <is>
          <t>Differenz</t>
        </is>
      </c>
      <c r="W1" s="392" t="inlineStr">
        <is>
          <t>Comment</t>
        </is>
      </c>
    </row>
    <row r="2" ht="18" customFormat="1" customHeight="1" s="341" thickBot="1">
      <c r="A2" s="337" t="n"/>
      <c r="B2" s="337" t="n"/>
      <c r="C2" s="337" t="n"/>
      <c r="D2" s="337" t="inlineStr">
        <is>
          <t>x</t>
        </is>
      </c>
      <c r="E2" s="848" t="inlineStr">
        <is>
          <t>Eightfold Crew</t>
        </is>
      </c>
      <c r="F2" s="339" t="n"/>
      <c r="G2" s="339" t="n"/>
      <c r="H2" s="339" t="n"/>
      <c r="I2" s="339" t="n"/>
      <c r="J2" s="339" t="n"/>
      <c r="K2" s="339" t="n"/>
      <c r="L2" s="339" t="n"/>
      <c r="M2" s="339" t="n"/>
      <c r="N2" s="339" t="n"/>
      <c r="O2" s="339" t="n"/>
      <c r="P2" s="339" t="n"/>
      <c r="Q2" s="339" t="n"/>
      <c r="R2" s="340" t="n"/>
      <c r="S2" s="340" t="n"/>
      <c r="T2" s="340" t="n"/>
      <c r="U2" s="340" t="n"/>
      <c r="V2" s="340" t="n"/>
      <c r="W2" s="340" t="n"/>
    </row>
    <row r="3" outlineLevel="1" ht="15" customHeight="1">
      <c r="A3" s="294" t="inlineStr">
        <is>
          <t>C</t>
        </is>
      </c>
      <c r="E3" s="295" t="inlineStr">
        <is>
          <t>Magro, Daniel</t>
        </is>
      </c>
      <c r="F3" s="944" t="n">
        <v>0</v>
      </c>
      <c r="G3" s="944" t="n">
        <v>0</v>
      </c>
      <c r="H3" s="944" t="n">
        <v>0</v>
      </c>
      <c r="I3" s="944" t="n">
        <v>0</v>
      </c>
      <c r="J3" s="944" t="n">
        <v>0</v>
      </c>
      <c r="K3" s="944" t="n">
        <v>0</v>
      </c>
      <c r="L3" s="944" t="n">
        <v>0</v>
      </c>
      <c r="M3" s="945">
        <f>'Resource Planning'!J10*'Resource Planning'!N10*'Resource Planning'!P10/12</f>
        <v/>
      </c>
      <c r="N3" s="945">
        <f>'Resource Planning'!J10*'Resource Planning'!N10*'Resource Planning'!P10/12</f>
        <v/>
      </c>
      <c r="O3" s="945">
        <f>'Resource Planning'!J10*'Resource Planning'!N10*'Resource Planning'!P10/12</f>
        <v/>
      </c>
      <c r="P3" s="945">
        <f>'Resource Planning'!J10*'Resource Planning'!N10*'Resource Planning'!P10/12</f>
        <v/>
      </c>
      <c r="Q3" s="945">
        <f>'Resource Planning'!J10*'Resource Planning'!N10*'Resource Planning'!P10/12</f>
        <v/>
      </c>
      <c r="R3" s="946">
        <f>SUM(F3:Q3)</f>
        <v/>
      </c>
      <c r="S3" s="945" t="n">
        <v>0</v>
      </c>
      <c r="T3" s="945" t="n">
        <v>0</v>
      </c>
      <c r="U3" s="945" t="n"/>
      <c r="V3" s="945">
        <f>SUM(T3-R3)</f>
        <v/>
      </c>
    </row>
    <row r="4" outlineLevel="1" ht="15" customFormat="1" customHeight="1" s="302">
      <c r="A4" s="301" t="inlineStr">
        <is>
          <t>C</t>
        </is>
      </c>
      <c r="B4" s="301" t="n"/>
      <c r="C4" s="301" t="n"/>
      <c r="D4" s="294" t="n"/>
      <c r="E4" s="295" t="inlineStr">
        <is>
          <t>Pires Rosa, Claudia</t>
        </is>
      </c>
      <c r="F4" s="947" t="n">
        <v>8280</v>
      </c>
      <c r="G4" s="947" t="n">
        <v>5400</v>
      </c>
      <c r="H4" s="947" t="n">
        <v>3600</v>
      </c>
      <c r="I4" s="947" t="n">
        <v>7920</v>
      </c>
      <c r="J4" s="947" t="n">
        <v>7200</v>
      </c>
      <c r="K4" s="947" t="n">
        <v>7560</v>
      </c>
      <c r="L4" s="947" t="n">
        <v>720</v>
      </c>
      <c r="M4" s="947" t="n">
        <v>360</v>
      </c>
      <c r="N4" s="948">
        <f>'Resource Planning'!J11*'Resource Planning'!N11*'Resource Planning'!P11/12</f>
        <v/>
      </c>
      <c r="O4" s="948">
        <f>'Resource Planning'!J11*'Resource Planning'!N11*'Resource Planning'!P11/12</f>
        <v/>
      </c>
      <c r="P4" s="948">
        <f>'Resource Planning'!J11*'Resource Planning'!N11*'Resource Planning'!P11/12</f>
        <v/>
      </c>
      <c r="Q4" s="948">
        <f>'Resource Planning'!J11*'Resource Planning'!N11*'Resource Planning'!P11/12</f>
        <v/>
      </c>
      <c r="R4" s="949">
        <f>SUM(F4:Q4)</f>
        <v/>
      </c>
      <c r="S4" s="948" t="n">
        <v>76200</v>
      </c>
      <c r="T4" s="948" t="n">
        <v>76500</v>
      </c>
      <c r="U4" s="948">
        <f>'Resource Planning'!J11*'Resource Planning'!N11*'Resource Planning'!P11</f>
        <v/>
      </c>
      <c r="V4" s="945">
        <f>SUM(T4-R4)</f>
        <v/>
      </c>
    </row>
    <row r="5" outlineLevel="1" ht="15" customHeight="1">
      <c r="A5" s="294" t="inlineStr">
        <is>
          <t>C</t>
        </is>
      </c>
      <c r="E5" s="295" t="inlineStr">
        <is>
          <t>Matos dos Santos Oliveira, Ana Rita</t>
        </is>
      </c>
      <c r="F5" s="947" t="n">
        <v>5400</v>
      </c>
      <c r="G5" s="947" t="n">
        <v>5400</v>
      </c>
      <c r="H5" s="947" t="n">
        <v>3510</v>
      </c>
      <c r="I5" s="947" t="n">
        <v>5400</v>
      </c>
      <c r="J5" s="947" t="n">
        <v>4860</v>
      </c>
      <c r="K5" s="947" t="n">
        <v>4050</v>
      </c>
      <c r="L5" s="944" t="n">
        <v>0</v>
      </c>
      <c r="M5" s="945">
        <f>'Resource Planning'!J12*'Resource Planning'!N12*'Resource Planning'!P12/12</f>
        <v/>
      </c>
      <c r="N5" s="945">
        <f>'Resource Planning'!J12*'Resource Planning'!N12*'Resource Planning'!P12/12</f>
        <v/>
      </c>
      <c r="O5" s="945">
        <f>'Resource Planning'!J12*'Resource Planning'!N12*'Resource Planning'!P12/12</f>
        <v/>
      </c>
      <c r="P5" s="945">
        <f>'Resource Planning'!J12*'Resource Planning'!N12*'Resource Planning'!P12/12</f>
        <v/>
      </c>
      <c r="Q5" s="945">
        <f>'Resource Planning'!J12*'Resource Planning'!N12*'Resource Planning'!P12/12</f>
        <v/>
      </c>
      <c r="R5" s="950">
        <f>SUM(F5:Q5)</f>
        <v/>
      </c>
      <c r="S5" s="945" t="n">
        <v>57960</v>
      </c>
      <c r="T5" s="945" t="n">
        <v>57375</v>
      </c>
      <c r="U5" s="945">
        <f>'Resource Planning'!J12*'Resource Planning'!N12*'Resource Planning'!P12</f>
        <v/>
      </c>
      <c r="V5" s="945">
        <f>SUM(T5-R5)</f>
        <v/>
      </c>
    </row>
    <row r="6" outlineLevel="1" ht="15" customHeight="1">
      <c r="A6" s="294" t="inlineStr">
        <is>
          <t>C</t>
        </is>
      </c>
      <c r="E6" s="295" t="inlineStr">
        <is>
          <t>Pires, Filipe</t>
        </is>
      </c>
      <c r="F6" s="944" t="n">
        <v>0</v>
      </c>
      <c r="G6" s="944" t="n">
        <v>0</v>
      </c>
      <c r="H6" s="944" t="n">
        <v>0</v>
      </c>
      <c r="I6" s="944" t="n">
        <v>0</v>
      </c>
      <c r="J6" s="944" t="n">
        <v>0</v>
      </c>
      <c r="K6" s="944" t="n">
        <v>0</v>
      </c>
      <c r="L6" s="944" t="n">
        <v>0</v>
      </c>
      <c r="M6" s="945">
        <f>'Resource Planning'!J13*'Resource Planning'!N13*'Resource Planning'!P13/12</f>
        <v/>
      </c>
      <c r="N6" s="945">
        <f>'Resource Planning'!J13*'Resource Planning'!N13*'Resource Planning'!P13/12</f>
        <v/>
      </c>
      <c r="O6" s="945">
        <f>'Resource Planning'!J13*'Resource Planning'!N13*'Resource Planning'!P13/12</f>
        <v/>
      </c>
      <c r="P6" s="945">
        <f>'Resource Planning'!J13*'Resource Planning'!N13*'Resource Planning'!P13/12</f>
        <v/>
      </c>
      <c r="Q6" s="945">
        <f>'Resource Planning'!J13*'Resource Planning'!N13*'Resource Planning'!P13/12</f>
        <v/>
      </c>
      <c r="R6" s="950">
        <f>SUM(F6:Q6)</f>
        <v/>
      </c>
      <c r="S6" s="945" t="n">
        <v>0</v>
      </c>
      <c r="T6" s="945" t="n"/>
      <c r="U6" s="945" t="n"/>
      <c r="V6" s="945">
        <f>SUM(T6-R6)</f>
        <v/>
      </c>
    </row>
    <row r="7" outlineLevel="1" ht="15" customHeight="1">
      <c r="A7" s="294" t="inlineStr">
        <is>
          <t>C</t>
        </is>
      </c>
      <c r="E7" s="295" t="inlineStr">
        <is>
          <t>Plácido, Andreia</t>
        </is>
      </c>
      <c r="F7" s="944" t="n">
        <v>0</v>
      </c>
      <c r="G7" s="944" t="n">
        <v>0</v>
      </c>
      <c r="H7" s="944" t="n">
        <v>0</v>
      </c>
      <c r="I7" s="944" t="n">
        <v>0</v>
      </c>
      <c r="J7" s="944" t="n">
        <v>0</v>
      </c>
      <c r="K7" s="944" t="n">
        <v>0</v>
      </c>
      <c r="L7" s="944" t="n">
        <v>0</v>
      </c>
      <c r="M7" s="945">
        <f>'Resource Planning'!J14*'Resource Planning'!N13*'Resource Planning'!P13/12</f>
        <v/>
      </c>
      <c r="N7" s="945">
        <f>'Resource Planning'!J14*'Resource Planning'!N13*'Resource Planning'!P13/12</f>
        <v/>
      </c>
      <c r="O7" s="945">
        <f>'Resource Planning'!J14*'Resource Planning'!N13*'Resource Planning'!P13/12</f>
        <v/>
      </c>
      <c r="P7" s="945">
        <f>'Resource Planning'!J14*'Resource Planning'!N13*'Resource Planning'!P13/12</f>
        <v/>
      </c>
      <c r="Q7" s="945">
        <f>'Resource Planning'!J14*'Resource Planning'!N13*'Resource Planning'!P13/12</f>
        <v/>
      </c>
      <c r="R7" s="950">
        <f>SUM(F7:Q7)</f>
        <v/>
      </c>
      <c r="S7" s="948" t="n">
        <v>0</v>
      </c>
      <c r="T7" s="948" t="n">
        <v>0</v>
      </c>
      <c r="U7" s="945" t="n"/>
      <c r="V7" s="945" t="n"/>
    </row>
    <row r="8" outlineLevel="1" ht="15" customHeight="1">
      <c r="A8" s="294" t="inlineStr">
        <is>
          <t>C</t>
        </is>
      </c>
      <c r="E8" s="295" t="inlineStr">
        <is>
          <t>Antunes, Ricardo</t>
        </is>
      </c>
      <c r="F8" s="944" t="n">
        <v>0</v>
      </c>
      <c r="G8" s="944" t="n">
        <v>0</v>
      </c>
      <c r="H8" s="944" t="n">
        <v>0</v>
      </c>
      <c r="I8" s="944" t="n">
        <v>0</v>
      </c>
      <c r="J8" s="944" t="n">
        <v>0</v>
      </c>
      <c r="K8" s="944" t="n">
        <v>0</v>
      </c>
      <c r="L8" s="944" t="n">
        <v>0</v>
      </c>
      <c r="M8" s="945">
        <f>'Resource Planning'!J15*'Resource Planning'!N13*'Resource Planning'!P13/12</f>
        <v/>
      </c>
      <c r="N8" s="945">
        <f>'Resource Planning'!J15*'Resource Planning'!N13*'Resource Planning'!P13/12</f>
        <v/>
      </c>
      <c r="O8" s="945">
        <f>'Resource Planning'!J15*'Resource Planning'!N13*'Resource Planning'!P13/12</f>
        <v/>
      </c>
      <c r="P8" s="945">
        <f>'Resource Planning'!J15*'Resource Planning'!N13*'Resource Planning'!P13/12</f>
        <v/>
      </c>
      <c r="Q8" s="945">
        <f>'Resource Planning'!J15*'Resource Planning'!N13*'Resource Planning'!P13/12</f>
        <v/>
      </c>
      <c r="R8" s="950">
        <f>SUM(F8:Q8)</f>
        <v/>
      </c>
      <c r="S8" s="948" t="n">
        <v>0</v>
      </c>
      <c r="T8" s="948" t="n">
        <v>0</v>
      </c>
      <c r="U8" s="945" t="n"/>
      <c r="V8" s="945" t="n"/>
    </row>
    <row r="9" outlineLevel="1" ht="15" customFormat="1" customHeight="1" s="302">
      <c r="A9" s="303" t="n"/>
      <c r="B9" s="303" t="n">
        <v>4</v>
      </c>
      <c r="C9" s="303" t="n">
        <v>5240</v>
      </c>
      <c r="D9" s="636" t="n"/>
      <c r="E9" s="304" t="inlineStr">
        <is>
          <t>Test - ARE 5240</t>
        </is>
      </c>
      <c r="F9" s="951">
        <f>SUM(F3:F8)</f>
        <v/>
      </c>
      <c r="G9" s="951">
        <f>SUM(G3:G8)</f>
        <v/>
      </c>
      <c r="H9" s="951">
        <f>SUM(H3:H8)</f>
        <v/>
      </c>
      <c r="I9" s="951">
        <f>SUM(I3:I8)</f>
        <v/>
      </c>
      <c r="J9" s="951">
        <f>SUM(J3:J8)</f>
        <v/>
      </c>
      <c r="K9" s="951">
        <f>SUM(K3:K8)</f>
        <v/>
      </c>
      <c r="L9" s="951">
        <f>SUM(L3:L6)</f>
        <v/>
      </c>
      <c r="M9" s="951">
        <f>SUM(M3:M6)</f>
        <v/>
      </c>
      <c r="N9" s="952">
        <f>SUM(N3:N6)</f>
        <v/>
      </c>
      <c r="O9" s="952">
        <f>SUM(O3:O6)</f>
        <v/>
      </c>
      <c r="P9" s="952">
        <f>SUM(P3:P6)</f>
        <v/>
      </c>
      <c r="Q9" s="952">
        <f>SUM(Q3:Q6)</f>
        <v/>
      </c>
      <c r="R9" s="953">
        <f>SUM(R3:R8)</f>
        <v/>
      </c>
      <c r="S9" s="954">
        <f>SUM(S3:S8)</f>
        <v/>
      </c>
      <c r="T9" s="954">
        <f>SUM(T3:T6)</f>
        <v/>
      </c>
      <c r="U9" s="954">
        <f>SUM(U3:U6)</f>
        <v/>
      </c>
      <c r="V9" s="954">
        <f>SUM(T9-R9)</f>
        <v/>
      </c>
      <c r="W9" s="309" t="n"/>
    </row>
    <row r="10" outlineLevel="1" ht="15" customHeight="1">
      <c r="A10" s="294" t="inlineStr">
        <is>
          <t>A</t>
        </is>
      </c>
      <c r="B10" s="30" t="n">
        <v>5</v>
      </c>
      <c r="C10" s="294" t="inlineStr">
        <is>
          <t>int</t>
        </is>
      </c>
      <c r="E10" s="295" t="inlineStr">
        <is>
          <t>Helbing, Bjoern</t>
        </is>
      </c>
      <c r="F10" s="947" t="n">
        <v>7262</v>
      </c>
      <c r="G10" s="947" t="n">
        <v>5187</v>
      </c>
      <c r="H10" s="947" t="n">
        <v>4841</v>
      </c>
      <c r="I10" s="947" t="n">
        <v>6310</v>
      </c>
      <c r="J10" s="947" t="n">
        <v>5187</v>
      </c>
      <c r="K10" s="947" t="n">
        <v>4755</v>
      </c>
      <c r="L10" s="947" t="n">
        <v>520</v>
      </c>
      <c r="M10" s="947" t="n">
        <v>468</v>
      </c>
      <c r="N10" s="945">
        <f>'Resource Planning'!J3*'Resource Planning'!N3*'Resource Planning'!P3/12</f>
        <v/>
      </c>
      <c r="O10" s="945">
        <f>'Resource Planning'!J3*'Resource Planning'!N3*'Resource Planning'!P3/12</f>
        <v/>
      </c>
      <c r="P10" s="945">
        <f>'Resource Planning'!J3*'Resource Planning'!N3*'Resource Planning'!P3/12</f>
        <v/>
      </c>
      <c r="Q10" s="945">
        <f>'Resource Planning'!J3*'Resource Planning'!N3*'Resource Planning'!P3/12</f>
        <v/>
      </c>
      <c r="R10" s="950">
        <f>SUM(F10:Q10)</f>
        <v/>
      </c>
      <c r="S10" s="945" t="n">
        <v>71440</v>
      </c>
      <c r="T10" s="945" t="n">
        <v>71760</v>
      </c>
      <c r="U10" s="945">
        <f>'Resource Planning'!J3*'Resource Planning'!N3*'Resource Planning'!P3</f>
        <v/>
      </c>
      <c r="V10" s="945">
        <f>SUM(T10-R10)</f>
        <v/>
      </c>
      <c r="W10" s="955" t="n"/>
      <c r="X10" s="302" t="n"/>
    </row>
    <row r="11" outlineLevel="1" ht="15" customHeight="1">
      <c r="A11" s="294" t="inlineStr">
        <is>
          <t>B</t>
        </is>
      </c>
      <c r="B11" s="30" t="n">
        <v>4</v>
      </c>
      <c r="C11" s="294" t="n">
        <v>5290</v>
      </c>
      <c r="E11" s="295" t="inlineStr">
        <is>
          <t>Fernandes Redondo, Amanda</t>
        </is>
      </c>
      <c r="F11" s="944" t="n">
        <v>0</v>
      </c>
      <c r="G11" s="944" t="n">
        <v>0</v>
      </c>
      <c r="H11" s="944" t="n">
        <v>0</v>
      </c>
      <c r="I11" s="944" t="n">
        <v>0</v>
      </c>
      <c r="J11" s="944" t="n">
        <v>0</v>
      </c>
      <c r="K11" s="944" t="n">
        <v>0</v>
      </c>
      <c r="L11" s="944" t="n">
        <v>0</v>
      </c>
      <c r="M11" s="945">
        <f>'Resource Planning'!J4*'Resource Planning'!N4*'Resource Planning'!P4/12</f>
        <v/>
      </c>
      <c r="N11" s="945">
        <f>'Resource Planning'!J4*'Resource Planning'!N4*'Resource Planning'!P4/12</f>
        <v/>
      </c>
      <c r="O11" s="945">
        <f>'Resource Planning'!J4*'Resource Planning'!N4*'Resource Planning'!P4/12</f>
        <v/>
      </c>
      <c r="P11" s="945">
        <f>'Resource Planning'!J4*'Resource Planning'!N4*'Resource Planning'!P4/12</f>
        <v/>
      </c>
      <c r="Q11" s="945">
        <f>'Resource Planning'!J4*'Resource Planning'!N4*'Resource Planning'!P4/12</f>
        <v/>
      </c>
      <c r="R11" s="950">
        <f>SUM(F11:Q11)</f>
        <v/>
      </c>
      <c r="S11" s="945" t="n">
        <v>0</v>
      </c>
      <c r="T11" s="945" t="n">
        <v>0</v>
      </c>
      <c r="U11" s="945" t="n"/>
      <c r="V11" s="945">
        <f>SUM(T11-R11)</f>
        <v/>
      </c>
    </row>
    <row r="12" outlineLevel="1" ht="15" customHeight="1">
      <c r="A12" s="294" t="inlineStr">
        <is>
          <t>B</t>
        </is>
      </c>
      <c r="B12" s="30" t="n">
        <v>4</v>
      </c>
      <c r="C12" s="294" t="n">
        <v>5290</v>
      </c>
      <c r="E12" s="295" t="inlineStr">
        <is>
          <t>Zouine, Meryem</t>
        </is>
      </c>
      <c r="F12" s="947" t="n">
        <v>9520</v>
      </c>
      <c r="G12" s="947" t="n">
        <v>8400</v>
      </c>
      <c r="H12" s="947" t="n">
        <v>10080</v>
      </c>
      <c r="I12" s="947" t="n">
        <v>9331</v>
      </c>
      <c r="J12" s="947" t="n">
        <v>6895</v>
      </c>
      <c r="K12" s="944" t="n">
        <v>0</v>
      </c>
      <c r="L12" s="947" t="n">
        <v>1435</v>
      </c>
      <c r="M12" s="945" t="n">
        <v>0</v>
      </c>
      <c r="N12" s="945">
        <f>'Resource Planning'!J5*'Resource Planning'!N5*'Resource Planning'!P5/12</f>
        <v/>
      </c>
      <c r="O12" s="945">
        <f>'Resource Planning'!J5*'Resource Planning'!N5*'Resource Planning'!P5/12</f>
        <v/>
      </c>
      <c r="P12" s="945">
        <f>'Resource Planning'!J5*'Resource Planning'!N5*'Resource Planning'!P5/12</f>
        <v/>
      </c>
      <c r="Q12" s="945">
        <f>'Resource Planning'!J5*'Resource Planning'!N5*'Resource Planning'!P5/12</f>
        <v/>
      </c>
      <c r="R12" s="950">
        <f>SUM(F12:Q12)</f>
        <v/>
      </c>
      <c r="S12" s="945" t="n">
        <v>104448.8666666667</v>
      </c>
      <c r="T12" s="945" t="n">
        <v>101517</v>
      </c>
      <c r="U12" s="945">
        <f>'Resource Planning'!J5*'Resource Planning'!N5*'Resource Planning'!P5</f>
        <v/>
      </c>
      <c r="V12" s="945">
        <f>SUM(T12-R12)</f>
        <v/>
      </c>
    </row>
    <row r="13" outlineLevel="1" ht="15" customHeight="1">
      <c r="A13" s="294" t="inlineStr">
        <is>
          <t>B</t>
        </is>
      </c>
      <c r="B13" s="30" t="n">
        <v>4</v>
      </c>
      <c r="C13" s="294" t="n">
        <v>5290</v>
      </c>
      <c r="E13" s="295" t="inlineStr">
        <is>
          <t>Cerezo, Alberto</t>
        </is>
      </c>
      <c r="F13" s="944" t="n">
        <v>0</v>
      </c>
      <c r="G13" s="944" t="n">
        <v>0</v>
      </c>
      <c r="H13" s="944" t="n">
        <v>0</v>
      </c>
      <c r="I13" s="944" t="n">
        <v>0</v>
      </c>
      <c r="J13" s="944" t="n">
        <v>0</v>
      </c>
      <c r="K13" s="944" t="n">
        <v>0</v>
      </c>
      <c r="L13" s="944" t="n">
        <v>0</v>
      </c>
      <c r="M13" s="945">
        <f>'Resource Planning'!J6*'Resource Planning'!N6*'Resource Planning'!P6/12</f>
        <v/>
      </c>
      <c r="N13" s="945">
        <f>'Resource Planning'!J6*'Resource Planning'!N6*'Resource Planning'!P6/12</f>
        <v/>
      </c>
      <c r="O13" s="945">
        <f>'Resource Planning'!J6*'Resource Planning'!N6*'Resource Planning'!P6/12</f>
        <v/>
      </c>
      <c r="P13" s="945">
        <f>'Resource Planning'!J6*'Resource Planning'!N6*'Resource Planning'!P6/12</f>
        <v/>
      </c>
      <c r="Q13" s="945">
        <f>'Resource Planning'!J6*'Resource Planning'!N6*'Resource Planning'!P6/12</f>
        <v/>
      </c>
      <c r="R13" s="950">
        <f>SUM(F13:Q13)</f>
        <v/>
      </c>
      <c r="S13" s="945" t="n">
        <v>0</v>
      </c>
      <c r="T13" s="945" t="n">
        <v>0</v>
      </c>
      <c r="U13" s="945" t="n"/>
      <c r="V13" s="945">
        <f>SUM(T13-R13)</f>
        <v/>
      </c>
    </row>
    <row r="14" outlineLevel="1" ht="15" customHeight="1">
      <c r="A14" s="294" t="inlineStr">
        <is>
          <t>A</t>
        </is>
      </c>
      <c r="B14" s="30" t="n">
        <v>5</v>
      </c>
      <c r="C14" s="294" t="inlineStr">
        <is>
          <t>int</t>
        </is>
      </c>
      <c r="E14" s="295" t="inlineStr">
        <is>
          <t>Swoboda, Claudia</t>
        </is>
      </c>
      <c r="F14" s="944" t="n">
        <v>0</v>
      </c>
      <c r="G14" s="944" t="n">
        <v>0</v>
      </c>
      <c r="H14" s="944" t="n">
        <v>0</v>
      </c>
      <c r="I14" s="944" t="n">
        <v>0</v>
      </c>
      <c r="J14" s="944" t="n">
        <v>0</v>
      </c>
      <c r="K14" s="944" t="n">
        <v>0</v>
      </c>
      <c r="L14" s="944" t="n">
        <v>0</v>
      </c>
      <c r="M14" s="945">
        <f>'Resource Planning'!J7*'Resource Planning'!N7*'Resource Planning'!P7/12</f>
        <v/>
      </c>
      <c r="N14" s="945">
        <f>'Resource Planning'!J7*'Resource Planning'!N7*'Resource Planning'!P7/12</f>
        <v/>
      </c>
      <c r="O14" s="945">
        <f>'Resource Planning'!J7*'Resource Planning'!N7*'Resource Planning'!P7/12</f>
        <v/>
      </c>
      <c r="P14" s="945">
        <f>'Resource Planning'!J7*'Resource Planning'!N7*'Resource Planning'!P7/12</f>
        <v/>
      </c>
      <c r="Q14" s="945">
        <f>'Resource Planning'!J7*'Resource Planning'!N7*'Resource Planning'!P7/12</f>
        <v/>
      </c>
      <c r="R14" s="950">
        <f>SUM(F14:Q14)</f>
        <v/>
      </c>
      <c r="S14" s="945" t="n">
        <v>0</v>
      </c>
      <c r="T14" s="945" t="n">
        <v>0</v>
      </c>
      <c r="U14" s="945" t="n"/>
      <c r="V14" s="945">
        <f>SUM(T14-R14)</f>
        <v/>
      </c>
    </row>
    <row r="15" outlineLevel="1" ht="15" customHeight="1">
      <c r="A15" s="311" t="inlineStr">
        <is>
          <t>B</t>
        </is>
      </c>
      <c r="B15" s="127" t="n">
        <v>4</v>
      </c>
      <c r="C15" s="311" t="n">
        <v>5290</v>
      </c>
      <c r="D15" s="311" t="n"/>
      <c r="E15" s="312" t="inlineStr">
        <is>
          <t>Lazaro Bicho, Rita Sofia</t>
        </is>
      </c>
      <c r="F15" s="956" t="n">
        <v>2596</v>
      </c>
      <c r="G15" s="956" t="n">
        <v>1623</v>
      </c>
      <c r="H15" s="956" t="n">
        <v>2921</v>
      </c>
      <c r="I15" s="956" t="n">
        <v>1835</v>
      </c>
      <c r="J15" s="956" t="n">
        <v>1997</v>
      </c>
      <c r="K15" s="956" t="n">
        <v>1400</v>
      </c>
      <c r="L15" s="956" t="n">
        <v>527</v>
      </c>
      <c r="M15" s="956" t="n">
        <v>403</v>
      </c>
      <c r="N15" s="957">
        <f>'Resource Planning'!I11*'Resource Planning'!N8*'Resource Planning'!P8/12</f>
        <v/>
      </c>
      <c r="O15" s="957">
        <f>'Resource Planning'!I11*'Resource Planning'!N8*'Resource Planning'!P8/12</f>
        <v/>
      </c>
      <c r="P15" s="957">
        <f>'Resource Planning'!I11*'Resource Planning'!N8*'Resource Planning'!P8/12</f>
        <v/>
      </c>
      <c r="Q15" s="957">
        <f>'Resource Planning'!I11*'Resource Planning'!N8*'Resource Planning'!P8/12</f>
        <v/>
      </c>
      <c r="R15" s="958">
        <f>SUM(F15:Q15)</f>
        <v/>
      </c>
      <c r="S15" s="957" t="n">
        <v>31534.2888888889</v>
      </c>
      <c r="T15" s="957" t="n">
        <v>33839</v>
      </c>
      <c r="U15" s="957">
        <f>'Resource Planning'!I11*'Resource Planning'!N8*'Resource Planning'!P8</f>
        <v/>
      </c>
      <c r="V15" s="957">
        <f>SUM(T15-R15)</f>
        <v/>
      </c>
      <c r="W15" s="352" t="n"/>
    </row>
    <row r="16" outlineLevel="1" ht="15" customHeight="1">
      <c r="A16" s="294" t="inlineStr">
        <is>
          <t>F</t>
        </is>
      </c>
      <c r="B16" s="294" t="n">
        <v>3</v>
      </c>
      <c r="E16" s="295" t="inlineStr">
        <is>
          <t>DPS Internal Umlage (global)</t>
        </is>
      </c>
      <c r="F16" s="959" t="n">
        <v>0</v>
      </c>
      <c r="G16" s="959" t="n">
        <v>0</v>
      </c>
      <c r="H16" s="959" t="n">
        <v>0</v>
      </c>
      <c r="I16" s="959" t="n">
        <v>0</v>
      </c>
      <c r="J16" s="944" t="n">
        <v>0</v>
      </c>
      <c r="K16" s="944" t="n">
        <v>0</v>
      </c>
      <c r="L16" s="944" t="n">
        <v>0</v>
      </c>
      <c r="M16" s="948" t="n">
        <v>0</v>
      </c>
      <c r="N16" s="948" t="n">
        <v>0</v>
      </c>
      <c r="O16" s="948" t="n">
        <v>0</v>
      </c>
      <c r="P16" s="948" t="n">
        <v>0</v>
      </c>
      <c r="Q16" s="948" t="n">
        <v>0</v>
      </c>
      <c r="R16" s="950">
        <f>SUM(F16:Q16)</f>
        <v/>
      </c>
      <c r="S16" s="945" t="n">
        <v>134832</v>
      </c>
      <c r="T16" s="945">
        <f>137454*75%</f>
        <v/>
      </c>
      <c r="U16" s="945">
        <f>50383*0.75</f>
        <v/>
      </c>
      <c r="V16" s="945">
        <f>SUM(T16-R16)</f>
        <v/>
      </c>
      <c r="W16" s="316" t="inlineStr">
        <is>
          <t>Erhöhung Umlage im Projekt</t>
        </is>
      </c>
    </row>
    <row r="17" outlineLevel="1" ht="15" customFormat="1" customHeight="1" s="318">
      <c r="A17" s="303" t="n"/>
      <c r="B17" s="303" t="n"/>
      <c r="C17" s="303" t="n"/>
      <c r="D17" s="636" t="n"/>
      <c r="E17" s="304" t="inlineStr">
        <is>
          <t>Service Management - ARE 5290 + int.</t>
        </is>
      </c>
      <c r="F17" s="960">
        <f>SUM(F10:F16)</f>
        <v/>
      </c>
      <c r="G17" s="960">
        <f>SUM(G10:G16)</f>
        <v/>
      </c>
      <c r="H17" s="951">
        <f>SUM(H10:H16)</f>
        <v/>
      </c>
      <c r="I17" s="951">
        <f>SUM(I10:I16)</f>
        <v/>
      </c>
      <c r="J17" s="951">
        <f>SUM(J10:J16)</f>
        <v/>
      </c>
      <c r="K17" s="951">
        <f>SUM(K10:K16)</f>
        <v/>
      </c>
      <c r="L17" s="951">
        <f>SUM(L10:L16)</f>
        <v/>
      </c>
      <c r="M17" s="951">
        <f>SUM(M10:M16)</f>
        <v/>
      </c>
      <c r="N17" s="952">
        <f>SUM(N10:N16)</f>
        <v/>
      </c>
      <c r="O17" s="952">
        <f>SUM(O10:O16)</f>
        <v/>
      </c>
      <c r="P17" s="952">
        <f>SUM(P10:P16)</f>
        <v/>
      </c>
      <c r="Q17" s="952">
        <f>SUM(Q10:Q16)</f>
        <v/>
      </c>
      <c r="R17" s="953">
        <f>SUM(R10:R16)</f>
        <v/>
      </c>
      <c r="S17" s="954">
        <f>SUM(S10:S16)</f>
        <v/>
      </c>
      <c r="T17" s="954">
        <f>SUM(T10:T16)</f>
        <v/>
      </c>
      <c r="U17" s="954">
        <f>SUM(U10:U16)</f>
        <v/>
      </c>
      <c r="V17" s="954">
        <f>SUM(T17-R17)</f>
        <v/>
      </c>
      <c r="W17" s="304" t="n"/>
    </row>
    <row r="18" outlineLevel="1" ht="15" customHeight="1">
      <c r="A18" s="294" t="inlineStr">
        <is>
          <t>A</t>
        </is>
      </c>
      <c r="E18" s="295" t="inlineStr">
        <is>
          <t>JCC</t>
        </is>
      </c>
      <c r="F18" s="944" t="n">
        <v>0</v>
      </c>
      <c r="G18" s="944" t="n">
        <v>0</v>
      </c>
      <c r="H18" s="944" t="n">
        <v>0</v>
      </c>
      <c r="I18" s="944" t="n">
        <v>0</v>
      </c>
      <c r="J18" s="944" t="n">
        <v>0</v>
      </c>
      <c r="K18" s="945" t="n"/>
      <c r="L18" s="945" t="n"/>
      <c r="M18" s="945" t="n"/>
      <c r="N18" s="948" t="n"/>
      <c r="O18" s="948" t="n"/>
      <c r="P18" s="948" t="n"/>
      <c r="Q18" s="948" t="n"/>
      <c r="R18" s="950">
        <f>SUM(F18:Q18)</f>
        <v/>
      </c>
      <c r="S18" s="945" t="n">
        <v>5000</v>
      </c>
      <c r="T18" s="945" t="n">
        <v>5000</v>
      </c>
      <c r="U18" s="945" t="n">
        <v>5000</v>
      </c>
      <c r="V18" s="945">
        <f>SUM(T18-R18)</f>
        <v/>
      </c>
    </row>
    <row r="19" outlineLevel="1" ht="15" customHeight="1">
      <c r="A19" s="294" t="inlineStr">
        <is>
          <t>A</t>
        </is>
      </c>
      <c r="E19" s="295" t="inlineStr">
        <is>
          <t>CHCM (Eviden)</t>
        </is>
      </c>
      <c r="F19" s="944" t="n">
        <v>0</v>
      </c>
      <c r="G19" s="944" t="n">
        <v>0</v>
      </c>
      <c r="H19" s="944" t="n">
        <v>0</v>
      </c>
      <c r="I19" s="944" t="n">
        <v>0</v>
      </c>
      <c r="J19" s="944" t="n">
        <v>0</v>
      </c>
      <c r="K19" s="945" t="n"/>
      <c r="L19" s="945" t="n"/>
      <c r="M19" s="945" t="n"/>
      <c r="N19" s="945" t="n"/>
      <c r="O19" s="945" t="n"/>
      <c r="P19" s="945" t="n"/>
      <c r="Q19" s="945" t="n"/>
      <c r="R19" s="950">
        <f>SUM(F19:Q19)</f>
        <v/>
      </c>
      <c r="S19" s="945" t="n">
        <v>10000</v>
      </c>
      <c r="T19" s="945" t="n">
        <v>10000</v>
      </c>
      <c r="U19" s="945" t="n">
        <v>10000</v>
      </c>
      <c r="V19" s="945">
        <f>SUM(T19-R19)</f>
        <v/>
      </c>
    </row>
    <row r="20" outlineLevel="1" ht="15" customFormat="1" customHeight="1" s="302">
      <c r="A20" s="294" t="inlineStr">
        <is>
          <t>A</t>
        </is>
      </c>
      <c r="B20" s="294" t="n"/>
      <c r="C20" s="294" t="n"/>
      <c r="D20" s="294" t="n"/>
      <c r="E20" s="295" t="inlineStr">
        <is>
          <t>AWS Encryption Key (KMS for Eightfold; GBS)</t>
        </is>
      </c>
      <c r="F20" s="944" t="n">
        <v>50</v>
      </c>
      <c r="G20" s="944" t="n">
        <v>50</v>
      </c>
      <c r="H20" s="944" t="n">
        <v>50</v>
      </c>
      <c r="I20" s="944" t="n">
        <v>50</v>
      </c>
      <c r="J20" s="944" t="n">
        <v>50</v>
      </c>
      <c r="K20" s="944" t="n">
        <v>50</v>
      </c>
      <c r="L20" s="944" t="n">
        <v>50</v>
      </c>
      <c r="M20" s="945" t="n">
        <v>50</v>
      </c>
      <c r="N20" s="945" t="n">
        <v>50</v>
      </c>
      <c r="O20" s="945" t="n">
        <v>50</v>
      </c>
      <c r="P20" s="945" t="n">
        <v>50</v>
      </c>
      <c r="Q20" s="945" t="n">
        <v>50</v>
      </c>
      <c r="R20" s="961">
        <f>SUM(F20:Q20)</f>
        <v/>
      </c>
      <c r="S20" s="962" t="n">
        <v>600</v>
      </c>
      <c r="T20" s="962">
        <f>SUM(R20-S20)</f>
        <v/>
      </c>
      <c r="U20" s="300" t="n"/>
    </row>
    <row r="21" outlineLevel="1" ht="15" customHeight="1">
      <c r="A21" s="294" t="inlineStr">
        <is>
          <t>A</t>
        </is>
      </c>
      <c r="E21" s="295" t="inlineStr">
        <is>
          <t>DirX (Ext)/(SAG Global)</t>
        </is>
      </c>
      <c r="F21" s="944" t="n">
        <v>1634</v>
      </c>
      <c r="G21" s="944" t="n">
        <v>23</v>
      </c>
      <c r="H21" s="944" t="n">
        <v>-35</v>
      </c>
      <c r="I21" s="944" t="n">
        <v>805</v>
      </c>
      <c r="J21" s="944" t="n">
        <v>0</v>
      </c>
      <c r="K21" s="945" t="n"/>
      <c r="M21" s="945" t="n"/>
      <c r="N21" s="945" t="n"/>
      <c r="O21" s="945" t="n"/>
      <c r="P21" s="945" t="n"/>
      <c r="Q21" s="945" t="n"/>
      <c r="R21" s="950">
        <f>SUM(F21:Q21)</f>
        <v/>
      </c>
      <c r="S21" s="945" t="n">
        <v>20000</v>
      </c>
      <c r="T21" s="945" t="n">
        <v>20000</v>
      </c>
      <c r="U21" s="945" t="n">
        <v>20000</v>
      </c>
      <c r="V21" s="945">
        <f>SUM(T21-R21)</f>
        <v/>
      </c>
    </row>
    <row r="22" outlineLevel="1" ht="15" customHeight="1">
      <c r="A22" s="303" t="n"/>
      <c r="B22" s="303" t="n">
        <v>3</v>
      </c>
      <c r="C22" s="303" t="n"/>
      <c r="D22" s="303" t="n"/>
      <c r="E22" s="304" t="inlineStr">
        <is>
          <t>Integrations DPS</t>
        </is>
      </c>
      <c r="F22" s="960">
        <f>SUM(F18:F21)</f>
        <v/>
      </c>
      <c r="G22" s="960">
        <f>SUM(G18:G21)</f>
        <v/>
      </c>
      <c r="H22" s="951">
        <f>SUM(H18:H21)</f>
        <v/>
      </c>
      <c r="I22" s="951">
        <f>SUM(I18:I21)</f>
        <v/>
      </c>
      <c r="J22" s="951">
        <f>SUM(J18:J21)</f>
        <v/>
      </c>
      <c r="K22" s="954">
        <f>SUM(K18:K21)</f>
        <v/>
      </c>
      <c r="L22" s="954">
        <f>SUM(L18:L21)</f>
        <v/>
      </c>
      <c r="M22" s="954">
        <f>SUM(M18:M21)</f>
        <v/>
      </c>
      <c r="N22" s="954">
        <f>SUM(N18:N21)</f>
        <v/>
      </c>
      <c r="O22" s="954">
        <f>SUM(O18:O21)</f>
        <v/>
      </c>
      <c r="P22" s="954">
        <f>SUM(P18:P21)</f>
        <v/>
      </c>
      <c r="Q22" s="954">
        <f>SUM(Q18:Q21)</f>
        <v/>
      </c>
      <c r="R22" s="953">
        <f>SUM(R18:R21)</f>
        <v/>
      </c>
      <c r="S22" s="954">
        <f>SUM(S18:S21)</f>
        <v/>
      </c>
      <c r="T22" s="954">
        <f>SUM(T18:T21)</f>
        <v/>
      </c>
      <c r="U22" s="954">
        <f>SUM(U18:U21)</f>
        <v/>
      </c>
      <c r="V22" s="954">
        <f>SUM(T22-R22)</f>
        <v/>
      </c>
      <c r="W22" s="319" t="n"/>
    </row>
    <row r="23" outlineLevel="1" ht="15" customFormat="1" customHeight="1" s="318">
      <c r="A23" s="303" t="n"/>
      <c r="B23" s="303" t="n"/>
      <c r="C23" s="303" t="n"/>
      <c r="D23" s="636" t="inlineStr">
        <is>
          <t>GBS</t>
        </is>
      </c>
      <c r="E23" s="304" t="inlineStr">
        <is>
          <t>GBS total</t>
        </is>
      </c>
      <c r="F23" s="960">
        <f>F9+F17+F22</f>
        <v/>
      </c>
      <c r="G23" s="960">
        <f>G9+G17+G22</f>
        <v/>
      </c>
      <c r="H23" s="960">
        <f>H9+H17+H22</f>
        <v/>
      </c>
      <c r="I23" s="960">
        <f>I9+I17+I22</f>
        <v/>
      </c>
      <c r="J23" s="960">
        <f>J9+J17+J22</f>
        <v/>
      </c>
      <c r="K23" s="960">
        <f>K9+K17+K22</f>
        <v/>
      </c>
      <c r="L23" s="960">
        <f>L9+L17+L22</f>
        <v/>
      </c>
      <c r="M23" s="954">
        <f>M9+M17+M22</f>
        <v/>
      </c>
      <c r="N23" s="954">
        <f>N9+N17+N22</f>
        <v/>
      </c>
      <c r="O23" s="954">
        <f>O9+O17+O22</f>
        <v/>
      </c>
      <c r="P23" s="954">
        <f>P9+P17+P22</f>
        <v/>
      </c>
      <c r="Q23" s="963">
        <f>Q9+Q17+Q22</f>
        <v/>
      </c>
      <c r="R23" s="953">
        <f>R9+R17+R22</f>
        <v/>
      </c>
      <c r="S23" s="954" t="n"/>
      <c r="T23" s="954" t="n"/>
      <c r="U23" s="954" t="n"/>
      <c r="V23" s="954" t="n"/>
      <c r="W23" s="304" t="n"/>
    </row>
    <row r="24" outlineLevel="1" ht="15" customHeight="1">
      <c r="A24" s="294" t="inlineStr">
        <is>
          <t>E</t>
        </is>
      </c>
      <c r="D24" s="294" t="inlineStr">
        <is>
          <t>TuP</t>
        </is>
      </c>
      <c r="E24" s="295" t="inlineStr">
        <is>
          <t>TRE (Tupu) PO</t>
        </is>
      </c>
      <c r="F24" s="945" t="n"/>
      <c r="G24" s="945" t="n"/>
      <c r="H24" s="945" t="n"/>
      <c r="I24" s="945" t="n"/>
      <c r="J24" s="945" t="n"/>
      <c r="K24" s="945" t="n"/>
      <c r="L24" s="945" t="n"/>
      <c r="M24" s="945" t="n"/>
      <c r="N24" s="945" t="n"/>
      <c r="O24" s="945" t="n"/>
      <c r="P24" s="945" t="n"/>
      <c r="Q24" s="945" t="n"/>
      <c r="R24" s="950">
        <f>SUM(F24:Q24)</f>
        <v/>
      </c>
      <c r="S24" s="945" t="n">
        <v>0</v>
      </c>
      <c r="T24" s="945" t="n">
        <v>0</v>
      </c>
      <c r="U24" s="945" t="n"/>
      <c r="V24" s="945">
        <f>SUM(T24-R24)</f>
        <v/>
      </c>
    </row>
    <row r="25" outlineLevel="1" ht="15" customHeight="1">
      <c r="A25" s="294" t="inlineStr">
        <is>
          <t>E</t>
        </is>
      </c>
      <c r="D25" s="294" t="inlineStr">
        <is>
          <t>8F</t>
        </is>
      </c>
      <c r="E25" s="295" t="inlineStr">
        <is>
          <t>Eightfold (PO Q1/2025: 9708791569; Q2-Q4: tbd.)</t>
        </is>
      </c>
      <c r="F25" s="944" t="n">
        <v>30495</v>
      </c>
      <c r="G25" s="944" t="n">
        <v>24259</v>
      </c>
      <c r="H25" s="944" t="n">
        <v>20419.5</v>
      </c>
      <c r="I25" s="944" t="n">
        <v>20732.75</v>
      </c>
      <c r="J25" s="944" t="n">
        <v>7706.5</v>
      </c>
      <c r="K25" s="944" t="n">
        <v>2392.25</v>
      </c>
      <c r="L25" s="944" t="n">
        <v>316.75</v>
      </c>
      <c r="M25" s="944" t="n">
        <v>90.5</v>
      </c>
      <c r="N25" s="945" t="n"/>
      <c r="O25" s="945" t="n"/>
      <c r="P25" s="948" t="n"/>
      <c r="Q25" s="945">
        <f>39911-SUM(I25:P25)</f>
        <v/>
      </c>
      <c r="R25" s="950">
        <f>SUM(F25:Q25)</f>
        <v/>
      </c>
      <c r="S25" s="945" t="n">
        <v>114994.25</v>
      </c>
      <c r="T25" s="945" t="n">
        <v>300000</v>
      </c>
      <c r="U25" s="945" t="n">
        <v>300000</v>
      </c>
      <c r="V25" s="945">
        <f>SUM(T25-R25)</f>
        <v/>
      </c>
      <c r="W25" s="300" t="inlineStr">
        <is>
          <t>1st Quarter (140.442 €)</t>
        </is>
      </c>
    </row>
    <row r="26" outlineLevel="1" ht="15" customHeight="1">
      <c r="A26" s="303" t="n"/>
      <c r="B26" s="303" t="n">
        <v>2</v>
      </c>
      <c r="C26" s="303" t="n"/>
      <c r="D26" s="303" t="inlineStr">
        <is>
          <t>x</t>
        </is>
      </c>
      <c r="E26" s="304" t="inlineStr">
        <is>
          <t>Provider</t>
        </is>
      </c>
      <c r="F26" s="960">
        <f>SUM(F24:F25)</f>
        <v/>
      </c>
      <c r="G26" s="960">
        <f>SUM(G24:G25)</f>
        <v/>
      </c>
      <c r="H26" s="951">
        <f>SUM(H24:H25)</f>
        <v/>
      </c>
      <c r="I26" s="951">
        <f>SUM(I24:I25)</f>
        <v/>
      </c>
      <c r="J26" s="951">
        <f>SUM(J24:J25)</f>
        <v/>
      </c>
      <c r="K26" s="951">
        <f>SUM(K24:K25)</f>
        <v/>
      </c>
      <c r="L26" s="952">
        <f>SUM(L24:L25)</f>
        <v/>
      </c>
      <c r="M26" s="952">
        <f>SUM(M24:M25)</f>
        <v/>
      </c>
      <c r="N26" s="952">
        <f>SUM(N24:N25)</f>
        <v/>
      </c>
      <c r="O26" s="952">
        <f>SUM(O24:O25)</f>
        <v/>
      </c>
      <c r="P26" s="952">
        <f>SUM(P24:P25)</f>
        <v/>
      </c>
      <c r="Q26" s="952">
        <f>SUM(Q24:Q25)</f>
        <v/>
      </c>
      <c r="R26" s="964">
        <f>SUM(R24:R25)</f>
        <v/>
      </c>
      <c r="S26" s="952" t="n">
        <v>114994.25</v>
      </c>
      <c r="T26" s="952">
        <f>SUM(T24:T25)</f>
        <v/>
      </c>
      <c r="U26" s="952">
        <f>SUM(U24:U25)</f>
        <v/>
      </c>
      <c r="V26" s="954">
        <f>SUM(T26-R26)</f>
        <v/>
      </c>
      <c r="W26" s="319" t="n"/>
    </row>
    <row r="27" outlineLevel="1" ht="15" customHeight="1">
      <c r="A27" s="294" t="inlineStr">
        <is>
          <t>D</t>
        </is>
      </c>
      <c r="B27" s="294" t="n">
        <v>2</v>
      </c>
      <c r="D27" s="294" t="inlineStr">
        <is>
          <t>TCYS</t>
        </is>
      </c>
      <c r="E27" s="295" t="inlineStr">
        <is>
          <t>CERT check (pen GBS)</t>
        </is>
      </c>
      <c r="F27" s="945" t="n"/>
      <c r="G27" s="945" t="n"/>
      <c r="H27" s="945" t="n"/>
      <c r="I27" s="945" t="n"/>
      <c r="J27" s="945" t="n"/>
      <c r="K27" s="945" t="n"/>
      <c r="L27" s="945" t="n"/>
      <c r="M27" s="945" t="n"/>
      <c r="N27" s="945" t="n"/>
      <c r="O27" s="945" t="n"/>
      <c r="P27" s="945" t="n"/>
      <c r="Q27" s="945" t="n">
        <v>0</v>
      </c>
      <c r="R27" s="950">
        <f>SUM(F27:Q27)</f>
        <v/>
      </c>
      <c r="S27" s="945" t="n">
        <v>0</v>
      </c>
      <c r="T27" s="945" t="n">
        <v>0</v>
      </c>
      <c r="U27" s="945" t="n">
        <v>0</v>
      </c>
      <c r="V27" s="945">
        <f>SUM(T27-R27)</f>
        <v/>
      </c>
    </row>
    <row r="28" outlineLevel="1" ht="15" customHeight="1">
      <c r="A28" s="294" t="inlineStr">
        <is>
          <t>D</t>
        </is>
      </c>
      <c r="B28" s="294" t="n">
        <v>2</v>
      </c>
      <c r="D28" s="294" t="inlineStr">
        <is>
          <t>TCYS</t>
        </is>
      </c>
      <c r="E28" s="295" t="inlineStr">
        <is>
          <t>Accessibility Test</t>
        </is>
      </c>
      <c r="F28" s="945" t="n"/>
      <c r="G28" s="945" t="n"/>
      <c r="H28" s="945" t="n"/>
      <c r="I28" s="945" t="n"/>
      <c r="J28" s="945" t="n"/>
      <c r="K28" s="945" t="n"/>
      <c r="L28" s="945" t="n"/>
      <c r="M28" s="945" t="n"/>
      <c r="N28" s="945" t="n"/>
      <c r="O28" s="945" t="n"/>
      <c r="P28" s="945" t="n"/>
      <c r="Q28" s="945" t="n">
        <v>0</v>
      </c>
      <c r="R28" s="950">
        <f>SUM(F28:Q28)</f>
        <v/>
      </c>
      <c r="S28" s="945" t="n">
        <v>10000</v>
      </c>
      <c r="T28" s="945" t="n">
        <v>10000</v>
      </c>
      <c r="U28" s="945" t="n">
        <v>10000</v>
      </c>
      <c r="V28" s="945">
        <f>SUM(T28-R28)</f>
        <v/>
      </c>
    </row>
    <row r="29" outlineLevel="1" ht="15" customHeight="1">
      <c r="A29" s="294" t="inlineStr">
        <is>
          <t>D</t>
        </is>
      </c>
      <c r="D29" s="294" t="inlineStr">
        <is>
          <t>Trv</t>
        </is>
      </c>
      <c r="E29" s="295" t="inlineStr">
        <is>
          <t>Travel &amp; Hospitality</t>
        </is>
      </c>
      <c r="F29" s="945" t="n"/>
      <c r="G29" s="945" t="n"/>
      <c r="H29" s="945" t="n"/>
      <c r="I29" s="945" t="n"/>
      <c r="J29" s="945" t="n"/>
      <c r="K29" s="945" t="n"/>
      <c r="L29" s="945" t="n"/>
      <c r="M29" s="945" t="n"/>
      <c r="N29" s="945" t="n"/>
      <c r="O29" s="945" t="n"/>
      <c r="P29" s="945" t="n"/>
      <c r="Q29" s="945" t="n">
        <v>0</v>
      </c>
      <c r="R29" s="950">
        <f>SUM(F29:Q29)</f>
        <v/>
      </c>
      <c r="S29" s="945" t="n">
        <v>50000</v>
      </c>
      <c r="T29" s="945" t="n">
        <v>50000</v>
      </c>
      <c r="U29" s="945" t="n">
        <v>50000</v>
      </c>
      <c r="V29" s="945">
        <f>SUM(T29-R29)</f>
        <v/>
      </c>
    </row>
    <row r="30" outlineLevel="1" ht="15" customHeight="1" thickBot="1">
      <c r="A30" s="304" t="n"/>
      <c r="B30" s="304" t="n"/>
      <c r="C30" s="304" t="n"/>
      <c r="D30" s="636" t="inlineStr">
        <is>
          <t>x</t>
        </is>
      </c>
      <c r="E30" s="304" t="inlineStr">
        <is>
          <t>Additional costs</t>
        </is>
      </c>
      <c r="F30" s="960">
        <f>SUM(F27:F29)</f>
        <v/>
      </c>
      <c r="G30" s="960">
        <f>SUM(G27:G29)</f>
        <v/>
      </c>
      <c r="H30" s="960">
        <f>SUM(H27:H29)</f>
        <v/>
      </c>
      <c r="I30" s="960">
        <f>SUM(I27:I29)</f>
        <v/>
      </c>
      <c r="J30" s="960">
        <f>SUM(J27:J29)</f>
        <v/>
      </c>
      <c r="K30" s="954">
        <f>SUM(K27:K29)</f>
        <v/>
      </c>
      <c r="L30" s="954">
        <f>SUM(L27:L29)</f>
        <v/>
      </c>
      <c r="M30" s="954">
        <f>SUM(M27:M29)</f>
        <v/>
      </c>
      <c r="N30" s="954">
        <f>SUM(N27:N29)</f>
        <v/>
      </c>
      <c r="O30" s="954">
        <f>SUM(O27:O29)</f>
        <v/>
      </c>
      <c r="P30" s="954">
        <f>SUM(P27:P29)</f>
        <v/>
      </c>
      <c r="Q30" s="954">
        <f>SUM(Q27:Q29)</f>
        <v/>
      </c>
      <c r="R30" s="953">
        <f>SUM(R27:R29)</f>
        <v/>
      </c>
      <c r="S30" s="954" t="n">
        <v>60000</v>
      </c>
      <c r="T30" s="954">
        <f>SUM(T27:T29)</f>
        <v/>
      </c>
      <c r="U30" s="954">
        <f>SUM(U27:U29)</f>
        <v/>
      </c>
      <c r="V30" s="954">
        <f>SUM(T30-R30)</f>
        <v/>
      </c>
      <c r="W30" s="319" t="n"/>
    </row>
    <row r="31" ht="15" customHeight="1">
      <c r="A31" s="320" t="n"/>
      <c r="B31" s="320" t="n"/>
      <c r="C31" s="320" t="n"/>
      <c r="D31" s="648" t="inlineStr">
        <is>
          <t>x</t>
        </is>
      </c>
      <c r="E31" s="321" t="inlineStr">
        <is>
          <t>Total Costs</t>
        </is>
      </c>
      <c r="F31" s="965">
        <f>F9+F17+F22+F26+F30</f>
        <v/>
      </c>
      <c r="G31" s="965">
        <f>G9+G17+G22+G26+G30</f>
        <v/>
      </c>
      <c r="H31" s="965">
        <f>H9+H17+H22+H26+H30</f>
        <v/>
      </c>
      <c r="I31" s="965">
        <f>I9+I17+I22+I26+I30</f>
        <v/>
      </c>
      <c r="J31" s="965">
        <f>J9+J17+J22+J26+J30</f>
        <v/>
      </c>
      <c r="K31" s="965">
        <f>K9+K17+K22+K26+K30</f>
        <v/>
      </c>
      <c r="L31" s="965">
        <f>L9+L17+L22+L26+L30</f>
        <v/>
      </c>
      <c r="M31" s="966">
        <f>M9+M17+M22+M26+M30</f>
        <v/>
      </c>
      <c r="N31" s="966">
        <f>N9+N17+N22+N26+N30</f>
        <v/>
      </c>
      <c r="O31" s="966">
        <f>O9+O17+O22+O26+O30</f>
        <v/>
      </c>
      <c r="P31" s="966">
        <f>P9+P17+P22+P26+P30</f>
        <v/>
      </c>
      <c r="Q31" s="966">
        <f>Q9+Q17+Q22+Q26+Q30</f>
        <v/>
      </c>
      <c r="R31" s="967">
        <f>R9+R17+R22+R26+R30</f>
        <v/>
      </c>
      <c r="S31" s="968">
        <f>S9+S17+S22+S30+S26</f>
        <v/>
      </c>
      <c r="T31" s="968">
        <f>T9+T17+T22+T30+T26</f>
        <v/>
      </c>
      <c r="U31" s="966">
        <f>U9+U17+U22+U26+U30</f>
        <v/>
      </c>
      <c r="V31" s="968">
        <f>SUM(T31-R31)</f>
        <v/>
      </c>
      <c r="W31" s="320" t="n"/>
      <c r="X31" s="346" t="inlineStr">
        <is>
          <t>Revenue</t>
        </is>
      </c>
      <c r="Y31" s="969">
        <f>R31*Y32+R31</f>
        <v/>
      </c>
    </row>
    <row r="32" ht="15" customHeight="1" thickBot="1">
      <c r="A32" s="320" t="n"/>
      <c r="B32" s="320" t="n"/>
      <c r="C32" s="320" t="n"/>
      <c r="D32" s="648" t="inlineStr">
        <is>
          <t>x</t>
        </is>
      </c>
      <c r="E32" s="403" t="inlineStr">
        <is>
          <t>Accumulated costs Eightfold Crew</t>
        </is>
      </c>
      <c r="F32" s="965">
        <f>SUM(F31)</f>
        <v/>
      </c>
      <c r="G32" s="965">
        <f>F32+G31</f>
        <v/>
      </c>
      <c r="H32" s="965">
        <f>G32+H31</f>
        <v/>
      </c>
      <c r="I32" s="965">
        <f>H32+I31</f>
        <v/>
      </c>
      <c r="J32" s="965">
        <f>I32+J31</f>
        <v/>
      </c>
      <c r="K32" s="965">
        <f>J32+K31</f>
        <v/>
      </c>
      <c r="L32" s="965">
        <f>K32+L31</f>
        <v/>
      </c>
      <c r="M32" s="966">
        <f>L32+M31</f>
        <v/>
      </c>
      <c r="N32" s="966">
        <f>M32+N31</f>
        <v/>
      </c>
      <c r="O32" s="966">
        <f>N32+O31</f>
        <v/>
      </c>
      <c r="P32" s="966">
        <f>O32+P31</f>
        <v/>
      </c>
      <c r="Q32" s="966">
        <f>P32+Q31</f>
        <v/>
      </c>
      <c r="R32" s="970">
        <f>R9+R17+R22+R26+R30</f>
        <v/>
      </c>
      <c r="S32" s="966">
        <f>S9+S17+S22+S30+S26</f>
        <v/>
      </c>
      <c r="T32" s="968" t="n"/>
      <c r="U32" s="968" t="n"/>
      <c r="V32" s="968" t="n"/>
      <c r="W32" s="320" t="n"/>
      <c r="X32" s="348" t="inlineStr">
        <is>
          <t>Profit Margin</t>
        </is>
      </c>
      <c r="Y32" s="349" t="n">
        <v>0.05</v>
      </c>
    </row>
    <row r="33" ht="17.4" customHeight="1">
      <c r="C33" s="294" t="inlineStr">
        <is>
          <t>x</t>
        </is>
      </c>
      <c r="Q33" s="971" t="n"/>
      <c r="R33" s="390" t="n"/>
      <c r="S33" s="390" t="n"/>
    </row>
    <row r="34" ht="21" customFormat="1" customHeight="1" s="341" thickBot="1">
      <c r="A34" s="337" t="n"/>
      <c r="B34" s="337" t="n"/>
      <c r="C34" s="337" t="n"/>
      <c r="D34" s="337" t="inlineStr">
        <is>
          <t>x</t>
        </is>
      </c>
      <c r="E34" s="848" t="inlineStr">
        <is>
          <t>Avature Crew</t>
        </is>
      </c>
      <c r="F34" s="339" t="n"/>
      <c r="G34" s="339" t="n"/>
      <c r="H34" s="339" t="n"/>
      <c r="I34" s="339" t="n"/>
      <c r="J34" s="339" t="n"/>
      <c r="K34" s="339" t="n"/>
      <c r="L34" s="339" t="n"/>
      <c r="M34" s="339" t="n"/>
      <c r="N34" s="339" t="n"/>
      <c r="O34" s="339" t="n"/>
      <c r="P34" s="339" t="n"/>
      <c r="Q34" s="339" t="n"/>
      <c r="R34" s="340" t="n"/>
      <c r="S34" s="340" t="n"/>
      <c r="T34" s="340" t="n"/>
      <c r="U34" s="340" t="n"/>
      <c r="V34" s="340" t="n"/>
      <c r="W34" s="340" t="n"/>
    </row>
    <row r="35" outlineLevel="1">
      <c r="A35" s="294" t="inlineStr">
        <is>
          <t>C</t>
        </is>
      </c>
      <c r="E35" s="295" t="inlineStr">
        <is>
          <t>Magro, Daniel</t>
        </is>
      </c>
      <c r="F35" s="944" t="n">
        <v>0</v>
      </c>
      <c r="G35" s="944" t="n">
        <v>0</v>
      </c>
      <c r="H35" s="944" t="n">
        <v>0</v>
      </c>
      <c r="I35" s="944" t="n">
        <v>0</v>
      </c>
      <c r="J35" s="944" t="n">
        <v>0</v>
      </c>
      <c r="K35" s="944" t="n">
        <v>0</v>
      </c>
      <c r="L35" s="944" t="n">
        <v>0</v>
      </c>
      <c r="M35" s="945">
        <f>'Resource Planning'!K10*'Resource Planning'!N10*'Resource Planning'!P10/12</f>
        <v/>
      </c>
      <c r="N35" s="945">
        <f>'Resource Planning'!K10*'Resource Planning'!N10*'Resource Planning'!P10/12</f>
        <v/>
      </c>
      <c r="O35" s="945">
        <f>'Resource Planning'!K10*'Resource Planning'!N10*'Resource Planning'!P10/12</f>
        <v/>
      </c>
      <c r="P35" s="945">
        <f>'Resource Planning'!K10*'Resource Planning'!N10*'Resource Planning'!P10/12</f>
        <v/>
      </c>
      <c r="Q35" s="945">
        <f>'Resource Planning'!K10*'Resource Planning'!N10*'Resource Planning'!P10/12</f>
        <v/>
      </c>
      <c r="R35" s="946">
        <f>SUM(F35:Q35)</f>
        <v/>
      </c>
      <c r="S35" s="945" t="n">
        <v>0</v>
      </c>
      <c r="T35" s="945" t="n">
        <v>0</v>
      </c>
      <c r="U35" s="945">
        <f>'Resource Planning'!K10*'Resource Planning'!N10*'Resource Planning'!P10</f>
        <v/>
      </c>
      <c r="V35" s="945">
        <f>SUM(T35-R35)</f>
        <v/>
      </c>
      <c r="Y35" s="972" t="n"/>
      <c r="Z35" s="733" t="n"/>
    </row>
    <row r="36" outlineLevel="1">
      <c r="A36" s="301" t="inlineStr">
        <is>
          <t>C</t>
        </is>
      </c>
      <c r="B36" s="301" t="n"/>
      <c r="C36" s="301" t="n"/>
      <c r="E36" s="295" t="inlineStr">
        <is>
          <t>Rosa, Claudia (ext)</t>
        </is>
      </c>
      <c r="F36" s="944" t="n">
        <v>0</v>
      </c>
      <c r="G36" s="944">
        <f>'Resource Planning'!K45*'Resource Planning'!N45*'Resource Planning'!P45/12</f>
        <v/>
      </c>
      <c r="H36" s="944">
        <f>'Resource Planning'!L45*'Resource Planning'!O45*'Resource Planning'!Q45/12</f>
        <v/>
      </c>
      <c r="I36" s="944">
        <f>'Resource Planning'!M45*'Resource Planning'!P45*'Resource Planning'!R45/12</f>
        <v/>
      </c>
      <c r="J36" s="944" t="n">
        <v>0</v>
      </c>
      <c r="K36" s="944" t="n">
        <v>0</v>
      </c>
      <c r="L36" s="944" t="n">
        <v>0</v>
      </c>
      <c r="M36" s="948">
        <f>'Resource Planning'!K11*'Resource Planning'!N11*'Resource Planning'!P11/12</f>
        <v/>
      </c>
      <c r="N36" s="948">
        <f>'Resource Planning'!K11*'Resource Planning'!N11*'Resource Planning'!P11/12</f>
        <v/>
      </c>
      <c r="O36" s="948">
        <f>'Resource Planning'!K11*'Resource Planning'!N11*'Resource Planning'!P11/12</f>
        <v/>
      </c>
      <c r="P36" s="948">
        <f>'Resource Planning'!K11*'Resource Planning'!N11*'Resource Planning'!P11/12</f>
        <v/>
      </c>
      <c r="Q36" s="948">
        <f>'Resource Planning'!K11*'Resource Planning'!N11*'Resource Planning'!P11/12</f>
        <v/>
      </c>
      <c r="R36" s="949">
        <f>SUM(F36:Q36)</f>
        <v/>
      </c>
      <c r="S36" s="948" t="n">
        <v>0</v>
      </c>
      <c r="T36" s="948" t="n">
        <v>0</v>
      </c>
      <c r="U36" s="948">
        <f>'Resource Planning'!K11*'Resource Planning'!N11*'Resource Planning'!P11</f>
        <v/>
      </c>
      <c r="V36" s="945">
        <f>SUM(T36-R36)</f>
        <v/>
      </c>
      <c r="W36" s="302" t="n"/>
    </row>
    <row r="37" outlineLevel="1">
      <c r="A37" s="294" t="inlineStr">
        <is>
          <t>C</t>
        </is>
      </c>
      <c r="E37" s="295" t="inlineStr">
        <is>
          <t>Matos Oliveira, Rita</t>
        </is>
      </c>
      <c r="F37" s="944" t="n">
        <v>0</v>
      </c>
      <c r="G37" s="944" t="n">
        <v>0</v>
      </c>
      <c r="H37" s="944" t="n">
        <v>0</v>
      </c>
      <c r="I37" s="944" t="n">
        <v>0</v>
      </c>
      <c r="J37" s="944" t="n">
        <v>0</v>
      </c>
      <c r="K37" s="945" t="n"/>
      <c r="L37" s="947" t="n">
        <v>4320</v>
      </c>
      <c r="M37" s="947" t="n">
        <v>5400</v>
      </c>
      <c r="N37" s="945">
        <f>'Resource Planning'!K12*'Resource Planning'!N12*'Resource Planning'!P12/12</f>
        <v/>
      </c>
      <c r="O37" s="945">
        <f>'Resource Planning'!K12*'Resource Planning'!N12*'Resource Planning'!P12/12</f>
        <v/>
      </c>
      <c r="P37" s="945">
        <f>'Resource Planning'!K12*'Resource Planning'!N12*'Resource Planning'!P12/12</f>
        <v/>
      </c>
      <c r="Q37" s="945">
        <f>'Resource Planning'!K12*'Resource Planning'!N12*'Resource Planning'!P12/12</f>
        <v/>
      </c>
      <c r="R37" s="950">
        <f>SUM(F37:Q37)</f>
        <v/>
      </c>
      <c r="S37" s="945" t="n">
        <v>0</v>
      </c>
      <c r="T37" s="945" t="n">
        <v>0</v>
      </c>
      <c r="U37" s="945">
        <f>'Resource Planning'!K12*'Resource Planning'!N12*'Resource Planning'!P12</f>
        <v/>
      </c>
      <c r="V37" s="945">
        <f>SUM(T37-R37)</f>
        <v/>
      </c>
    </row>
    <row r="38" outlineLevel="1">
      <c r="A38" s="294" t="inlineStr">
        <is>
          <t>C</t>
        </is>
      </c>
      <c r="E38" s="295" t="inlineStr">
        <is>
          <t>Pires, Filipe</t>
        </is>
      </c>
      <c r="F38" s="947" t="n">
        <v>7920</v>
      </c>
      <c r="G38" s="947" t="n">
        <v>6840</v>
      </c>
      <c r="H38" s="947" t="n">
        <v>5760</v>
      </c>
      <c r="I38" s="947" t="n">
        <v>6120</v>
      </c>
      <c r="J38" s="947" t="n">
        <v>6840</v>
      </c>
      <c r="K38" s="947" t="n">
        <v>3240</v>
      </c>
      <c r="L38" s="947" t="n">
        <v>5400</v>
      </c>
      <c r="M38" s="947" t="n">
        <v>5400</v>
      </c>
      <c r="N38" s="945">
        <f>'Resource Planning'!K13*'Resource Planning'!N13*'Resource Planning'!P13/12</f>
        <v/>
      </c>
      <c r="O38" s="945">
        <f>'Resource Planning'!K13*'Resource Planning'!N13*'Resource Planning'!P13/12</f>
        <v/>
      </c>
      <c r="P38" s="945">
        <f>'Resource Planning'!K13*'Resource Planning'!N13*'Resource Planning'!P13/12</f>
        <v/>
      </c>
      <c r="Q38" s="945">
        <f>'Resource Planning'!K13*'Resource Planning'!N13*'Resource Planning'!P13/12</f>
        <v/>
      </c>
      <c r="R38" s="950">
        <f>SUM(F38:Q38)</f>
        <v/>
      </c>
      <c r="S38" s="945" t="n">
        <v>77640</v>
      </c>
      <c r="T38" s="945" t="n">
        <v>76500</v>
      </c>
      <c r="U38" s="945">
        <f>'Resource Planning'!K13*'Resource Planning'!N13*'Resource Planning'!P13</f>
        <v/>
      </c>
      <c r="V38" s="945">
        <f>SUM(T38-R38)</f>
        <v/>
      </c>
    </row>
    <row r="39" outlineLevel="1">
      <c r="A39" s="294" t="inlineStr">
        <is>
          <t>C</t>
        </is>
      </c>
      <c r="E39" s="295" t="inlineStr">
        <is>
          <t>Plácido, Andreia</t>
        </is>
      </c>
      <c r="F39" s="944" t="n">
        <v>0</v>
      </c>
      <c r="G39" s="944" t="n">
        <v>0</v>
      </c>
      <c r="H39" s="944" t="n">
        <v>0</v>
      </c>
      <c r="I39" s="944" t="n">
        <v>0</v>
      </c>
      <c r="J39" s="944" t="n">
        <v>0</v>
      </c>
      <c r="K39" s="944" t="n">
        <v>0</v>
      </c>
      <c r="L39" s="944" t="n">
        <v>0</v>
      </c>
      <c r="M39" s="945">
        <f>'Resource Planning'!K14*'Resource Planning'!N14*'Resource Planning'!P14/12</f>
        <v/>
      </c>
      <c r="N39" s="945">
        <f>'Resource Planning'!K14*'Resource Planning'!N14*'Resource Planning'!P14/12</f>
        <v/>
      </c>
      <c r="O39" s="945">
        <f>'Resource Planning'!K14*'Resource Planning'!N14*'Resource Planning'!P14/12</f>
        <v/>
      </c>
      <c r="P39" s="945">
        <f>'Resource Planning'!K14*'Resource Planning'!N14*'Resource Planning'!P14/12</f>
        <v/>
      </c>
      <c r="Q39" s="945">
        <f>'Resource Planning'!K14*'Resource Planning'!N14*'Resource Planning'!P14/12</f>
        <v/>
      </c>
      <c r="R39" s="950">
        <f>SUM(F39:Q39)</f>
        <v/>
      </c>
      <c r="S39" s="948" t="n">
        <v>0</v>
      </c>
      <c r="T39" s="945" t="n"/>
      <c r="U39" s="945" t="n"/>
      <c r="V39" s="945" t="n"/>
    </row>
    <row r="40" outlineLevel="1">
      <c r="A40" s="294" t="inlineStr">
        <is>
          <t>C</t>
        </is>
      </c>
      <c r="E40" s="295" t="inlineStr">
        <is>
          <t>Antunes, Ricardo</t>
        </is>
      </c>
      <c r="F40" s="944" t="n">
        <v>0</v>
      </c>
      <c r="G40" s="944" t="n">
        <v>0</v>
      </c>
      <c r="H40" s="944" t="n">
        <v>0</v>
      </c>
      <c r="I40" s="944" t="n">
        <v>0</v>
      </c>
      <c r="J40" s="944" t="n">
        <v>0</v>
      </c>
      <c r="K40" s="944" t="n">
        <v>0</v>
      </c>
      <c r="L40" s="944" t="n">
        <v>0</v>
      </c>
      <c r="M40" s="945">
        <f>'Resource Planning'!K15*'Resource Planning'!O15*'Resource Planning'!Q15/12</f>
        <v/>
      </c>
      <c r="N40" s="945">
        <f>'Resource Planning'!K15*'Resource Planning'!O15*'Resource Planning'!Q15/12</f>
        <v/>
      </c>
      <c r="O40" s="945">
        <f>'Resource Planning'!K15*'Resource Planning'!O15*'Resource Planning'!Q15/12</f>
        <v/>
      </c>
      <c r="P40" s="945">
        <f>'Resource Planning'!K15*'Resource Planning'!O15*'Resource Planning'!Q15/12</f>
        <v/>
      </c>
      <c r="Q40" s="945">
        <f>'Resource Planning'!K15*'Resource Planning'!O15*'Resource Planning'!Q15/12</f>
        <v/>
      </c>
      <c r="R40" s="950">
        <f>SUM(F40:Q40)</f>
        <v/>
      </c>
      <c r="S40" s="948" t="n">
        <v>0</v>
      </c>
      <c r="T40" s="945" t="n"/>
      <c r="U40" s="945" t="n"/>
      <c r="V40" s="945" t="n"/>
    </row>
    <row r="41" outlineLevel="1">
      <c r="A41" s="303" t="n"/>
      <c r="B41" s="303" t="n">
        <v>4</v>
      </c>
      <c r="C41" s="303" t="n">
        <v>5240</v>
      </c>
      <c r="D41" s="636" t="n"/>
      <c r="E41" s="304" t="inlineStr">
        <is>
          <t>Test - ARE 5240</t>
        </is>
      </c>
      <c r="F41" s="951">
        <f>SUM(F35:F40)</f>
        <v/>
      </c>
      <c r="G41" s="951">
        <f>SUM(G35:G40)</f>
        <v/>
      </c>
      <c r="H41" s="951">
        <f>SUM(H35:H40)</f>
        <v/>
      </c>
      <c r="I41" s="951">
        <f>SUM(I35:I40)</f>
        <v/>
      </c>
      <c r="J41" s="951">
        <f>SUM(J35:J40)</f>
        <v/>
      </c>
      <c r="K41" s="951">
        <f>SUM(K35:K40)</f>
        <v/>
      </c>
      <c r="L41" s="951">
        <f>SUM(L35:L40)</f>
        <v/>
      </c>
      <c r="M41" s="951">
        <f>SUM(M35:M40)</f>
        <v/>
      </c>
      <c r="N41" s="952">
        <f>SUM(N35:N40)</f>
        <v/>
      </c>
      <c r="O41" s="952">
        <f>SUM(O35:O40)</f>
        <v/>
      </c>
      <c r="P41" s="952">
        <f>SUM(P35:P40)</f>
        <v/>
      </c>
      <c r="Q41" s="952">
        <f>SUM(Q35:Q40)</f>
        <v/>
      </c>
      <c r="R41" s="952">
        <f>SUM(R35:R40)</f>
        <v/>
      </c>
      <c r="S41" s="954">
        <f>SUM(S35:S38)</f>
        <v/>
      </c>
      <c r="T41" s="954">
        <f>SUM(T35:T38)</f>
        <v/>
      </c>
      <c r="U41" s="954">
        <f>SUM(U35:U38)</f>
        <v/>
      </c>
      <c r="V41" s="962">
        <f>SUM(T41-R41)</f>
        <v/>
      </c>
      <c r="W41" s="309" t="n"/>
    </row>
    <row r="42" outlineLevel="1" ht="12.5" customHeight="1">
      <c r="A42" s="294" t="inlineStr">
        <is>
          <t>A</t>
        </is>
      </c>
      <c r="B42" s="30" t="n">
        <v>5</v>
      </c>
      <c r="C42" s="294" t="inlineStr">
        <is>
          <t>int</t>
        </is>
      </c>
      <c r="E42" s="295" t="inlineStr">
        <is>
          <t>Helbing, Björn</t>
        </is>
      </c>
      <c r="F42" s="947" t="n">
        <v>7289</v>
      </c>
      <c r="G42" s="947" t="n">
        <v>5207</v>
      </c>
      <c r="H42" s="947" t="n">
        <v>4859</v>
      </c>
      <c r="I42" s="947" t="n">
        <v>6595</v>
      </c>
      <c r="J42" s="947" t="n">
        <v>5207</v>
      </c>
      <c r="K42" s="947" t="n">
        <v>6072</v>
      </c>
      <c r="L42" s="947" t="n">
        <v>3380</v>
      </c>
      <c r="M42" s="947" t="n">
        <v>2808</v>
      </c>
      <c r="N42" s="945">
        <f>'Resource Planning'!K3*'Resource Planning'!N3*'Resource Planning'!P3/12</f>
        <v/>
      </c>
      <c r="O42" s="945">
        <f>'Resource Planning'!K3*'Resource Planning'!N3*'Resource Planning'!P3/12</f>
        <v/>
      </c>
      <c r="P42" s="945">
        <f>'Resource Planning'!K3*'Resource Planning'!N3*'Resource Planning'!P3/12</f>
        <v/>
      </c>
      <c r="Q42" s="945">
        <f>'Resource Planning'!K3*'Resource Planning'!N3*'Resource Planning'!P3/12</f>
        <v/>
      </c>
      <c r="R42" s="950">
        <f>SUM(F42:Q42)</f>
        <v/>
      </c>
      <c r="S42" s="945" t="n">
        <v>71790</v>
      </c>
      <c r="T42" s="945" t="n">
        <v>71760.00000000001</v>
      </c>
      <c r="U42" s="945">
        <f>'Resource Planning'!K3*'Resource Planning'!N3*'Resource Planning'!P3</f>
        <v/>
      </c>
      <c r="V42" s="945">
        <f>SUM(T42-R42)</f>
        <v/>
      </c>
    </row>
    <row r="43" outlineLevel="1" ht="12.5" customHeight="1">
      <c r="A43" s="294" t="inlineStr">
        <is>
          <t>B</t>
        </is>
      </c>
      <c r="B43" s="30" t="n">
        <v>4</v>
      </c>
      <c r="C43" s="294" t="n">
        <v>5290</v>
      </c>
      <c r="E43" s="295" t="inlineStr">
        <is>
          <t>Fernandes Redondo, Amanda</t>
        </is>
      </c>
      <c r="F43" s="944" t="n">
        <v>0</v>
      </c>
      <c r="G43" s="944" t="n">
        <v>0</v>
      </c>
      <c r="H43" s="944" t="n">
        <v>0</v>
      </c>
      <c r="I43" s="944" t="n">
        <v>0</v>
      </c>
      <c r="J43" s="944" t="n">
        <v>0</v>
      </c>
      <c r="K43" s="944" t="n">
        <v>0</v>
      </c>
      <c r="L43" s="944" t="n">
        <v>0</v>
      </c>
      <c r="M43" s="944">
        <f>'Resource Planning'!K4*'Resource Planning'!N4*'Resource Planning'!P4/12</f>
        <v/>
      </c>
      <c r="N43" s="945">
        <f>'Resource Planning'!K4*'Resource Planning'!N4*'Resource Planning'!P4/12</f>
        <v/>
      </c>
      <c r="O43" s="945">
        <f>'Resource Planning'!K4*'Resource Planning'!N4*'Resource Planning'!P4/12</f>
        <v/>
      </c>
      <c r="P43" s="945">
        <f>'Resource Planning'!K4*'Resource Planning'!N4*'Resource Planning'!P4/12</f>
        <v/>
      </c>
      <c r="Q43" s="945">
        <f>'Resource Planning'!K4*'Resource Planning'!N4*'Resource Planning'!P4/12</f>
        <v/>
      </c>
      <c r="R43" s="950">
        <f>SUM(F43:Q43)</f>
        <v/>
      </c>
      <c r="S43" s="945" t="n">
        <v>0</v>
      </c>
      <c r="T43" s="945" t="n">
        <v>0</v>
      </c>
      <c r="U43" s="945" t="n"/>
      <c r="V43" s="945">
        <f>SUM(T43-R43)</f>
        <v/>
      </c>
    </row>
    <row r="44" outlineLevel="1" ht="12.5" customHeight="1">
      <c r="A44" s="294" t="inlineStr">
        <is>
          <t>B</t>
        </is>
      </c>
      <c r="B44" s="30" t="n">
        <v>4</v>
      </c>
      <c r="C44" s="294" t="n">
        <v>5290</v>
      </c>
      <c r="E44" s="295" t="inlineStr">
        <is>
          <t>Zouine, Meryem</t>
        </is>
      </c>
      <c r="F44" s="944" t="n">
        <v>0</v>
      </c>
      <c r="G44" s="944" t="n">
        <v>0</v>
      </c>
      <c r="H44" s="944" t="n">
        <v>0</v>
      </c>
      <c r="I44" s="944" t="n">
        <v>0</v>
      </c>
      <c r="J44" s="947" t="n">
        <v>2135</v>
      </c>
      <c r="K44" s="944" t="n">
        <v>0</v>
      </c>
      <c r="L44" s="947" t="n">
        <v>7648</v>
      </c>
      <c r="M44" s="947" t="n">
        <v>1050</v>
      </c>
      <c r="N44" s="945">
        <f>'Resource Planning'!K5*'Resource Planning'!N5*'Resource Planning'!P5/12</f>
        <v/>
      </c>
      <c r="O44" s="945">
        <f>'Resource Planning'!K5*'Resource Planning'!N5*'Resource Planning'!P5/12</f>
        <v/>
      </c>
      <c r="P44" s="945">
        <f>'Resource Planning'!K5*'Resource Planning'!N5*'Resource Planning'!P5/12</f>
        <v/>
      </c>
      <c r="Q44" s="945">
        <f>'Resource Planning'!K5*'Resource Planning'!N5*'Resource Planning'!P5/12</f>
        <v/>
      </c>
      <c r="R44" s="950">
        <f>SUM(F44:Q44)</f>
        <v/>
      </c>
      <c r="S44" s="945" t="n">
        <v>0</v>
      </c>
      <c r="T44" s="945" t="n">
        <v>0</v>
      </c>
      <c r="U44" s="945" t="n"/>
      <c r="V44" s="945">
        <f>SUM(T44-R44)</f>
        <v/>
      </c>
    </row>
    <row r="45" outlineLevel="1" ht="12.5" customHeight="1">
      <c r="A45" s="294" t="inlineStr">
        <is>
          <t>B</t>
        </is>
      </c>
      <c r="B45" s="30" t="n">
        <v>4</v>
      </c>
      <c r="C45" s="294" t="n">
        <v>5290</v>
      </c>
      <c r="E45" s="295" t="inlineStr">
        <is>
          <t>Cerezo, Alberto</t>
        </is>
      </c>
      <c r="F45" s="947" t="n">
        <v>9988</v>
      </c>
      <c r="G45" s="947" t="n">
        <v>7186</v>
      </c>
      <c r="H45" s="947" t="n">
        <v>3898</v>
      </c>
      <c r="I45" s="947" t="n">
        <v>7308</v>
      </c>
      <c r="J45" s="947" t="n">
        <v>2436</v>
      </c>
      <c r="K45" s="947" t="n">
        <v>305</v>
      </c>
      <c r="L45" s="944" t="n">
        <v>0</v>
      </c>
      <c r="M45" s="944">
        <f>'Resource Planning'!K6*'Resource Planning'!N6*'Resource Planning'!P6/12</f>
        <v/>
      </c>
      <c r="N45" s="945">
        <f>'Resource Planning'!K6*'Resource Planning'!N6*'Resource Planning'!P6/12</f>
        <v/>
      </c>
      <c r="O45" s="945">
        <f>'Resource Planning'!K6*'Resource Planning'!N6*'Resource Planning'!P6/12</f>
        <v/>
      </c>
      <c r="P45" s="945">
        <f>'Resource Planning'!K6*'Resource Planning'!N6*'Resource Planning'!P6/12</f>
        <v/>
      </c>
      <c r="Q45" s="945">
        <f>'Resource Planning'!K6*'Resource Planning'!N6*'Resource Planning'!P6/12</f>
        <v/>
      </c>
      <c r="R45" s="950">
        <f>SUM(F45:Q45)</f>
        <v/>
      </c>
      <c r="S45" s="945" t="n">
        <v>96385.40000000002</v>
      </c>
      <c r="T45" s="945" t="n">
        <v>102009.6</v>
      </c>
      <c r="U45" s="945">
        <f>'Resource Planning'!K40*'Resource Planning'!N40*'Resource Planning'!P40</f>
        <v/>
      </c>
      <c r="V45" s="945">
        <f>SUM(T45-R45)</f>
        <v/>
      </c>
    </row>
    <row r="46" outlineLevel="1" ht="12.5" customHeight="1">
      <c r="A46" s="294" t="inlineStr">
        <is>
          <t>A</t>
        </is>
      </c>
      <c r="B46" s="30" t="n">
        <v>5</v>
      </c>
      <c r="C46" s="294" t="inlineStr">
        <is>
          <t>int</t>
        </is>
      </c>
      <c r="E46" s="295" t="inlineStr">
        <is>
          <t>Swoboda, Claudia</t>
        </is>
      </c>
      <c r="F46" s="944" t="n">
        <v>0</v>
      </c>
      <c r="G46" s="944" t="n">
        <v>0</v>
      </c>
      <c r="H46" s="944" t="n">
        <v>0</v>
      </c>
      <c r="I46" s="944" t="n">
        <v>0</v>
      </c>
      <c r="J46" s="944" t="n">
        <v>0</v>
      </c>
      <c r="K46" s="944" t="n">
        <v>0</v>
      </c>
      <c r="L46" s="944" t="n">
        <v>0</v>
      </c>
      <c r="M46" s="944">
        <f>'Resource Planning'!K7*'Resource Planning'!N7*'Resource Planning'!P7/12</f>
        <v/>
      </c>
      <c r="N46" s="945">
        <f>'Resource Planning'!K7*'Resource Planning'!N7*'Resource Planning'!P7/12</f>
        <v/>
      </c>
      <c r="O46" s="945">
        <f>'Resource Planning'!K7*'Resource Planning'!N7*'Resource Planning'!P7/12</f>
        <v/>
      </c>
      <c r="P46" s="945">
        <f>'Resource Planning'!K7*'Resource Planning'!N7*'Resource Planning'!P7/12</f>
        <v/>
      </c>
      <c r="Q46" s="945">
        <f>'Resource Planning'!K7*'Resource Planning'!N7*'Resource Planning'!P7/12</f>
        <v/>
      </c>
      <c r="R46" s="950">
        <f>SUM(F46:Q46)</f>
        <v/>
      </c>
      <c r="S46" s="945" t="n">
        <v>0</v>
      </c>
      <c r="T46" s="945" t="n">
        <v>0</v>
      </c>
      <c r="U46" s="945" t="n"/>
      <c r="V46" s="945">
        <f>SUM(T46-R46)</f>
        <v/>
      </c>
    </row>
    <row r="47" outlineLevel="1" ht="12.5" customHeight="1">
      <c r="A47" s="311" t="inlineStr">
        <is>
          <t>B</t>
        </is>
      </c>
      <c r="B47" s="127" t="n">
        <v>4</v>
      </c>
      <c r="C47" s="311" t="n">
        <v>5290</v>
      </c>
      <c r="D47" s="311" t="n"/>
      <c r="E47" s="312" t="inlineStr">
        <is>
          <t>Bicho, Rita</t>
        </is>
      </c>
      <c r="F47" s="956" t="n">
        <v>2606</v>
      </c>
      <c r="G47" s="956" t="n">
        <v>1629</v>
      </c>
      <c r="H47" s="956" t="n">
        <v>2932</v>
      </c>
      <c r="I47" s="956" t="n">
        <v>2605</v>
      </c>
      <c r="J47" s="956" t="n">
        <v>3124</v>
      </c>
      <c r="K47" s="956" t="n">
        <v>3123</v>
      </c>
      <c r="L47" s="956" t="n">
        <v>1954</v>
      </c>
      <c r="M47" s="956" t="n">
        <v>3074</v>
      </c>
      <c r="N47" s="957">
        <f>'Resource Planning'!K8*'Resource Planning'!N8*'Resource Planning'!P8/12</f>
        <v/>
      </c>
      <c r="O47" s="957">
        <f>'Resource Planning'!K8*'Resource Planning'!N8*'Resource Planning'!P8/12</f>
        <v/>
      </c>
      <c r="P47" s="957">
        <f>'Resource Planning'!K8*'Resource Planning'!N8*'Resource Planning'!P8/12</f>
        <v/>
      </c>
      <c r="Q47" s="957">
        <f>'Resource Planning'!K8*'Resource Planning'!N8*'Resource Planning'!P8/12</f>
        <v/>
      </c>
      <c r="R47" s="958">
        <f>SUM(F47:Q47)</f>
        <v/>
      </c>
      <c r="S47" s="957" t="n">
        <v>31842.2888888889</v>
      </c>
      <c r="T47" s="957" t="n">
        <v>33838.93333333333</v>
      </c>
      <c r="U47" s="957">
        <f>'Resource Planning'!K42*'Resource Planning'!N42*'Resource Planning'!P42</f>
        <v/>
      </c>
      <c r="V47" s="957">
        <f>SUM(T47-R47)</f>
        <v/>
      </c>
      <c r="W47" s="352" t="n"/>
    </row>
    <row r="48" outlineLevel="1">
      <c r="A48" s="294" t="inlineStr">
        <is>
          <t>F</t>
        </is>
      </c>
      <c r="B48" s="294" t="n">
        <v>3</v>
      </c>
      <c r="E48" s="295" t="inlineStr">
        <is>
          <t>DPS Internal Umlage (global)</t>
        </is>
      </c>
      <c r="F48" s="959">
        <f>3750</f>
        <v/>
      </c>
      <c r="G48" s="959">
        <f>3750</f>
        <v/>
      </c>
      <c r="H48" s="959">
        <f>3750</f>
        <v/>
      </c>
      <c r="I48" s="959">
        <f>3750</f>
        <v/>
      </c>
      <c r="J48" s="959">
        <f>3750</f>
        <v/>
      </c>
      <c r="K48" s="944">
        <f>3750</f>
        <v/>
      </c>
      <c r="L48" s="944">
        <f>3750</f>
        <v/>
      </c>
      <c r="M48" s="948">
        <f>3750</f>
        <v/>
      </c>
      <c r="N48" s="948">
        <f>3750</f>
        <v/>
      </c>
      <c r="O48" s="948">
        <f>3750</f>
        <v/>
      </c>
      <c r="P48" s="948">
        <f>3750</f>
        <v/>
      </c>
      <c r="Q48" s="948">
        <f>3750</f>
        <v/>
      </c>
      <c r="R48" s="950">
        <f>SUM(F48:Q48)</f>
        <v/>
      </c>
      <c r="S48" s="945" t="n">
        <v>44940</v>
      </c>
      <c r="T48" s="945">
        <f>137454*25%</f>
        <v/>
      </c>
      <c r="U48" s="945">
        <f>50383*0.25</f>
        <v/>
      </c>
      <c r="V48" s="945">
        <f>SUM(T48-R48)</f>
        <v/>
      </c>
      <c r="W48" s="316" t="inlineStr">
        <is>
          <t>Erhöhung Umlage im Projekt</t>
        </is>
      </c>
    </row>
    <row r="49" outlineLevel="1">
      <c r="A49" s="303" t="n"/>
      <c r="B49" s="303" t="n"/>
      <c r="C49" s="303" t="n"/>
      <c r="D49" s="636" t="n"/>
      <c r="E49" s="304" t="inlineStr">
        <is>
          <t>Service Management - ARE 5290 + int.</t>
        </is>
      </c>
      <c r="F49" s="960">
        <f>SUM(F42:F48)</f>
        <v/>
      </c>
      <c r="G49" s="960">
        <f>SUM(G42:G48)</f>
        <v/>
      </c>
      <c r="H49" s="960">
        <f>SUM(H42:H48)</f>
        <v/>
      </c>
      <c r="I49" s="951">
        <f>SUM(I42:I48)</f>
        <v/>
      </c>
      <c r="J49" s="951">
        <f>SUM(J42:J48)</f>
        <v/>
      </c>
      <c r="K49" s="951">
        <f>SUM(K42:K48)</f>
        <v/>
      </c>
      <c r="L49" s="951">
        <f>SUM(L42:L48)</f>
        <v/>
      </c>
      <c r="M49" s="952">
        <f>SUM(M42:M48)</f>
        <v/>
      </c>
      <c r="N49" s="952">
        <f>SUM(N42:N48)</f>
        <v/>
      </c>
      <c r="O49" s="952">
        <f>SUM(O42:O48)</f>
        <v/>
      </c>
      <c r="P49" s="952">
        <f>SUM(P42:P48)</f>
        <v/>
      </c>
      <c r="Q49" s="952">
        <f>SUM(Q42:Q48)</f>
        <v/>
      </c>
      <c r="R49" s="964">
        <f>SUM(R42:R48)</f>
        <v/>
      </c>
      <c r="S49" s="952">
        <f>SUM(S42:S48)</f>
        <v/>
      </c>
      <c r="T49" s="952">
        <f>SUM(T42:T48)</f>
        <v/>
      </c>
      <c r="U49" s="952">
        <f>SUM(U48:U48)</f>
        <v/>
      </c>
      <c r="V49" s="952">
        <f>SUM(T49-R49)</f>
        <v/>
      </c>
      <c r="W49" s="326" t="n"/>
    </row>
    <row r="50" outlineLevel="1">
      <c r="A50" s="294" t="inlineStr">
        <is>
          <t>A</t>
        </is>
      </c>
      <c r="E50" s="295" t="inlineStr">
        <is>
          <t>JCC</t>
        </is>
      </c>
      <c r="F50" s="944" t="n">
        <v>0</v>
      </c>
      <c r="G50" s="944" t="n">
        <v>0</v>
      </c>
      <c r="H50" s="944" t="n">
        <v>0</v>
      </c>
      <c r="I50" s="944" t="n">
        <v>0</v>
      </c>
      <c r="J50" s="944" t="n">
        <v>0</v>
      </c>
      <c r="K50" s="945" t="n"/>
      <c r="L50" s="945" t="n"/>
      <c r="M50" s="945" t="n"/>
      <c r="N50" s="945" t="n"/>
      <c r="O50" s="945" t="n"/>
      <c r="P50" s="945" t="n"/>
      <c r="Q50" s="945" t="n">
        <v>5000</v>
      </c>
      <c r="R50" s="950">
        <f>SUM(F50:Q50)</f>
        <v/>
      </c>
      <c r="S50" s="945" t="n">
        <v>5000</v>
      </c>
      <c r="T50" s="945" t="n">
        <v>5000</v>
      </c>
      <c r="U50" s="945" t="n">
        <v>5000</v>
      </c>
      <c r="V50" s="945">
        <f>SUM(T50-R50)</f>
        <v/>
      </c>
      <c r="W50" s="316" t="n"/>
    </row>
    <row r="51" outlineLevel="1">
      <c r="A51" s="294" t="inlineStr">
        <is>
          <t>A</t>
        </is>
      </c>
      <c r="E51" s="295" t="inlineStr">
        <is>
          <t xml:space="preserve">CHCM (Eviden) </t>
        </is>
      </c>
      <c r="F51" s="944" t="n">
        <v>0</v>
      </c>
      <c r="G51" s="944" t="n">
        <v>0</v>
      </c>
      <c r="H51" s="944" t="n">
        <v>0</v>
      </c>
      <c r="I51" s="944" t="n">
        <v>0</v>
      </c>
      <c r="J51" s="944" t="n">
        <v>0</v>
      </c>
      <c r="N51" s="945" t="n">
        <v>5000</v>
      </c>
      <c r="O51" s="945" t="n"/>
      <c r="Q51" s="945" t="n">
        <v>5000</v>
      </c>
      <c r="R51" s="950">
        <f>SUM(F51:Q51)</f>
        <v/>
      </c>
      <c r="S51" s="945" t="n">
        <v>10000</v>
      </c>
      <c r="T51" s="945" t="n">
        <v>10000</v>
      </c>
      <c r="U51" s="945" t="n">
        <v>10000</v>
      </c>
      <c r="V51" s="945">
        <f>SUM(T51-R51)</f>
        <v/>
      </c>
      <c r="W51" s="316" t="inlineStr">
        <is>
          <t>Anpassung im Rahmen Migr zu AWS</t>
        </is>
      </c>
    </row>
    <row r="52" outlineLevel="1">
      <c r="E52" s="295" t="inlineStr">
        <is>
          <t>DirX PT -  5240</t>
        </is>
      </c>
      <c r="F52" s="944" t="n"/>
      <c r="G52" s="944" t="n"/>
      <c r="H52" s="944" t="n"/>
      <c r="I52" s="944" t="n"/>
      <c r="J52" s="944" t="n"/>
      <c r="L52" s="944" t="n">
        <v>1211</v>
      </c>
      <c r="M52" s="944" t="n">
        <v>115</v>
      </c>
      <c r="N52" s="945" t="n"/>
      <c r="O52" s="945" t="n"/>
      <c r="Q52" s="945" t="n"/>
      <c r="R52" s="950">
        <f>SUM(F52:Q52)</f>
        <v/>
      </c>
      <c r="S52" s="945" t="n"/>
      <c r="T52" s="945" t="n"/>
      <c r="U52" s="945" t="n"/>
      <c r="V52" s="945" t="n"/>
      <c r="W52" s="316" t="n"/>
    </row>
    <row r="53" outlineLevel="1">
      <c r="A53" s="294" t="inlineStr">
        <is>
          <t>A</t>
        </is>
      </c>
      <c r="E53" s="295" t="inlineStr">
        <is>
          <t>DirX (Eviden)</t>
        </is>
      </c>
      <c r="F53" s="959" t="n">
        <v>57.5</v>
      </c>
      <c r="G53" s="959" t="n"/>
      <c r="H53" s="944" t="n">
        <v>289</v>
      </c>
      <c r="I53" s="944" t="n">
        <v>1074</v>
      </c>
      <c r="J53" s="944" t="n">
        <v>657</v>
      </c>
      <c r="K53" s="944" t="n">
        <v>1793</v>
      </c>
      <c r="M53" s="945" t="n"/>
      <c r="N53" s="945" t="n"/>
      <c r="O53" s="945" t="n"/>
      <c r="Q53" s="945">
        <f>5000-SUM(F53:P53)</f>
        <v/>
      </c>
      <c r="R53" s="950">
        <f>SUM(F53:Q53)</f>
        <v/>
      </c>
      <c r="S53" s="945" t="n">
        <v>5000</v>
      </c>
      <c r="T53" s="945" t="n">
        <v>10000</v>
      </c>
      <c r="U53" s="945" t="n">
        <v>10000</v>
      </c>
      <c r="V53" s="945">
        <f>SUM(T53-R53)</f>
        <v/>
      </c>
      <c r="W53" s="316" t="n"/>
    </row>
    <row r="54" outlineLevel="1">
      <c r="A54" s="303" t="n"/>
      <c r="B54" s="303" t="n">
        <v>3</v>
      </c>
      <c r="C54" s="303" t="n"/>
      <c r="D54" s="636" t="n"/>
      <c r="E54" s="304" t="inlineStr">
        <is>
          <t>Integrations DPS</t>
        </is>
      </c>
      <c r="F54" s="951">
        <f>SUM(F50:F53)</f>
        <v/>
      </c>
      <c r="G54" s="960">
        <f>SUM(G50:G53)</f>
        <v/>
      </c>
      <c r="H54" s="951">
        <f>SUM(H50:H53)</f>
        <v/>
      </c>
      <c r="I54" s="951">
        <f>SUM(I50:I53)</f>
        <v/>
      </c>
      <c r="J54" s="951">
        <f>SUM(J50:J53)</f>
        <v/>
      </c>
      <c r="K54" s="951">
        <f>SUM(K50:K53)</f>
        <v/>
      </c>
      <c r="L54" s="951">
        <f>SUM(L50:L53)</f>
        <v/>
      </c>
      <c r="M54" s="951">
        <f>SUM(M50:M53)</f>
        <v/>
      </c>
      <c r="N54" s="952">
        <f>SUM(N50:N53)</f>
        <v/>
      </c>
      <c r="O54" s="952">
        <f>SUM(O50:O53)</f>
        <v/>
      </c>
      <c r="P54" s="952">
        <f>SUM(P50:P53)</f>
        <v/>
      </c>
      <c r="Q54" s="952">
        <f>SUM(Q50:Q53)</f>
        <v/>
      </c>
      <c r="R54" s="964">
        <f>SUM(R50:R53)</f>
        <v/>
      </c>
      <c r="S54" s="952">
        <f>SUM(S50:S53)</f>
        <v/>
      </c>
      <c r="T54" s="952">
        <f>SUM(T50:T53)</f>
        <v/>
      </c>
      <c r="U54" s="952">
        <f>SUM(U50:U53)</f>
        <v/>
      </c>
      <c r="V54" s="952">
        <f>SUM(T54-R54)</f>
        <v/>
      </c>
      <c r="W54" s="319" t="n"/>
    </row>
    <row r="55" outlineLevel="1">
      <c r="A55" s="303" t="n"/>
      <c r="B55" s="303" t="n"/>
      <c r="C55" s="303" t="n"/>
      <c r="D55" s="636" t="inlineStr">
        <is>
          <t>GBS</t>
        </is>
      </c>
      <c r="E55" s="304" t="inlineStr">
        <is>
          <t>GBS total</t>
        </is>
      </c>
      <c r="F55" s="960">
        <f>F41+F49+F54</f>
        <v/>
      </c>
      <c r="G55" s="960">
        <f>G41+G49+G54</f>
        <v/>
      </c>
      <c r="H55" s="960">
        <f>H41+H49+H54</f>
        <v/>
      </c>
      <c r="I55" s="960">
        <f>I41+I49+I54</f>
        <v/>
      </c>
      <c r="J55" s="960">
        <f>J41+J49+J54</f>
        <v/>
      </c>
      <c r="K55" s="960">
        <f>K41+K49+K54</f>
        <v/>
      </c>
      <c r="L55" s="960">
        <f>L41+L49+L54</f>
        <v/>
      </c>
      <c r="M55" s="954">
        <f>M41+M49+M54</f>
        <v/>
      </c>
      <c r="N55" s="954">
        <f>N41+N49+N54</f>
        <v/>
      </c>
      <c r="O55" s="954">
        <f>O41+O49+O54</f>
        <v/>
      </c>
      <c r="P55" s="954">
        <f>P41+P49+P54</f>
        <v/>
      </c>
      <c r="Q55" s="963">
        <f>Q41+Q49+Q54</f>
        <v/>
      </c>
      <c r="R55" s="964">
        <f>R41+R49+R54</f>
        <v/>
      </c>
      <c r="S55" s="952" t="n"/>
      <c r="T55" s="952" t="n"/>
      <c r="U55" s="952" t="n"/>
      <c r="V55" s="952" t="n"/>
      <c r="W55" s="319" t="n"/>
    </row>
    <row r="56" outlineLevel="1">
      <c r="A56" s="294" t="inlineStr">
        <is>
          <t>E</t>
        </is>
      </c>
      <c r="D56" s="294" t="inlineStr">
        <is>
          <t>TuP</t>
        </is>
      </c>
      <c r="E56" s="295" t="inlineStr">
        <is>
          <t>TRE (Tupu) (PO tbd)</t>
        </is>
      </c>
      <c r="F56" s="959" t="n"/>
      <c r="G56" s="959" t="n"/>
      <c r="H56" s="944" t="n"/>
      <c r="I56" s="945" t="n"/>
      <c r="J56" s="945" t="n"/>
      <c r="K56" s="945" t="n"/>
      <c r="L56" s="945" t="n"/>
      <c r="M56" s="945" t="n"/>
      <c r="N56" s="945" t="n"/>
      <c r="O56" s="945" t="n"/>
      <c r="P56" s="945" t="n"/>
      <c r="Q56" s="945" t="n">
        <v>9500</v>
      </c>
      <c r="R56" s="950">
        <f>SUM(F56:Q56)</f>
        <v/>
      </c>
      <c r="S56" s="945" t="n">
        <v>30000</v>
      </c>
      <c r="T56" s="945" t="n">
        <v>30000</v>
      </c>
      <c r="U56" s="945" t="n">
        <v>30000</v>
      </c>
      <c r="V56" s="945">
        <f>SUM(T56-R56)</f>
        <v/>
      </c>
      <c r="W56" s="318" t="n"/>
    </row>
    <row r="57" outlineLevel="1">
      <c r="A57" s="294" t="inlineStr">
        <is>
          <t>E</t>
        </is>
      </c>
      <c r="D57" s="294" t="inlineStr">
        <is>
          <t>8F</t>
        </is>
      </c>
      <c r="E57" s="295" t="inlineStr">
        <is>
          <t>Eightfold</t>
        </is>
      </c>
      <c r="F57" s="948" t="n"/>
      <c r="G57" s="948" t="n"/>
      <c r="H57" s="948" t="n"/>
      <c r="I57" s="948" t="n"/>
      <c r="J57" s="945" t="n"/>
      <c r="K57" s="945" t="n"/>
      <c r="L57" s="945" t="n"/>
      <c r="M57" s="945" t="n"/>
      <c r="N57" s="945" t="n"/>
      <c r="O57" s="945" t="n"/>
      <c r="P57" s="945" t="n"/>
      <c r="Q57" s="945" t="n">
        <v>0</v>
      </c>
      <c r="R57" s="950">
        <f>SUM(F57:Q57)</f>
        <v/>
      </c>
      <c r="S57" s="945" t="n">
        <v>0</v>
      </c>
      <c r="T57" s="945" t="n">
        <v>0</v>
      </c>
      <c r="U57" s="945" t="n">
        <v>150000</v>
      </c>
      <c r="V57" s="945">
        <f>SUM(T57-R57)</f>
        <v/>
      </c>
    </row>
    <row r="58" outlineLevel="1">
      <c r="A58" s="294" t="inlineStr">
        <is>
          <t>E</t>
        </is>
      </c>
      <c r="D58" s="294" t="inlineStr">
        <is>
          <t>Av</t>
        </is>
      </c>
      <c r="E58" s="295" t="inlineStr">
        <is>
          <t>Avature DT (PO 9708872111)</t>
        </is>
      </c>
      <c r="F58" s="959" t="n">
        <v>93901.5</v>
      </c>
      <c r="G58" s="944" t="n">
        <v>79227.75</v>
      </c>
      <c r="H58" s="944" t="n">
        <v>102582.38</v>
      </c>
      <c r="I58" s="944">
        <f>69216</f>
        <v/>
      </c>
      <c r="J58" s="944" t="n">
        <v>101200.05</v>
      </c>
      <c r="K58" s="944">
        <f>55781.25-15929</f>
        <v/>
      </c>
      <c r="L58" s="944" t="n">
        <v>57164.63</v>
      </c>
      <c r="M58" s="944" t="n">
        <v>80805.89999999999</v>
      </c>
      <c r="N58" s="945" t="n">
        <v>79995.3</v>
      </c>
      <c r="O58" s="945" t="n">
        <v>64881.86</v>
      </c>
      <c r="P58" s="945" t="n">
        <v>62401.5</v>
      </c>
      <c r="Q58" s="945" t="n">
        <v>69195</v>
      </c>
      <c r="R58" s="950">
        <f>SUM(F58:Q58)</f>
        <v/>
      </c>
      <c r="S58" s="945" t="n">
        <v>965493.38</v>
      </c>
      <c r="T58" s="945" t="n">
        <v>1002000</v>
      </c>
      <c r="U58" s="945" t="n">
        <v>578500</v>
      </c>
      <c r="V58" s="945">
        <f>SUM(T58-R58)</f>
        <v/>
      </c>
      <c r="W58" s="316" t="inlineStr">
        <is>
          <t>W2P effort: 313 hours</t>
        </is>
      </c>
    </row>
    <row r="59" outlineLevel="1">
      <c r="A59" s="294" t="inlineStr">
        <is>
          <t>E</t>
        </is>
      </c>
      <c r="D59" s="294" t="inlineStr">
        <is>
          <t>Av</t>
        </is>
      </c>
      <c r="E59" s="295" t="inlineStr">
        <is>
          <t>Avature AM (PO 9708872111)</t>
        </is>
      </c>
      <c r="F59" s="945" t="n"/>
      <c r="G59" s="944">
        <f>372+1488+558+744</f>
        <v/>
      </c>
      <c r="H59" s="944" t="n">
        <v>375</v>
      </c>
      <c r="I59" s="944">
        <f>744+930+3720-279+2604</f>
        <v/>
      </c>
      <c r="J59" s="944" t="n">
        <v>3052</v>
      </c>
      <c r="K59" s="944" t="n">
        <v>3534</v>
      </c>
      <c r="L59" s="973" t="n">
        <v>1116</v>
      </c>
      <c r="Q59" s="955">
        <f>20000-SUM(G59:P59)</f>
        <v/>
      </c>
      <c r="R59" s="950">
        <f>SUM(F59:Q59)</f>
        <v/>
      </c>
      <c r="S59" s="945" t="n">
        <v>20000</v>
      </c>
      <c r="T59" s="945" t="n">
        <v>0</v>
      </c>
      <c r="U59" s="945" t="n"/>
      <c r="V59" s="945">
        <f>SUM(T59-R59)</f>
        <v/>
      </c>
      <c r="W59" s="316" t="n"/>
    </row>
    <row r="60" outlineLevel="1">
      <c r="D60" s="294" t="inlineStr">
        <is>
          <t>Av</t>
        </is>
      </c>
      <c r="E60" s="295" t="inlineStr">
        <is>
          <t>Avature Healthcheck (PO</t>
        </is>
      </c>
      <c r="F60" s="959" t="n"/>
      <c r="G60" s="944" t="n"/>
      <c r="H60" s="944" t="n"/>
      <c r="I60" s="944" t="n"/>
      <c r="J60" s="944" t="n"/>
      <c r="K60" s="974" t="n"/>
      <c r="L60" s="945" t="n"/>
      <c r="M60" s="945" t="n"/>
      <c r="N60" s="945">
        <f>33516/2</f>
        <v/>
      </c>
      <c r="O60" s="945" t="n"/>
      <c r="P60" s="945" t="n"/>
      <c r="Q60" s="945">
        <f>33516/2</f>
        <v/>
      </c>
      <c r="R60" s="950">
        <f>SUM(F60:Q60)</f>
        <v/>
      </c>
      <c r="S60" s="945" t="n"/>
      <c r="T60" s="945" t="n"/>
      <c r="U60" s="945" t="n"/>
      <c r="V60" s="945" t="n"/>
      <c r="W60" s="316" t="n"/>
    </row>
    <row r="61" outlineLevel="1">
      <c r="A61" s="303" t="n"/>
      <c r="B61" s="303" t="n">
        <v>2</v>
      </c>
      <c r="C61" s="303" t="n"/>
      <c r="D61" s="303" t="inlineStr">
        <is>
          <t>x</t>
        </is>
      </c>
      <c r="E61" s="304" t="inlineStr">
        <is>
          <t>Provider</t>
        </is>
      </c>
      <c r="F61" s="960">
        <f>SUM(F56:F60)</f>
        <v/>
      </c>
      <c r="G61" s="960">
        <f>SUM(G56:G60)</f>
        <v/>
      </c>
      <c r="H61" s="951">
        <f>SUM(H56:H60)</f>
        <v/>
      </c>
      <c r="I61" s="951">
        <f>SUM(I56:I60)</f>
        <v/>
      </c>
      <c r="J61" s="951">
        <f>SUM(J56:J60)</f>
        <v/>
      </c>
      <c r="K61" s="951">
        <f>SUM(K56:K60)</f>
        <v/>
      </c>
      <c r="L61" s="951">
        <f>SUM(L56:L60)</f>
        <v/>
      </c>
      <c r="M61" s="951">
        <f>SUM(M56:M60)</f>
        <v/>
      </c>
      <c r="N61" s="954">
        <f>SUM(N56:N60)</f>
        <v/>
      </c>
      <c r="O61" s="954">
        <f>SUM(O56:O60)</f>
        <v/>
      </c>
      <c r="P61" s="954">
        <f>SUM(P56:P60)</f>
        <v/>
      </c>
      <c r="Q61" s="954">
        <f>SUM(Q56:Q60)</f>
        <v/>
      </c>
      <c r="R61" s="953">
        <f>SUM(R56:R60)</f>
        <v/>
      </c>
      <c r="S61" s="954">
        <f>SUM(S56:S60)</f>
        <v/>
      </c>
      <c r="T61" s="954">
        <f>SUM(T56:T60)</f>
        <v/>
      </c>
      <c r="U61" s="954">
        <f>SUM(U56:U60)</f>
        <v/>
      </c>
      <c r="V61" s="954">
        <f>SUM(T61-R61)</f>
        <v/>
      </c>
      <c r="W61" s="319" t="n"/>
    </row>
    <row r="62" outlineLevel="1">
      <c r="A62" s="294" t="inlineStr">
        <is>
          <t>D</t>
        </is>
      </c>
      <c r="B62" s="294" t="n">
        <v>2</v>
      </c>
      <c r="D62" s="294" t="inlineStr">
        <is>
          <t>TCYS</t>
        </is>
      </c>
      <c r="E62" s="295" t="inlineStr">
        <is>
          <t>CERT check (pen GBS)</t>
        </is>
      </c>
      <c r="F62" s="948" t="n"/>
      <c r="G62" s="948" t="n"/>
      <c r="H62" s="948" t="n"/>
      <c r="I62" s="948" t="n"/>
      <c r="J62" s="945" t="n"/>
      <c r="K62" s="945" t="n"/>
      <c r="L62" s="945" t="n"/>
      <c r="M62" s="945" t="n"/>
      <c r="N62" s="945" t="n"/>
      <c r="O62" s="945" t="n"/>
      <c r="P62" s="945" t="n"/>
      <c r="Q62" s="945" t="n"/>
      <c r="R62" s="950">
        <f>SUM(F62:Q62)</f>
        <v/>
      </c>
      <c r="S62" s="945" t="n">
        <v>0</v>
      </c>
      <c r="T62" s="945" t="n">
        <v>0</v>
      </c>
      <c r="U62" s="945" t="n"/>
      <c r="V62" s="945">
        <f>SUM(T62-R62)</f>
        <v/>
      </c>
    </row>
    <row r="63" outlineLevel="1">
      <c r="A63" s="294" t="inlineStr">
        <is>
          <t>D</t>
        </is>
      </c>
      <c r="B63" s="294" t="n">
        <v>2</v>
      </c>
      <c r="D63" s="294" t="inlineStr">
        <is>
          <t>TCYS</t>
        </is>
      </c>
      <c r="E63" s="295" t="inlineStr">
        <is>
          <t>Accessibility Test</t>
        </is>
      </c>
      <c r="F63" s="945" t="n"/>
      <c r="G63" s="945" t="n"/>
      <c r="H63" s="945" t="n"/>
      <c r="I63" s="945" t="n"/>
      <c r="J63" s="945" t="n"/>
      <c r="K63" s="945" t="n"/>
      <c r="L63" s="945" t="n"/>
      <c r="M63" s="945" t="n"/>
      <c r="N63" s="945" t="n"/>
      <c r="O63" s="945" t="n"/>
      <c r="P63" s="945" t="n"/>
      <c r="Q63" s="945" t="n">
        <v>10000</v>
      </c>
      <c r="R63" s="950">
        <f>SUM(F63:Q63)</f>
        <v/>
      </c>
      <c r="S63" s="945" t="n">
        <v>10000</v>
      </c>
      <c r="T63" s="945" t="n">
        <v>10000</v>
      </c>
      <c r="U63" s="945" t="n">
        <v>10000</v>
      </c>
      <c r="V63" s="945">
        <f>SUM(T63-R63)</f>
        <v/>
      </c>
    </row>
    <row r="64" outlineLevel="1">
      <c r="A64" s="294" t="inlineStr">
        <is>
          <t>D</t>
        </is>
      </c>
      <c r="D64" s="294" t="inlineStr">
        <is>
          <t>Trv</t>
        </is>
      </c>
      <c r="E64" s="295" t="inlineStr">
        <is>
          <t>Travel &amp; Hospitality</t>
        </is>
      </c>
      <c r="F64" s="945" t="n"/>
      <c r="G64" s="945" t="n"/>
      <c r="H64" s="945" t="n"/>
      <c r="I64" s="945" t="n"/>
      <c r="J64" s="945" t="n"/>
      <c r="K64" s="945" t="n"/>
      <c r="L64" s="945" t="n"/>
      <c r="M64" s="945" t="n"/>
      <c r="N64" s="945" t="n"/>
      <c r="O64" s="945" t="n"/>
      <c r="P64" s="945" t="n"/>
      <c r="Q64" s="945" t="n"/>
      <c r="R64" s="950">
        <f>SUM(F64:Q64)</f>
        <v/>
      </c>
      <c r="S64" s="945" t="n">
        <v>0</v>
      </c>
      <c r="T64" s="945" t="n">
        <v>0</v>
      </c>
      <c r="U64" s="945" t="n"/>
      <c r="V64" s="945">
        <f>SUM(T64-R64)</f>
        <v/>
      </c>
    </row>
    <row r="65" outlineLevel="1" ht="12" customHeight="1" thickBot="1">
      <c r="A65" s="304" t="n"/>
      <c r="B65" s="304" t="n"/>
      <c r="C65" s="304" t="n"/>
      <c r="D65" s="303" t="inlineStr">
        <is>
          <t>x</t>
        </is>
      </c>
      <c r="E65" s="304" t="inlineStr">
        <is>
          <t>Additional costs</t>
        </is>
      </c>
      <c r="F65" s="960">
        <f>SUM(F62:F64)</f>
        <v/>
      </c>
      <c r="G65" s="960">
        <f>SUM(G62:G64)</f>
        <v/>
      </c>
      <c r="H65" s="960">
        <f>SUM(H62:H64)</f>
        <v/>
      </c>
      <c r="I65" s="960">
        <f>SUM(I62:I64)</f>
        <v/>
      </c>
      <c r="J65" s="954">
        <f>SUM(J62:J64)</f>
        <v/>
      </c>
      <c r="K65" s="954">
        <f>SUM(K62:K64)</f>
        <v/>
      </c>
      <c r="L65" s="954">
        <f>SUM(L62:L64)</f>
        <v/>
      </c>
      <c r="M65" s="954">
        <f>SUM(M62:M64)</f>
        <v/>
      </c>
      <c r="N65" s="954">
        <f>SUM(N62:N64)</f>
        <v/>
      </c>
      <c r="O65" s="954">
        <f>SUM(O62:O64)</f>
        <v/>
      </c>
      <c r="P65" s="954">
        <f>SUM(P62:P64)</f>
        <v/>
      </c>
      <c r="Q65" s="954">
        <f>SUM(Q62:Q64)</f>
        <v/>
      </c>
      <c r="R65" s="953">
        <f>SUM(R62:R64)</f>
        <v/>
      </c>
      <c r="S65" s="954">
        <f>SUM(S62:S64)</f>
        <v/>
      </c>
      <c r="T65" s="954">
        <f>SUM(T62:T64)</f>
        <v/>
      </c>
      <c r="U65" s="954">
        <f>SUM(U62:U64)</f>
        <v/>
      </c>
      <c r="V65" s="975">
        <f>SUM(T65-R65)</f>
        <v/>
      </c>
      <c r="W65" s="319" t="n"/>
    </row>
    <row r="66">
      <c r="A66" s="320" t="n"/>
      <c r="B66" s="320" t="n"/>
      <c r="C66" s="320" t="n"/>
      <c r="D66" s="648" t="inlineStr">
        <is>
          <t>x</t>
        </is>
      </c>
      <c r="E66" s="321" t="inlineStr">
        <is>
          <t>Total costs</t>
        </is>
      </c>
      <c r="F66" s="976">
        <f>F41+F49+F54+F61+F65</f>
        <v/>
      </c>
      <c r="G66" s="976">
        <f>G41+G49+G54+G61+G65</f>
        <v/>
      </c>
      <c r="H66" s="976">
        <f>H41+H49+H54+H61+H65</f>
        <v/>
      </c>
      <c r="I66" s="976">
        <f>I41+I49+I54+I61+I65</f>
        <v/>
      </c>
      <c r="J66" s="965">
        <f>J41+J49+J54+J61+J65</f>
        <v/>
      </c>
      <c r="K66" s="965">
        <f>K41+K49+K54+K61+K65</f>
        <v/>
      </c>
      <c r="L66" s="968">
        <f>L41+L49+L54+L61+L65</f>
        <v/>
      </c>
      <c r="M66" s="968">
        <f>M41+M49+M54+M61+M65</f>
        <v/>
      </c>
      <c r="N66" s="968">
        <f>N41+N49+N54+N61+N65</f>
        <v/>
      </c>
      <c r="O66" s="968">
        <f>O41+O49+O54+O61+O65</f>
        <v/>
      </c>
      <c r="P66" s="968">
        <f>P41+P49+P54+P61+P65</f>
        <v/>
      </c>
      <c r="Q66" s="968">
        <f>Q41+Q49+Q54+Q61+Q65</f>
        <v/>
      </c>
      <c r="R66" s="977">
        <f>R41+R49+R54+R61+R65</f>
        <v/>
      </c>
      <c r="S66" s="968">
        <f>S41+S49+S54+S65+S61</f>
        <v/>
      </c>
      <c r="T66" s="968">
        <f>T41+T49+T54+T65+T61</f>
        <v/>
      </c>
      <c r="U66" s="968">
        <f>U41+U49+U54+U61+U65</f>
        <v/>
      </c>
      <c r="V66" s="968">
        <f>SUM(T66-R66)</f>
        <v/>
      </c>
      <c r="W66" s="320" t="n"/>
      <c r="X66" s="346" t="inlineStr">
        <is>
          <t>Revenue</t>
        </is>
      </c>
      <c r="Y66" s="969">
        <f>(R66*Y67)+R66</f>
        <v/>
      </c>
    </row>
    <row r="67" ht="12" customHeight="1" thickBot="1">
      <c r="A67" s="320" t="n"/>
      <c r="B67" s="320" t="n"/>
      <c r="C67" s="320" t="n"/>
      <c r="D67" s="648" t="inlineStr">
        <is>
          <t>x</t>
        </is>
      </c>
      <c r="E67" s="403" t="inlineStr">
        <is>
          <t>Accumulated costs Avature Crew</t>
        </is>
      </c>
      <c r="F67" s="976">
        <f>SUM(F66)</f>
        <v/>
      </c>
      <c r="G67" s="976">
        <f>F67+G66</f>
        <v/>
      </c>
      <c r="H67" s="976">
        <f>G67+H66</f>
        <v/>
      </c>
      <c r="I67" s="976">
        <f>H67+I66</f>
        <v/>
      </c>
      <c r="J67" s="965">
        <f>I67+J66</f>
        <v/>
      </c>
      <c r="K67" s="965">
        <f>J67+K66</f>
        <v/>
      </c>
      <c r="L67" s="966">
        <f>K67+L66</f>
        <v/>
      </c>
      <c r="M67" s="966">
        <f>L67+M66</f>
        <v/>
      </c>
      <c r="N67" s="966">
        <f>M67+N66</f>
        <v/>
      </c>
      <c r="O67" s="966">
        <f>N67+O66</f>
        <v/>
      </c>
      <c r="P67" s="966">
        <f>O67+P66</f>
        <v/>
      </c>
      <c r="Q67" s="966">
        <f>P67+Q66</f>
        <v/>
      </c>
      <c r="R67" s="970">
        <f>R41+R49+R54+R61+R65</f>
        <v/>
      </c>
      <c r="S67" s="966">
        <f>S41+S49+S54+S65+S61</f>
        <v/>
      </c>
      <c r="T67" s="320" t="n"/>
      <c r="U67" s="968" t="n"/>
      <c r="V67" s="320" t="n"/>
      <c r="W67" s="320" t="n"/>
      <c r="X67" s="348" t="inlineStr">
        <is>
          <t>Profit Margin</t>
        </is>
      </c>
      <c r="Y67" s="349" t="n">
        <v>0.05</v>
      </c>
    </row>
    <row r="68" ht="18.65" customHeight="1">
      <c r="A68" s="300" t="n"/>
      <c r="B68" s="300" t="n"/>
      <c r="C68" s="300" t="inlineStr">
        <is>
          <t>x</t>
        </is>
      </c>
      <c r="D68" s="294" t="inlineStr">
        <is>
          <t>x</t>
        </is>
      </c>
      <c r="E68" s="318" t="n"/>
      <c r="F68" s="962" t="n"/>
      <c r="G68" s="962" t="n"/>
      <c r="H68" s="962" t="n"/>
      <c r="I68" s="962" t="n"/>
      <c r="J68" s="962" t="n"/>
      <c r="K68" s="962" t="n"/>
      <c r="L68" s="962" t="n"/>
      <c r="M68" s="962" t="n"/>
      <c r="N68" s="962" t="n"/>
      <c r="O68" s="962" t="n"/>
      <c r="P68" s="962" t="n"/>
      <c r="Q68" s="962" t="n"/>
      <c r="R68" s="962" t="n"/>
      <c r="S68" s="962" t="n"/>
      <c r="T68" s="962" t="n"/>
      <c r="U68" s="962" t="n"/>
      <c r="V68" s="945" t="n"/>
    </row>
    <row r="69" ht="21" customFormat="1" customHeight="1" s="341" thickBot="1">
      <c r="A69" s="337" t="n"/>
      <c r="B69" s="337" t="n"/>
      <c r="C69" s="337" t="n"/>
      <c r="D69" s="337" t="inlineStr">
        <is>
          <t>x</t>
        </is>
      </c>
      <c r="E69" s="848" t="inlineStr">
        <is>
          <t>Avature ext. Careers Portal Crew</t>
        </is>
      </c>
      <c r="F69" s="339" t="n"/>
      <c r="G69" s="339" t="n"/>
      <c r="H69" s="339" t="n"/>
      <c r="I69" s="339" t="n"/>
      <c r="J69" s="339" t="n"/>
      <c r="K69" s="339" t="n"/>
      <c r="L69" s="339" t="n"/>
      <c r="M69" s="339" t="n"/>
      <c r="N69" s="339" t="n"/>
      <c r="O69" s="339" t="n"/>
      <c r="P69" s="339" t="n"/>
      <c r="Q69" s="339" t="n"/>
      <c r="R69" s="340" t="n"/>
      <c r="S69" s="340" t="n"/>
      <c r="T69" s="340" t="n"/>
      <c r="U69" s="340" t="n"/>
      <c r="V69" s="340" t="n"/>
      <c r="W69" s="340" t="n"/>
    </row>
    <row r="70" outlineLevel="1">
      <c r="A70" s="294" t="inlineStr">
        <is>
          <t>C</t>
        </is>
      </c>
      <c r="E70" s="295" t="inlineStr">
        <is>
          <t>Magro, Daniel</t>
        </is>
      </c>
      <c r="F70" s="944" t="n">
        <v>0</v>
      </c>
      <c r="G70" s="944" t="n">
        <v>0</v>
      </c>
      <c r="H70" s="944" t="n">
        <v>0</v>
      </c>
      <c r="I70" s="944" t="n">
        <v>0</v>
      </c>
      <c r="J70" s="944" t="n">
        <v>0</v>
      </c>
      <c r="K70" s="944" t="n">
        <v>0</v>
      </c>
      <c r="L70" s="944" t="n">
        <v>0</v>
      </c>
      <c r="M70" s="945">
        <f>'Resource Planning'!L10*'Resource Planning'!N10*'Resource Planning'!P10/12</f>
        <v/>
      </c>
      <c r="N70" s="945">
        <f>'Resource Planning'!L10*'Resource Planning'!N10*'Resource Planning'!P10/12</f>
        <v/>
      </c>
      <c r="O70" s="945">
        <f>'Resource Planning'!L10*'Resource Planning'!N10*'Resource Planning'!P10/12</f>
        <v/>
      </c>
      <c r="P70" s="945">
        <f>'Resource Planning'!L10*'Resource Planning'!N10*'Resource Planning'!P10/12</f>
        <v/>
      </c>
      <c r="Q70" s="945">
        <f>'Resource Planning'!L10*'Resource Planning'!N10*'Resource Planning'!P10/12</f>
        <v/>
      </c>
      <c r="R70" s="946">
        <f>SUM(F70:Q70)</f>
        <v/>
      </c>
      <c r="S70" s="945" t="n">
        <v>0</v>
      </c>
      <c r="T70" s="945" t="n"/>
      <c r="U70" s="945" t="n"/>
      <c r="V70" s="945" t="n"/>
      <c r="Y70" s="318" t="n"/>
      <c r="Z70" s="733" t="n"/>
    </row>
    <row r="71" outlineLevel="1">
      <c r="A71" s="301" t="inlineStr">
        <is>
          <t>C</t>
        </is>
      </c>
      <c r="B71" s="301" t="n"/>
      <c r="C71" s="301" t="n"/>
      <c r="E71" s="295" t="inlineStr">
        <is>
          <t>Pires Rosa, Claudia (ext)</t>
        </is>
      </c>
      <c r="F71" s="944" t="n">
        <v>0</v>
      </c>
      <c r="G71" s="944" t="n">
        <v>0</v>
      </c>
      <c r="H71" s="944" t="n">
        <v>0</v>
      </c>
      <c r="I71" s="944" t="n">
        <v>0</v>
      </c>
      <c r="J71" s="944" t="n">
        <v>0</v>
      </c>
      <c r="K71" s="944" t="n">
        <v>0</v>
      </c>
      <c r="L71" s="947" t="n">
        <v>6480</v>
      </c>
      <c r="M71" s="947" t="n">
        <v>3240</v>
      </c>
      <c r="N71" s="948">
        <f>'Resource Planning'!L11*'Resource Planning'!N10*'Resource Planning'!P10/12</f>
        <v/>
      </c>
      <c r="O71" s="948">
        <f>'Resource Planning'!L11*'Resource Planning'!N10*'Resource Planning'!P10/12</f>
        <v/>
      </c>
      <c r="P71" s="948">
        <f>'Resource Planning'!L11*'Resource Planning'!N10*'Resource Planning'!P10/12</f>
        <v/>
      </c>
      <c r="Q71" s="948">
        <f>'Resource Planning'!L11*'Resource Planning'!N10*'Resource Planning'!P10/12</f>
        <v/>
      </c>
      <c r="R71" s="949">
        <f>SUM(F71:Q71)</f>
        <v/>
      </c>
      <c r="S71" s="948" t="n">
        <v>0</v>
      </c>
      <c r="T71" s="948" t="n"/>
      <c r="U71" s="948" t="n"/>
      <c r="V71" s="945" t="n"/>
      <c r="W71" s="302" t="n"/>
    </row>
    <row r="72" outlineLevel="1">
      <c r="A72" s="294" t="inlineStr">
        <is>
          <t>C</t>
        </is>
      </c>
      <c r="E72" s="295" t="inlineStr">
        <is>
          <t>Matos Oliveira, Rita</t>
        </is>
      </c>
      <c r="F72" s="944" t="n">
        <v>0</v>
      </c>
      <c r="G72" s="944" t="n">
        <v>0</v>
      </c>
      <c r="H72" s="944" t="n">
        <v>0</v>
      </c>
      <c r="I72" s="944" t="n">
        <v>0</v>
      </c>
      <c r="J72" s="944" t="n">
        <v>0</v>
      </c>
      <c r="K72" s="944" t="n">
        <v>0</v>
      </c>
      <c r="L72" s="944" t="n">
        <v>0</v>
      </c>
      <c r="M72" s="945">
        <f>'Resource Planning'!K46*'Resource Planning'!N46*'Resource Planning'!P46/12</f>
        <v/>
      </c>
      <c r="N72" s="945">
        <f>'Resource Planning'!K46*'Resource Planning'!N46*'Resource Planning'!P46/12</f>
        <v/>
      </c>
      <c r="O72" s="945">
        <f>'Resource Planning'!K46*'Resource Planning'!N46*'Resource Planning'!P46/12</f>
        <v/>
      </c>
      <c r="P72" s="945">
        <f>'Resource Planning'!K46*'Resource Planning'!N46*'Resource Planning'!P46/12</f>
        <v/>
      </c>
      <c r="Q72" s="945">
        <f>'Resource Planning'!K46*'Resource Planning'!N46*'Resource Planning'!P46/12</f>
        <v/>
      </c>
      <c r="R72" s="950">
        <f>SUM(F72:Q72)</f>
        <v/>
      </c>
      <c r="S72" s="945" t="n">
        <v>0</v>
      </c>
      <c r="T72" s="945" t="n"/>
      <c r="U72" s="945" t="n"/>
      <c r="V72" s="945" t="n"/>
    </row>
    <row r="73" outlineLevel="1">
      <c r="A73" s="294" t="inlineStr">
        <is>
          <t>C</t>
        </is>
      </c>
      <c r="E73" s="295" t="inlineStr">
        <is>
          <t>Pires, Filipe</t>
        </is>
      </c>
      <c r="F73" s="944" t="n">
        <v>0</v>
      </c>
      <c r="G73" s="944" t="n">
        <v>0</v>
      </c>
      <c r="H73" s="944" t="n">
        <v>0</v>
      </c>
      <c r="I73" s="944" t="n">
        <v>0</v>
      </c>
      <c r="J73" s="944" t="n">
        <v>0</v>
      </c>
      <c r="K73" s="944" t="n">
        <v>0</v>
      </c>
      <c r="L73" s="944" t="n">
        <v>0</v>
      </c>
      <c r="M73" s="945">
        <f>'Resource Planning'!K47*'Resource Planning'!N47*'Resource Planning'!P47/12</f>
        <v/>
      </c>
      <c r="N73" s="945">
        <f>'Resource Planning'!K47*'Resource Planning'!N47*'Resource Planning'!P47/12</f>
        <v/>
      </c>
      <c r="O73" s="945">
        <f>'Resource Planning'!K47*'Resource Planning'!N47*'Resource Planning'!P47/12</f>
        <v/>
      </c>
      <c r="P73" s="945">
        <f>'Resource Planning'!K47*'Resource Planning'!N47*'Resource Planning'!P47/12</f>
        <v/>
      </c>
      <c r="Q73" s="945">
        <f>'Resource Planning'!K47*'Resource Planning'!N47*'Resource Planning'!P47/12</f>
        <v/>
      </c>
      <c r="R73" s="950">
        <f>SUM(F73:Q73)</f>
        <v/>
      </c>
      <c r="S73" s="945" t="n">
        <v>0</v>
      </c>
      <c r="T73" s="945" t="n"/>
      <c r="U73" s="945" t="n"/>
      <c r="V73" s="945" t="n"/>
    </row>
    <row r="74" outlineLevel="1">
      <c r="A74" s="294" t="inlineStr">
        <is>
          <t>C</t>
        </is>
      </c>
      <c r="E74" s="295" t="inlineStr">
        <is>
          <t>Moreira Cristo Placido, Andreia Sofia</t>
        </is>
      </c>
      <c r="F74" s="944" t="n">
        <v>0</v>
      </c>
      <c r="G74" s="944" t="n">
        <v>0</v>
      </c>
      <c r="H74" s="944" t="n">
        <v>0</v>
      </c>
      <c r="I74" s="944" t="n">
        <v>0</v>
      </c>
      <c r="J74" s="944" t="n">
        <v>0</v>
      </c>
      <c r="K74" s="947" t="n">
        <v>3744</v>
      </c>
      <c r="L74" s="947" t="n">
        <v>7200</v>
      </c>
      <c r="M74" s="947" t="n">
        <v>7200</v>
      </c>
      <c r="N74" s="945">
        <f>'Resource Planning'!L14*'Resource Planning'!N10*'Resource Planning'!P10/12</f>
        <v/>
      </c>
      <c r="O74" s="945">
        <f>'Resource Planning'!L14*'Resource Planning'!N10*'Resource Planning'!P10/12</f>
        <v/>
      </c>
      <c r="P74" s="945">
        <f>'Resource Planning'!L14*'Resource Planning'!N10*'Resource Planning'!P10/12</f>
        <v/>
      </c>
      <c r="Q74" s="945">
        <f>'Resource Planning'!L14*'Resource Planning'!N10*'Resource Planning'!P10/12</f>
        <v/>
      </c>
      <c r="R74" s="950">
        <f>SUM(F74:Q74)</f>
        <v/>
      </c>
      <c r="S74" s="945" t="n">
        <v>0</v>
      </c>
      <c r="T74" s="945" t="n"/>
      <c r="U74" s="945" t="n"/>
      <c r="V74" s="945" t="n"/>
    </row>
    <row r="75" outlineLevel="1">
      <c r="A75" s="294" t="inlineStr">
        <is>
          <t>C</t>
        </is>
      </c>
      <c r="E75" s="295" t="inlineStr">
        <is>
          <t>Antunes, Ricardo</t>
        </is>
      </c>
      <c r="F75" s="944" t="n">
        <v>0</v>
      </c>
      <c r="G75" s="944" t="n">
        <v>0</v>
      </c>
      <c r="H75" s="944" t="n">
        <v>0</v>
      </c>
      <c r="I75" s="944" t="n">
        <v>0</v>
      </c>
      <c r="J75" s="944" t="n">
        <v>0</v>
      </c>
      <c r="K75" s="944" t="n">
        <v>0</v>
      </c>
      <c r="L75" s="944" t="n">
        <v>0</v>
      </c>
      <c r="M75" s="945">
        <f>'Resource Planning'!L15*'Resource Planning'!N10*'Resource Planning'!P10/12</f>
        <v/>
      </c>
      <c r="N75" s="945">
        <f>'Resource Planning'!L15*'Resource Planning'!N10*'Resource Planning'!P10/12</f>
        <v/>
      </c>
      <c r="O75" s="945">
        <f>'Resource Planning'!L15*'Resource Planning'!N10*'Resource Planning'!P10/12</f>
        <v/>
      </c>
      <c r="P75" s="945">
        <f>'Resource Planning'!L15*'Resource Planning'!N10*'Resource Planning'!P10/12</f>
        <v/>
      </c>
      <c r="Q75" s="945">
        <f>'Resource Planning'!L15*'Resource Planning'!N10*'Resource Planning'!P10/12</f>
        <v/>
      </c>
      <c r="R75" s="950">
        <f>SUM(F75:Q75)</f>
        <v/>
      </c>
      <c r="S75" s="945" t="n">
        <v>0</v>
      </c>
      <c r="T75" s="945" t="n"/>
      <c r="U75" s="945" t="n"/>
      <c r="V75" s="945" t="n"/>
    </row>
    <row r="76" outlineLevel="1">
      <c r="A76" s="303" t="n"/>
      <c r="B76" s="303" t="n">
        <v>4</v>
      </c>
      <c r="C76" s="303" t="n">
        <v>5240</v>
      </c>
      <c r="D76" s="636" t="n"/>
      <c r="E76" s="304" t="inlineStr">
        <is>
          <t>Test - ARE 5240</t>
        </is>
      </c>
      <c r="F76" s="951">
        <f>SUM(F70:F75)</f>
        <v/>
      </c>
      <c r="G76" s="951">
        <f>SUM(G70:G75)</f>
        <v/>
      </c>
      <c r="H76" s="951">
        <f>SUM(H70:H75)</f>
        <v/>
      </c>
      <c r="I76" s="951">
        <f>SUM(I70:I75)</f>
        <v/>
      </c>
      <c r="J76" s="951">
        <f>SUM(J70:J75)</f>
        <v/>
      </c>
      <c r="K76" s="951">
        <f>SUM(K70:K75)</f>
        <v/>
      </c>
      <c r="L76" s="951">
        <f>SUM(L70:L75)</f>
        <v/>
      </c>
      <c r="M76" s="951">
        <f>SUM(M70:M75)</f>
        <v/>
      </c>
      <c r="N76" s="952">
        <f>SUM(N70:N75)</f>
        <v/>
      </c>
      <c r="O76" s="952">
        <f>SUM(O70:O75)</f>
        <v/>
      </c>
      <c r="P76" s="952">
        <f>SUM(P70:P75)</f>
        <v/>
      </c>
      <c r="Q76" s="952">
        <f>SUM(Q70:Q75)</f>
        <v/>
      </c>
      <c r="R76" s="953">
        <f>SUM(R70:R75)</f>
        <v/>
      </c>
      <c r="S76" s="954" t="n">
        <v>0</v>
      </c>
      <c r="T76" s="954" t="n"/>
      <c r="U76" s="954" t="n"/>
      <c r="V76" s="954" t="n"/>
      <c r="W76" s="309" t="n"/>
    </row>
    <row r="77" outlineLevel="1" ht="12.5" customHeight="1">
      <c r="A77" s="294" t="inlineStr">
        <is>
          <t>A</t>
        </is>
      </c>
      <c r="B77" s="30" t="n">
        <v>5</v>
      </c>
      <c r="C77" s="294" t="inlineStr">
        <is>
          <t>int</t>
        </is>
      </c>
      <c r="E77" s="295" t="inlineStr">
        <is>
          <t>Helbing, Björn</t>
        </is>
      </c>
      <c r="F77" s="944" t="n">
        <v>0</v>
      </c>
      <c r="G77" s="944" t="n">
        <v>0</v>
      </c>
      <c r="H77" s="944" t="n">
        <v>0</v>
      </c>
      <c r="I77" s="944" t="n">
        <v>0</v>
      </c>
      <c r="J77" s="944" t="n">
        <v>0</v>
      </c>
      <c r="K77" s="947" t="n">
        <v>1560</v>
      </c>
      <c r="L77" s="947" t="n">
        <v>3380</v>
      </c>
      <c r="M77" s="947" t="n">
        <v>2808</v>
      </c>
      <c r="N77" s="945">
        <f>'Resource Planning'!L3*'Resource Planning'!N3*'Resource Planning'!P3/12</f>
        <v/>
      </c>
      <c r="O77" s="945">
        <f>'Resource Planning'!L3*'Resource Planning'!N3*'Resource Planning'!P3/12</f>
        <v/>
      </c>
      <c r="P77" s="945">
        <f>'Resource Planning'!L3*'Resource Planning'!N3*'Resource Planning'!P3/12</f>
        <v/>
      </c>
      <c r="Q77" s="945">
        <f>'Resource Planning'!L3*'Resource Planning'!N3*'Resource Planning'!P3/12</f>
        <v/>
      </c>
      <c r="R77" s="950">
        <f>SUM(F77:Q77)</f>
        <v/>
      </c>
      <c r="S77" s="945" t="n">
        <v>0</v>
      </c>
      <c r="T77" s="945" t="n"/>
      <c r="U77" s="945" t="n"/>
      <c r="V77" s="945" t="n"/>
    </row>
    <row r="78" outlineLevel="1" ht="12.5" customHeight="1">
      <c r="A78" s="294" t="inlineStr">
        <is>
          <t>B</t>
        </is>
      </c>
      <c r="B78" s="30" t="n">
        <v>4</v>
      </c>
      <c r="C78" s="294" t="n">
        <v>5290</v>
      </c>
      <c r="E78" s="295" t="inlineStr">
        <is>
          <t>Fernandes Redondo, Amanda</t>
        </is>
      </c>
      <c r="F78" s="944" t="n">
        <v>0</v>
      </c>
      <c r="G78" s="944" t="n">
        <v>0</v>
      </c>
      <c r="H78" s="944" t="n">
        <v>0</v>
      </c>
      <c r="I78" s="944" t="n">
        <v>0</v>
      </c>
      <c r="J78" s="944" t="n">
        <v>0</v>
      </c>
      <c r="K78" s="947" t="n">
        <v>183</v>
      </c>
      <c r="L78" s="944" t="n">
        <v>0</v>
      </c>
      <c r="M78" s="945">
        <f>'Resource Planning'!L4*'Resource Planning'!N4*'Resource Planning'!P4/12</f>
        <v/>
      </c>
      <c r="N78" s="945">
        <f>'Resource Planning'!L4*'Resource Planning'!N4*'Resource Planning'!P4/12</f>
        <v/>
      </c>
      <c r="O78" s="945">
        <f>'Resource Planning'!L4*'Resource Planning'!N4*'Resource Planning'!P4/12</f>
        <v/>
      </c>
      <c r="P78" s="945">
        <f>'Resource Planning'!L4*'Resource Planning'!N4*'Resource Planning'!P4/12</f>
        <v/>
      </c>
      <c r="Q78" s="945">
        <f>'Resource Planning'!L4*'Resource Planning'!N4*'Resource Planning'!P4/12</f>
        <v/>
      </c>
      <c r="R78" s="950">
        <f>SUM(F78:Q78)</f>
        <v/>
      </c>
      <c r="S78" s="945" t="n">
        <v>0</v>
      </c>
      <c r="T78" s="945" t="n"/>
      <c r="U78" s="945" t="n"/>
      <c r="V78" s="945" t="n"/>
    </row>
    <row r="79" outlineLevel="1" ht="12.5" customHeight="1">
      <c r="A79" s="294" t="inlineStr">
        <is>
          <t>B</t>
        </is>
      </c>
      <c r="B79" s="30" t="n">
        <v>4</v>
      </c>
      <c r="C79" s="294" t="n">
        <v>5290</v>
      </c>
      <c r="E79" s="295" t="inlineStr">
        <is>
          <t>Zouine, Meryem</t>
        </is>
      </c>
      <c r="F79" s="944" t="n">
        <v>0</v>
      </c>
      <c r="G79" s="944" t="n">
        <v>0</v>
      </c>
      <c r="H79" s="944" t="n">
        <v>0</v>
      </c>
      <c r="I79" s="944" t="n">
        <v>0</v>
      </c>
      <c r="J79" s="944" t="n">
        <v>0</v>
      </c>
      <c r="K79" s="944" t="n">
        <v>0</v>
      </c>
      <c r="L79" s="944" t="n">
        <v>0</v>
      </c>
      <c r="M79" s="945">
        <f>'Resource Planning'!L5*'Resource Planning'!N5*'Resource Planning'!P5/12</f>
        <v/>
      </c>
      <c r="N79" s="945">
        <f>'Resource Planning'!L5*'Resource Planning'!N5*'Resource Planning'!P5/12</f>
        <v/>
      </c>
      <c r="O79" s="945">
        <f>'Resource Planning'!L5*'Resource Planning'!N5*'Resource Planning'!P5/12</f>
        <v/>
      </c>
      <c r="P79" s="945">
        <f>'Resource Planning'!L5*'Resource Planning'!N5*'Resource Planning'!P5/12</f>
        <v/>
      </c>
      <c r="Q79" s="945">
        <f>'Resource Planning'!L5*'Resource Planning'!N5*'Resource Planning'!P5/12</f>
        <v/>
      </c>
      <c r="R79" s="950">
        <f>SUM(F79:Q79)</f>
        <v/>
      </c>
      <c r="S79" s="945" t="n">
        <v>0</v>
      </c>
      <c r="T79" s="945" t="n"/>
      <c r="U79" s="945" t="n"/>
      <c r="V79" s="945" t="n"/>
    </row>
    <row r="80" outlineLevel="1" ht="12.5" customHeight="1">
      <c r="A80" s="294" t="inlineStr">
        <is>
          <t>B</t>
        </is>
      </c>
      <c r="B80" s="30" t="n">
        <v>4</v>
      </c>
      <c r="C80" s="294" t="n">
        <v>5290</v>
      </c>
      <c r="E80" s="295" t="inlineStr">
        <is>
          <t>Cerezo, Alberto</t>
        </is>
      </c>
      <c r="F80" s="944" t="n">
        <v>0</v>
      </c>
      <c r="G80" s="944" t="n">
        <v>0</v>
      </c>
      <c r="H80" s="944" t="n">
        <v>0</v>
      </c>
      <c r="I80" s="944" t="n">
        <v>0</v>
      </c>
      <c r="J80" s="947" t="n">
        <v>7308</v>
      </c>
      <c r="K80" s="947" t="n">
        <v>7004</v>
      </c>
      <c r="L80" s="947" t="n">
        <v>7308</v>
      </c>
      <c r="M80" s="947" t="n">
        <v>7308</v>
      </c>
      <c r="N80" s="945">
        <f>'Resource Planning'!L6*'Resource Planning'!N6*'Resource Planning'!P6/12</f>
        <v/>
      </c>
      <c r="O80" s="945">
        <f>'Resource Planning'!L6*'Resource Planning'!N6*'Resource Planning'!P6/12</f>
        <v/>
      </c>
      <c r="P80" s="945">
        <f>'Resource Planning'!L6*'Resource Planning'!N6*'Resource Planning'!P6/12</f>
        <v/>
      </c>
      <c r="Q80" s="945">
        <f>'Resource Planning'!L6*'Resource Planning'!N6*'Resource Planning'!P6/12</f>
        <v/>
      </c>
      <c r="R80" s="950">
        <f>SUM(F80:Q80)</f>
        <v/>
      </c>
      <c r="S80" s="945" t="n">
        <v>0</v>
      </c>
      <c r="T80" s="945" t="n"/>
      <c r="U80" s="945" t="n"/>
      <c r="V80" s="945" t="n"/>
    </row>
    <row r="81" outlineLevel="1" ht="12.5" customHeight="1">
      <c r="A81" s="294" t="inlineStr">
        <is>
          <t>A</t>
        </is>
      </c>
      <c r="B81" s="30" t="n">
        <v>5</v>
      </c>
      <c r="C81" s="294" t="inlineStr">
        <is>
          <t>int</t>
        </is>
      </c>
      <c r="E81" s="295" t="inlineStr">
        <is>
          <t>Swoboda, Claudia</t>
        </is>
      </c>
      <c r="F81" s="944" t="n">
        <v>0</v>
      </c>
      <c r="G81" s="944" t="n">
        <v>0</v>
      </c>
      <c r="H81" s="944" t="n">
        <v>0</v>
      </c>
      <c r="I81" s="944" t="n">
        <v>0</v>
      </c>
      <c r="J81" s="944" t="n">
        <v>0</v>
      </c>
      <c r="K81" s="944" t="n">
        <v>0</v>
      </c>
      <c r="L81" s="944" t="n">
        <v>0</v>
      </c>
      <c r="M81" s="945">
        <f>'Resource Planning'!L7*'Resource Planning'!N7*'Resource Planning'!P7/12</f>
        <v/>
      </c>
      <c r="N81" s="945">
        <f>'Resource Planning'!L7*'Resource Planning'!N7*'Resource Planning'!P7/12</f>
        <v/>
      </c>
      <c r="O81" s="945">
        <f>'Resource Planning'!L7*'Resource Planning'!N7*'Resource Planning'!P7/12</f>
        <v/>
      </c>
      <c r="P81" s="945">
        <f>'Resource Planning'!L7*'Resource Planning'!N7*'Resource Planning'!P7/12</f>
        <v/>
      </c>
      <c r="Q81" s="945">
        <f>'Resource Planning'!L7*'Resource Planning'!N7*'Resource Planning'!P7/12</f>
        <v/>
      </c>
      <c r="R81" s="950">
        <f>SUM(F81:Q81)</f>
        <v/>
      </c>
      <c r="S81" s="945" t="n">
        <v>0</v>
      </c>
      <c r="T81" s="945" t="n"/>
      <c r="U81" s="945" t="n"/>
      <c r="V81" s="945" t="n"/>
    </row>
    <row r="82" outlineLevel="1" ht="12.5" customHeight="1">
      <c r="A82" s="311" t="inlineStr">
        <is>
          <t>B</t>
        </is>
      </c>
      <c r="B82" s="127" t="n">
        <v>4</v>
      </c>
      <c r="C82" s="311" t="n">
        <v>5290</v>
      </c>
      <c r="D82" s="311" t="n"/>
      <c r="E82" s="312" t="inlineStr">
        <is>
          <t>Bicho, Rita</t>
        </is>
      </c>
      <c r="F82" s="978" t="n">
        <v>0</v>
      </c>
      <c r="G82" s="978" t="n">
        <v>0</v>
      </c>
      <c r="H82" s="978" t="n">
        <v>0</v>
      </c>
      <c r="I82" s="956" t="n">
        <v>325</v>
      </c>
      <c r="J82" s="956" t="n">
        <v>519</v>
      </c>
      <c r="K82" s="956" t="n">
        <v>1586</v>
      </c>
      <c r="L82" s="956" t="n">
        <v>3743</v>
      </c>
      <c r="M82" s="956" t="n">
        <v>2699</v>
      </c>
      <c r="N82" s="957">
        <f>'Resource Planning'!L8*'Resource Planning'!N8*'Resource Planning'!P8/12</f>
        <v/>
      </c>
      <c r="O82" s="957">
        <f>'Resource Planning'!L8*'Resource Planning'!N8*'Resource Planning'!P8/12</f>
        <v/>
      </c>
      <c r="P82" s="957">
        <f>'Resource Planning'!L8*'Resource Planning'!N8*'Resource Planning'!P8/12</f>
        <v/>
      </c>
      <c r="Q82" s="957">
        <f>'Resource Planning'!L8*'Resource Planning'!N8*'Resource Planning'!P8/12</f>
        <v/>
      </c>
      <c r="R82" s="958">
        <f>SUM(F82:Q82)</f>
        <v/>
      </c>
      <c r="S82" s="957" t="n">
        <v>0</v>
      </c>
      <c r="T82" s="957" t="n"/>
      <c r="U82" s="957" t="n"/>
      <c r="V82" s="957" t="n"/>
      <c r="W82" s="352" t="n"/>
    </row>
    <row r="83" outlineLevel="1">
      <c r="A83" s="294" t="inlineStr">
        <is>
          <t>F</t>
        </is>
      </c>
      <c r="B83" s="294" t="n">
        <v>3</v>
      </c>
      <c r="E83" s="295" t="inlineStr">
        <is>
          <t>DPS Internal Umlage (global)</t>
        </is>
      </c>
      <c r="F83" s="959">
        <f>11236</f>
        <v/>
      </c>
      <c r="G83" s="959">
        <f>11236</f>
        <v/>
      </c>
      <c r="H83" s="959">
        <f>11236</f>
        <v/>
      </c>
      <c r="I83" s="959">
        <f>11236</f>
        <v/>
      </c>
      <c r="J83" s="959">
        <f>11236</f>
        <v/>
      </c>
      <c r="K83" s="944">
        <f>11236</f>
        <v/>
      </c>
      <c r="L83" s="944">
        <f>11236</f>
        <v/>
      </c>
      <c r="M83" s="948">
        <f>11236</f>
        <v/>
      </c>
      <c r="N83" s="948">
        <f>11236</f>
        <v/>
      </c>
      <c r="O83" s="948">
        <f>11236</f>
        <v/>
      </c>
      <c r="P83" s="948">
        <f>11236</f>
        <v/>
      </c>
      <c r="Q83" s="948">
        <f>11236</f>
        <v/>
      </c>
      <c r="R83" s="950">
        <f>SUM(F83:Q83)</f>
        <v/>
      </c>
      <c r="S83" s="945" t="n">
        <v>44940</v>
      </c>
      <c r="T83" s="945">
        <f>137454*25%</f>
        <v/>
      </c>
      <c r="U83" s="945">
        <f>50383*0.25</f>
        <v/>
      </c>
      <c r="V83" s="945">
        <f>SUM(T83-R83)</f>
        <v/>
      </c>
      <c r="W83" s="316" t="inlineStr">
        <is>
          <t>Erhöhung Umlage im Projekt</t>
        </is>
      </c>
    </row>
    <row r="84" outlineLevel="1">
      <c r="A84" s="303" t="n"/>
      <c r="B84" s="303" t="n"/>
      <c r="C84" s="303" t="n"/>
      <c r="D84" s="636" t="n"/>
      <c r="E84" s="304" t="inlineStr">
        <is>
          <t>Service Management - ARE 5290 + int.</t>
        </is>
      </c>
      <c r="F84" s="951">
        <f>SUM(F77:F83)</f>
        <v/>
      </c>
      <c r="G84" s="951">
        <f>SUM(G77:G83)</f>
        <v/>
      </c>
      <c r="H84" s="951">
        <f>SUM(H77:H83)</f>
        <v/>
      </c>
      <c r="I84" s="951">
        <f>SUM(I77:I83)</f>
        <v/>
      </c>
      <c r="J84" s="951">
        <f>SUM(J77:J83)</f>
        <v/>
      </c>
      <c r="K84" s="951">
        <f>SUM(K77:K83)</f>
        <v/>
      </c>
      <c r="L84" s="951">
        <f>SUM(L77:L83)</f>
        <v/>
      </c>
      <c r="M84" s="951">
        <f>SUM(M77:M83)</f>
        <v/>
      </c>
      <c r="N84" s="952">
        <f>SUM(N77:N83)</f>
        <v/>
      </c>
      <c r="O84" s="952">
        <f>SUM(O77:O83)</f>
        <v/>
      </c>
      <c r="P84" s="952">
        <f>SUM(P77:P83)</f>
        <v/>
      </c>
      <c r="Q84" s="952">
        <f>SUM(Q77:Q83)</f>
        <v/>
      </c>
      <c r="R84" s="964">
        <f>SUM(R77:R83)</f>
        <v/>
      </c>
      <c r="S84" s="952" t="n">
        <v>0</v>
      </c>
      <c r="T84" s="952" t="n"/>
      <c r="U84" s="952" t="n"/>
      <c r="V84" s="952" t="n"/>
      <c r="W84" s="326" t="n"/>
    </row>
    <row r="85" outlineLevel="1">
      <c r="A85" s="294" t="inlineStr">
        <is>
          <t>A</t>
        </is>
      </c>
      <c r="E85" s="295" t="inlineStr">
        <is>
          <t>JCC</t>
        </is>
      </c>
      <c r="F85" s="944" t="n">
        <v>0</v>
      </c>
      <c r="G85" s="944" t="n">
        <v>0</v>
      </c>
      <c r="H85" s="944" t="n">
        <v>0</v>
      </c>
      <c r="I85" s="944" t="n">
        <v>0</v>
      </c>
      <c r="J85" s="944" t="n">
        <v>0</v>
      </c>
      <c r="K85" s="945" t="n"/>
      <c r="L85" s="945" t="n"/>
      <c r="M85" s="945" t="n"/>
      <c r="N85" s="945" t="n"/>
      <c r="O85" s="945" t="n"/>
      <c r="P85" s="945" t="n"/>
      <c r="Q85" s="945" t="n"/>
      <c r="R85" s="950">
        <f>SUM(F85:Q85)</f>
        <v/>
      </c>
      <c r="S85" s="945" t="n">
        <v>0</v>
      </c>
      <c r="T85" s="945" t="n"/>
      <c r="U85" s="945" t="n"/>
      <c r="V85" s="945" t="n"/>
      <c r="W85" s="316" t="n"/>
    </row>
    <row r="86" outlineLevel="1">
      <c r="A86" s="294" t="inlineStr">
        <is>
          <t>A</t>
        </is>
      </c>
      <c r="E86" s="295" t="inlineStr">
        <is>
          <t xml:space="preserve">CHCM (Evdien) </t>
        </is>
      </c>
      <c r="F86" s="944" t="n">
        <v>0</v>
      </c>
      <c r="G86" s="944" t="n">
        <v>0</v>
      </c>
      <c r="H86" s="944" t="n">
        <v>0</v>
      </c>
      <c r="I86" s="944" t="n">
        <v>0</v>
      </c>
      <c r="J86" s="944" t="n">
        <v>0</v>
      </c>
      <c r="K86" s="945" t="n"/>
      <c r="L86" s="944" t="n">
        <v>112</v>
      </c>
      <c r="M86" s="945" t="n"/>
      <c r="N86" s="945" t="n"/>
      <c r="O86" s="945" t="n"/>
      <c r="P86" s="945" t="n"/>
      <c r="Q86" s="945" t="n"/>
      <c r="R86" s="950">
        <f>SUM(F86:Q86)</f>
        <v/>
      </c>
      <c r="S86" s="945" t="n">
        <v>0</v>
      </c>
      <c r="T86" s="945" t="n"/>
      <c r="U86" s="945" t="n"/>
      <c r="V86" s="945" t="n"/>
      <c r="W86" s="316" t="n"/>
    </row>
    <row r="87" outlineLevel="1">
      <c r="A87" s="294" t="inlineStr">
        <is>
          <t>A</t>
        </is>
      </c>
      <c r="E87" s="295" t="inlineStr">
        <is>
          <t>DirX (Eviden)</t>
        </is>
      </c>
      <c r="F87" s="944" t="n">
        <v>0</v>
      </c>
      <c r="G87" s="944" t="n">
        <v>0</v>
      </c>
      <c r="H87" s="944" t="n">
        <v>0</v>
      </c>
      <c r="I87" s="944" t="n">
        <v>0</v>
      </c>
      <c r="J87" s="944" t="n">
        <v>0</v>
      </c>
      <c r="K87" s="945" t="n"/>
      <c r="M87" s="945" t="n"/>
      <c r="N87" s="945" t="n"/>
      <c r="O87" s="945" t="n"/>
      <c r="P87" s="945" t="n"/>
      <c r="Q87" s="945" t="n"/>
      <c r="R87" s="950">
        <f>SUM(F87:Q87)</f>
        <v/>
      </c>
      <c r="S87" s="945" t="n">
        <v>0</v>
      </c>
      <c r="T87" s="945" t="n"/>
      <c r="U87" s="945" t="n"/>
      <c r="V87" s="945" t="n"/>
      <c r="W87" s="316" t="n"/>
    </row>
    <row r="88" outlineLevel="1">
      <c r="A88" s="303" t="n"/>
      <c r="B88" s="303" t="n">
        <v>3</v>
      </c>
      <c r="C88" s="303" t="n"/>
      <c r="D88" s="636" t="n"/>
      <c r="E88" s="304" t="inlineStr">
        <is>
          <t>Integrations DPS</t>
        </is>
      </c>
      <c r="F88" s="960">
        <f>SUM(F85:F87)</f>
        <v/>
      </c>
      <c r="G88" s="960">
        <f>SUM(G85:G87)</f>
        <v/>
      </c>
      <c r="H88" s="960">
        <f>SUM(H85:H87)</f>
        <v/>
      </c>
      <c r="I88" s="960">
        <f>SUM(I85:I87)</f>
        <v/>
      </c>
      <c r="J88" s="960">
        <f>SUM(J85:J87)</f>
        <v/>
      </c>
      <c r="K88" s="952">
        <f>SUM(K85:K87)</f>
        <v/>
      </c>
      <c r="L88" s="951">
        <f>SUM(L85:L87)</f>
        <v/>
      </c>
      <c r="M88" s="952">
        <f>SUM(M85:M87)</f>
        <v/>
      </c>
      <c r="N88" s="952">
        <f>SUM(N85:N87)</f>
        <v/>
      </c>
      <c r="O88" s="952">
        <f>SUM(O85:O87)</f>
        <v/>
      </c>
      <c r="P88" s="952">
        <f>SUM(P85:P87)</f>
        <v/>
      </c>
      <c r="Q88" s="952">
        <f>SUM(Q85:Q87)</f>
        <v/>
      </c>
      <c r="R88" s="964">
        <f>SUM(R85:R87)</f>
        <v/>
      </c>
      <c r="S88" s="952" t="n">
        <v>0</v>
      </c>
      <c r="T88" s="952" t="n"/>
      <c r="U88" s="952" t="n"/>
      <c r="V88" s="952" t="n"/>
      <c r="W88" s="319" t="n"/>
    </row>
    <row r="89" outlineLevel="1">
      <c r="A89" s="303" t="n"/>
      <c r="B89" s="303" t="n"/>
      <c r="C89" s="303" t="n"/>
      <c r="D89" s="636" t="inlineStr">
        <is>
          <t>GBS</t>
        </is>
      </c>
      <c r="E89" s="304" t="inlineStr">
        <is>
          <t>GBS total</t>
        </is>
      </c>
      <c r="F89" s="960">
        <f>F76+F84+F88</f>
        <v/>
      </c>
      <c r="G89" s="960">
        <f>G76+G84+G88</f>
        <v/>
      </c>
      <c r="H89" s="960">
        <f>H76+H84+H88</f>
        <v/>
      </c>
      <c r="I89" s="960">
        <f>I76+I84+I88</f>
        <v/>
      </c>
      <c r="J89" s="960">
        <f>J76+J84+J88</f>
        <v/>
      </c>
      <c r="K89" s="960">
        <f>K76+K84+K88</f>
        <v/>
      </c>
      <c r="L89" s="960">
        <f>L76+L84+L88</f>
        <v/>
      </c>
      <c r="M89" s="954">
        <f>M76+M84+M88</f>
        <v/>
      </c>
      <c r="N89" s="954">
        <f>N76+N84+N88</f>
        <v/>
      </c>
      <c r="O89" s="954">
        <f>O76+O84+O88</f>
        <v/>
      </c>
      <c r="P89" s="954">
        <f>P76+P84+P88</f>
        <v/>
      </c>
      <c r="Q89" s="963">
        <f>Q76+Q84+Q88</f>
        <v/>
      </c>
      <c r="R89" s="964">
        <f>R76+R84+R88</f>
        <v/>
      </c>
      <c r="S89" s="952" t="n"/>
      <c r="T89" s="952" t="n"/>
      <c r="U89" s="952" t="n"/>
      <c r="V89" s="952" t="n"/>
      <c r="W89" s="319" t="n"/>
    </row>
    <row r="90" outlineLevel="1">
      <c r="A90" s="763" t="n"/>
      <c r="B90" s="763" t="n"/>
      <c r="C90" s="763" t="n"/>
      <c r="E90" s="295" t="inlineStr">
        <is>
          <t>Avature ext. Careers Portal (PO 9709043748) - PDP</t>
        </is>
      </c>
      <c r="F90" s="979" t="n"/>
      <c r="G90" s="979" t="n"/>
      <c r="H90" s="979" t="n"/>
      <c r="I90" s="979" t="n"/>
      <c r="J90" s="980" t="n"/>
      <c r="K90" s="981" t="n"/>
      <c r="L90" s="982" t="n"/>
      <c r="M90" s="945" t="n">
        <v>74655</v>
      </c>
      <c r="N90" s="980" t="n"/>
      <c r="O90" s="980" t="n"/>
      <c r="P90" s="980" t="n"/>
      <c r="Q90" s="980" t="n"/>
      <c r="R90" s="983">
        <f>SUM(F90:Q90)</f>
        <v/>
      </c>
      <c r="S90" s="980" t="n"/>
      <c r="T90" s="980" t="n"/>
      <c r="U90" s="980" t="n"/>
      <c r="V90" s="980" t="n"/>
    </row>
    <row r="91" outlineLevel="1">
      <c r="A91" s="294" t="inlineStr">
        <is>
          <t>E</t>
        </is>
      </c>
      <c r="D91" s="294" t="inlineStr">
        <is>
          <t>Av</t>
        </is>
      </c>
      <c r="E91" s="295" t="inlineStr">
        <is>
          <t>Avature ext. Careers Portal (PO 9709132497)</t>
        </is>
      </c>
      <c r="F91" s="945" t="n"/>
      <c r="G91" s="945" t="n"/>
      <c r="H91" s="944" t="n"/>
      <c r="I91" s="945" t="n"/>
      <c r="M91" s="944" t="n">
        <v>57196</v>
      </c>
      <c r="N91" s="945" t="n">
        <v>57196</v>
      </c>
      <c r="O91" s="945" t="n">
        <v>57196</v>
      </c>
      <c r="P91" s="945" t="n">
        <v>57196</v>
      </c>
      <c r="Q91" s="945" t="n"/>
      <c r="R91" s="983">
        <f>SUM(F91:Q91)</f>
        <v/>
      </c>
      <c r="S91" s="945" t="n">
        <v>0</v>
      </c>
      <c r="T91" s="945" t="n"/>
      <c r="U91" s="945" t="n"/>
      <c r="V91" s="945" t="n"/>
      <c r="W91" s="316" t="n"/>
    </row>
    <row r="92" outlineLevel="1">
      <c r="A92" s="303" t="n"/>
      <c r="B92" s="303" t="n">
        <v>2</v>
      </c>
      <c r="C92" s="303" t="n"/>
      <c r="D92" s="303" t="inlineStr">
        <is>
          <t>x</t>
        </is>
      </c>
      <c r="E92" s="304" t="inlineStr">
        <is>
          <t>Provider</t>
        </is>
      </c>
      <c r="F92" s="960">
        <f>SUM(F90:F91)</f>
        <v/>
      </c>
      <c r="G92" s="960">
        <f>SUM(G90:G91)</f>
        <v/>
      </c>
      <c r="H92" s="960">
        <f>SUM(H90:H91)</f>
        <v/>
      </c>
      <c r="I92" s="960">
        <f>SUM(I90:I91)</f>
        <v/>
      </c>
      <c r="J92" s="960">
        <f>SUM(J90:J91)</f>
        <v/>
      </c>
      <c r="K92" s="960">
        <f>SUM(K90:K91)</f>
        <v/>
      </c>
      <c r="L92" s="960">
        <f>SUM(L90:L91)</f>
        <v/>
      </c>
      <c r="M92" s="952">
        <f>SUM(M90:M91)</f>
        <v/>
      </c>
      <c r="N92" s="952">
        <f>SUM(N90:N91)</f>
        <v/>
      </c>
      <c r="O92" s="952">
        <f>SUM(O90:O91)</f>
        <v/>
      </c>
      <c r="P92" s="952">
        <f>SUM(P90:P91)</f>
        <v/>
      </c>
      <c r="Q92" s="952">
        <f>SUM(Q90:Q91)</f>
        <v/>
      </c>
      <c r="R92" s="964">
        <f>SUM(R90:R91)</f>
        <v/>
      </c>
      <c r="S92" s="952" t="n">
        <v>0</v>
      </c>
      <c r="T92" s="952" t="n"/>
      <c r="U92" s="952" t="n"/>
      <c r="V92" s="952" t="n"/>
      <c r="W92" s="319" t="n"/>
    </row>
    <row r="93" outlineLevel="1">
      <c r="A93" s="294" t="inlineStr">
        <is>
          <t>D</t>
        </is>
      </c>
      <c r="B93" s="294" t="n">
        <v>2</v>
      </c>
      <c r="D93" s="294" t="inlineStr">
        <is>
          <t>TCYS</t>
        </is>
      </c>
      <c r="E93" s="295" t="inlineStr">
        <is>
          <t>CERT check (pen GBS)</t>
        </is>
      </c>
      <c r="F93" s="948" t="n"/>
      <c r="G93" s="948" t="n"/>
      <c r="H93" s="948" t="n"/>
      <c r="I93" s="948" t="n"/>
      <c r="J93" s="945" t="n"/>
      <c r="K93" s="945" t="n"/>
      <c r="L93" s="945" t="n"/>
      <c r="M93" s="945" t="n"/>
      <c r="N93" s="945" t="n"/>
      <c r="O93" s="945" t="n"/>
      <c r="P93" s="945" t="n"/>
      <c r="Q93" s="945" t="n">
        <v>10000</v>
      </c>
      <c r="R93" s="950">
        <f>SUM(F93:Q93)</f>
        <v/>
      </c>
      <c r="S93" s="945" t="n">
        <v>0</v>
      </c>
      <c r="T93" s="945" t="n"/>
      <c r="U93" s="945" t="n"/>
      <c r="V93" s="945" t="n"/>
    </row>
    <row r="94" outlineLevel="1">
      <c r="A94" s="294" t="inlineStr">
        <is>
          <t>D</t>
        </is>
      </c>
      <c r="B94" s="294" t="n">
        <v>2</v>
      </c>
      <c r="D94" s="294" t="inlineStr">
        <is>
          <t>TCYS</t>
        </is>
      </c>
      <c r="E94" s="295" t="inlineStr">
        <is>
          <t>Accessibility Test</t>
        </is>
      </c>
      <c r="F94" s="945" t="n"/>
      <c r="G94" s="945" t="n"/>
      <c r="H94" s="945" t="n"/>
      <c r="I94" s="945" t="n"/>
      <c r="J94" s="945" t="n"/>
      <c r="K94" s="945" t="n"/>
      <c r="L94" s="945" t="n"/>
      <c r="M94" s="945" t="n"/>
      <c r="N94" s="945" t="n"/>
      <c r="O94" s="945" t="n"/>
      <c r="P94" s="945" t="n"/>
      <c r="Q94" s="945" t="n"/>
      <c r="R94" s="950">
        <f>SUM(F94:Q94)</f>
        <v/>
      </c>
      <c r="S94" s="945" t="n">
        <v>0</v>
      </c>
      <c r="T94" s="945" t="n"/>
      <c r="U94" s="945" t="n"/>
      <c r="V94" s="945" t="n"/>
    </row>
    <row r="95" outlineLevel="1">
      <c r="A95" s="294" t="inlineStr">
        <is>
          <t>D</t>
        </is>
      </c>
      <c r="B95" s="294" t="n">
        <v>2</v>
      </c>
      <c r="D95" s="294" t="inlineStr">
        <is>
          <t>Trv</t>
        </is>
      </c>
      <c r="E95" s="295" t="inlineStr">
        <is>
          <t>Travel &amp; Hospitality ext. Provider</t>
        </is>
      </c>
      <c r="F95" s="945" t="n"/>
      <c r="G95" s="945" t="n"/>
      <c r="H95" s="945" t="n"/>
      <c r="I95" s="945" t="n"/>
      <c r="J95" s="945" t="n"/>
      <c r="K95" s="945" t="n"/>
      <c r="L95" s="945" t="n"/>
      <c r="M95" s="945" t="n"/>
      <c r="N95" s="984" t="n">
        <v>1800</v>
      </c>
      <c r="O95" s="945" t="n"/>
      <c r="P95" s="945" t="n"/>
      <c r="Q95" s="945" t="n">
        <v>7000</v>
      </c>
      <c r="R95" s="950">
        <f>SUM(F95:Q95)</f>
        <v/>
      </c>
      <c r="S95" s="945" t="n">
        <v>0</v>
      </c>
      <c r="T95" s="945" t="n"/>
      <c r="U95" s="945" t="n"/>
      <c r="V95" s="945" t="n"/>
    </row>
    <row r="96" outlineLevel="1">
      <c r="B96" s="294" t="n">
        <v>6</v>
      </c>
      <c r="D96" s="294" t="inlineStr">
        <is>
          <t>Trv</t>
        </is>
      </c>
      <c r="E96" s="295" t="inlineStr">
        <is>
          <t>Travel &amp; Hospitality DE</t>
        </is>
      </c>
      <c r="F96" s="945" t="n"/>
      <c r="G96" s="945" t="n"/>
      <c r="H96" s="945" t="n"/>
      <c r="I96" s="945" t="n"/>
      <c r="J96" s="945" t="n"/>
      <c r="K96" s="945" t="n"/>
      <c r="L96" s="945" t="n"/>
      <c r="M96" s="945" t="n"/>
      <c r="N96" s="945" t="n"/>
      <c r="O96" s="945" t="n"/>
      <c r="P96" s="945" t="n"/>
      <c r="Q96" s="945" t="n">
        <v>5000</v>
      </c>
      <c r="R96" s="950">
        <f>SUM(F96:Q96)</f>
        <v/>
      </c>
      <c r="S96" s="945" t="n"/>
      <c r="T96" s="945" t="n"/>
      <c r="U96" s="945" t="n"/>
      <c r="V96" s="945" t="n"/>
    </row>
    <row r="97" outlineLevel="1">
      <c r="B97" s="294" t="n">
        <v>4</v>
      </c>
      <c r="D97" s="294" t="inlineStr">
        <is>
          <t>Trv</t>
        </is>
      </c>
      <c r="E97" s="295" t="inlineStr">
        <is>
          <t>Travel &amp; Hospitality ES / CZ / PT</t>
        </is>
      </c>
      <c r="F97" s="945" t="n"/>
      <c r="G97" s="945" t="n"/>
      <c r="H97" s="945" t="n"/>
      <c r="I97" s="945" t="n"/>
      <c r="J97" s="945" t="n"/>
      <c r="K97" s="945" t="n"/>
      <c r="L97" s="945" t="n"/>
      <c r="M97" s="945" t="n"/>
      <c r="N97" s="945" t="n"/>
      <c r="O97" s="945" t="n"/>
      <c r="P97" s="945" t="n"/>
      <c r="Q97" s="945" t="n">
        <v>13000</v>
      </c>
      <c r="R97" s="950">
        <f>SUM(F97:Q97)</f>
        <v/>
      </c>
      <c r="S97" s="945" t="n"/>
      <c r="T97" s="945" t="n"/>
      <c r="U97" s="945" t="n"/>
      <c r="V97" s="945" t="n"/>
    </row>
    <row r="98" outlineLevel="1" ht="12" customHeight="1" thickBot="1">
      <c r="A98" s="304" t="n"/>
      <c r="B98" s="304" t="n"/>
      <c r="C98" s="304" t="n"/>
      <c r="D98" s="303" t="inlineStr">
        <is>
          <t>x</t>
        </is>
      </c>
      <c r="E98" s="304" t="inlineStr">
        <is>
          <t>Additional costs</t>
        </is>
      </c>
      <c r="F98" s="960">
        <f>SUM(F93:F94)</f>
        <v/>
      </c>
      <c r="G98" s="960">
        <f>SUM(G93:G94)</f>
        <v/>
      </c>
      <c r="H98" s="960">
        <f>SUM(H93:H94)</f>
        <v/>
      </c>
      <c r="I98" s="960">
        <f>SUM(I93:I94)</f>
        <v/>
      </c>
      <c r="J98" s="954">
        <f>SUM(J93:J95)</f>
        <v/>
      </c>
      <c r="K98" s="954">
        <f>SUM(K93:K95)</f>
        <v/>
      </c>
      <c r="L98" s="954">
        <f>SUM(L93:L95)</f>
        <v/>
      </c>
      <c r="M98" s="954">
        <f>SUM(M93:M95)</f>
        <v/>
      </c>
      <c r="N98" s="954">
        <f>SUM(N93:N95)</f>
        <v/>
      </c>
      <c r="O98" s="954">
        <f>SUM(O93:O95)</f>
        <v/>
      </c>
      <c r="P98" s="954">
        <f>SUM(P93:P95)</f>
        <v/>
      </c>
      <c r="Q98" s="954">
        <f>SUM(Q93:Q97)</f>
        <v/>
      </c>
      <c r="R98" s="953">
        <f>SUM(R93:R97)</f>
        <v/>
      </c>
      <c r="S98" s="954" t="n">
        <v>0</v>
      </c>
      <c r="T98" s="954" t="n"/>
      <c r="U98" s="954" t="n"/>
      <c r="V98" s="975" t="n"/>
      <c r="W98" s="319" t="n"/>
    </row>
    <row r="99">
      <c r="A99" s="320" t="n"/>
      <c r="B99" s="320" t="n"/>
      <c r="C99" s="320" t="n"/>
      <c r="D99" s="648" t="inlineStr">
        <is>
          <t>x</t>
        </is>
      </c>
      <c r="E99" s="321" t="inlineStr">
        <is>
          <t>Total costs</t>
        </is>
      </c>
      <c r="F99" s="976">
        <f>F76+F84+F88+F98</f>
        <v/>
      </c>
      <c r="G99" s="976">
        <f>G76+G84+G88+G98+G92</f>
        <v/>
      </c>
      <c r="H99" s="976">
        <f>H76+H84+H88+H98+H92</f>
        <v/>
      </c>
      <c r="I99" s="976">
        <f>I76+I84+I88+I98+I92</f>
        <v/>
      </c>
      <c r="J99" s="965">
        <f>J76+J84+J88+J98+J92</f>
        <v/>
      </c>
      <c r="K99" s="965">
        <f>K76+K84+K88+K98+K92</f>
        <v/>
      </c>
      <c r="L99" s="965">
        <f>L76+L84+L88+L98+L92</f>
        <v/>
      </c>
      <c r="M99" s="966">
        <f>M76+M84+M88+M98+M92</f>
        <v/>
      </c>
      <c r="N99" s="966">
        <f>N76+N84+N88+N98+N92</f>
        <v/>
      </c>
      <c r="O99" s="966">
        <f>O76+O84+O88+O98+O92</f>
        <v/>
      </c>
      <c r="P99" s="966">
        <f>P76+P84+P88+P98+P92</f>
        <v/>
      </c>
      <c r="Q99" s="966">
        <f>Q76+Q84+Q88+Q98+Q92</f>
        <v/>
      </c>
      <c r="R99" s="977">
        <f>R76+R84+R88+R92+R98</f>
        <v/>
      </c>
      <c r="S99" s="968" t="n">
        <v>0</v>
      </c>
      <c r="T99" s="968" t="n"/>
      <c r="U99" s="968" t="n"/>
      <c r="V99" s="968" t="n"/>
      <c r="W99" s="320" t="n"/>
      <c r="X99" s="346" t="inlineStr">
        <is>
          <t>Revenue</t>
        </is>
      </c>
      <c r="Y99" s="969">
        <f>(R99*Y100)+R99</f>
        <v/>
      </c>
    </row>
    <row r="100" ht="12" customHeight="1" thickBot="1">
      <c r="A100" s="320" t="n"/>
      <c r="B100" s="320" t="n"/>
      <c r="C100" s="320" t="n"/>
      <c r="D100" s="648" t="inlineStr">
        <is>
          <t>x</t>
        </is>
      </c>
      <c r="E100" s="403" t="inlineStr">
        <is>
          <t>Accumulated costs Ext. Careers Port Crew</t>
        </is>
      </c>
      <c r="F100" s="976">
        <f>SUM(F99)</f>
        <v/>
      </c>
      <c r="G100" s="976">
        <f>F100+G99</f>
        <v/>
      </c>
      <c r="H100" s="976">
        <f>G100+H99</f>
        <v/>
      </c>
      <c r="I100" s="976">
        <f>H100+I99</f>
        <v/>
      </c>
      <c r="J100" s="965">
        <f>I100+J99</f>
        <v/>
      </c>
      <c r="K100" s="965">
        <f>J100+K99</f>
        <v/>
      </c>
      <c r="L100" s="965">
        <f>K100+L99</f>
        <v/>
      </c>
      <c r="M100" s="966">
        <f>L100+M99</f>
        <v/>
      </c>
      <c r="N100" s="966">
        <f>M100+N99</f>
        <v/>
      </c>
      <c r="O100" s="966">
        <f>N100+O99</f>
        <v/>
      </c>
      <c r="P100" s="966">
        <f>O100+P99</f>
        <v/>
      </c>
      <c r="Q100" s="966">
        <f>P100+Q99</f>
        <v/>
      </c>
      <c r="R100" s="970">
        <f>R76+R84+R92+R98</f>
        <v/>
      </c>
      <c r="S100" s="966" t="n">
        <v>0</v>
      </c>
      <c r="T100" s="320" t="n"/>
      <c r="U100" s="968" t="n"/>
      <c r="V100" s="320" t="n"/>
      <c r="W100" s="320" t="n"/>
      <c r="X100" s="348" t="inlineStr">
        <is>
          <t>Profit Margin</t>
        </is>
      </c>
      <c r="Y100" s="349" t="n">
        <v>0.05</v>
      </c>
    </row>
    <row r="101" ht="19.25" customHeight="1">
      <c r="A101" s="300" t="n"/>
      <c r="B101" s="300" t="n"/>
      <c r="C101" s="300" t="inlineStr">
        <is>
          <t>x</t>
        </is>
      </c>
      <c r="D101" s="294" t="inlineStr">
        <is>
          <t>x</t>
        </is>
      </c>
      <c r="E101" s="318" t="n"/>
      <c r="F101" s="962" t="n"/>
      <c r="G101" s="962" t="n"/>
      <c r="H101" s="962" t="n"/>
      <c r="I101" s="962" t="n"/>
      <c r="J101" s="962" t="n"/>
      <c r="K101" s="962" t="n"/>
      <c r="L101" s="962" t="n"/>
      <c r="M101" s="962" t="n"/>
      <c r="N101" s="962" t="n"/>
      <c r="O101" s="962" t="n"/>
      <c r="P101" s="962" t="n"/>
      <c r="Q101" s="962" t="n"/>
      <c r="R101" s="962" t="n"/>
      <c r="S101" s="962" t="n"/>
      <c r="T101" s="962" t="n"/>
      <c r="U101" s="962" t="n"/>
      <c r="V101" s="945" t="n"/>
    </row>
    <row r="102" ht="21" customFormat="1" customHeight="1" s="341" thickBot="1">
      <c r="A102" s="337" t="n"/>
      <c r="B102" s="337" t="n"/>
      <c r="C102" s="337" t="n"/>
      <c r="D102" s="337" t="inlineStr">
        <is>
          <t>x</t>
        </is>
      </c>
      <c r="E102" s="848" t="inlineStr">
        <is>
          <t>Avature Preboarding</t>
        </is>
      </c>
      <c r="F102" s="339" t="n"/>
      <c r="G102" s="339" t="n"/>
      <c r="H102" s="339" t="n"/>
      <c r="I102" s="339" t="n"/>
      <c r="J102" s="339" t="n"/>
      <c r="K102" s="339" t="n"/>
      <c r="L102" s="339" t="n"/>
      <c r="M102" s="339" t="n"/>
      <c r="N102" s="339" t="n"/>
      <c r="O102" s="339" t="n"/>
      <c r="P102" s="339" t="n"/>
      <c r="Q102" s="339" t="n"/>
      <c r="R102" s="340" t="n"/>
      <c r="S102" s="340" t="n"/>
      <c r="T102" s="340" t="n"/>
      <c r="U102" s="340" t="n"/>
      <c r="V102" s="340" t="n"/>
      <c r="W102" s="340" t="n"/>
    </row>
    <row r="103" outlineLevel="1">
      <c r="A103" s="294" t="inlineStr">
        <is>
          <t>C</t>
        </is>
      </c>
      <c r="E103" s="295" t="inlineStr">
        <is>
          <t>Magro, Daniel</t>
        </is>
      </c>
      <c r="F103" s="944" t="n">
        <v>0</v>
      </c>
      <c r="G103" s="944" t="n">
        <v>0</v>
      </c>
      <c r="H103" s="944" t="n">
        <v>0</v>
      </c>
      <c r="I103" s="944" t="n">
        <v>0</v>
      </c>
      <c r="J103" s="944" t="n">
        <v>0</v>
      </c>
      <c r="K103" s="944" t="n">
        <v>0</v>
      </c>
      <c r="L103" s="944" t="n">
        <v>0</v>
      </c>
      <c r="M103" s="945">
        <f>'Resource Planning'!M10*'Resource Planning'!N10*'Resource Planning'!P10/12</f>
        <v/>
      </c>
      <c r="N103" s="945">
        <f>'Resource Planning'!M10*'Resource Planning'!N10*'Resource Planning'!P10/12</f>
        <v/>
      </c>
      <c r="O103" s="945">
        <f>'Resource Planning'!M10*'Resource Planning'!N10*'Resource Planning'!P10/12</f>
        <v/>
      </c>
      <c r="P103" s="945">
        <f>'Resource Planning'!M10*'Resource Planning'!N10*'Resource Planning'!P10/12</f>
        <v/>
      </c>
      <c r="Q103" s="945">
        <f>'Resource Planning'!M10*'Resource Planning'!N10*'Resource Planning'!P10/12</f>
        <v/>
      </c>
      <c r="R103" s="946">
        <f>SUM(F103:Q103)</f>
        <v/>
      </c>
      <c r="S103" s="945" t="n">
        <v>0</v>
      </c>
      <c r="T103" s="945" t="n"/>
      <c r="U103" s="945" t="n"/>
      <c r="V103" s="945" t="n"/>
      <c r="Y103" s="318" t="n"/>
      <c r="Z103" s="733" t="n"/>
    </row>
    <row r="104" outlineLevel="1">
      <c r="A104" s="301" t="inlineStr">
        <is>
          <t>C</t>
        </is>
      </c>
      <c r="B104" s="301" t="n"/>
      <c r="C104" s="301" t="n"/>
      <c r="E104" s="295" t="inlineStr">
        <is>
          <t>Rosa, Claudia (ext)</t>
        </is>
      </c>
      <c r="F104" s="944" t="n">
        <v>0</v>
      </c>
      <c r="G104" s="944" t="n">
        <v>0</v>
      </c>
      <c r="H104" s="944" t="n">
        <v>0</v>
      </c>
      <c r="I104" s="944" t="n">
        <v>0</v>
      </c>
      <c r="J104" s="944" t="n">
        <v>0</v>
      </c>
      <c r="K104" s="944" t="n">
        <v>0</v>
      </c>
      <c r="L104" s="944" t="n">
        <v>0</v>
      </c>
      <c r="M104" s="945">
        <f>'Resource Planning'!M11*'Resource Planning'!N11*'Resource Planning'!P11/12</f>
        <v/>
      </c>
      <c r="N104" s="945">
        <f>'Resource Planning'!M11*'Resource Planning'!N11*'Resource Planning'!P11/12</f>
        <v/>
      </c>
      <c r="O104" s="945">
        <f>'Resource Planning'!M11*'Resource Planning'!N11*'Resource Planning'!P11/12</f>
        <v/>
      </c>
      <c r="P104" s="945">
        <f>'Resource Planning'!M11*'Resource Planning'!N11*'Resource Planning'!P11/12</f>
        <v/>
      </c>
      <c r="Q104" s="945">
        <f>'Resource Planning'!M11*'Resource Planning'!N11*'Resource Planning'!P11/12</f>
        <v/>
      </c>
      <c r="R104" s="949">
        <f>SUM(F104:Q104)</f>
        <v/>
      </c>
      <c r="S104" s="948" t="n">
        <v>0</v>
      </c>
      <c r="T104" s="948" t="n"/>
      <c r="U104" s="948" t="n"/>
      <c r="V104" s="945" t="n"/>
      <c r="W104" s="302" t="n"/>
    </row>
    <row r="105" outlineLevel="1">
      <c r="A105" s="294" t="inlineStr">
        <is>
          <t>C</t>
        </is>
      </c>
      <c r="E105" s="295" t="inlineStr">
        <is>
          <t>Matos Oliveira, Rita</t>
        </is>
      </c>
      <c r="F105" s="944" t="n">
        <v>0</v>
      </c>
      <c r="G105" s="944" t="n">
        <v>0</v>
      </c>
      <c r="H105" s="944" t="n">
        <v>0</v>
      </c>
      <c r="I105" s="944" t="n">
        <v>0</v>
      </c>
      <c r="J105" s="944" t="n">
        <v>0</v>
      </c>
      <c r="K105" s="944" t="n">
        <v>0</v>
      </c>
      <c r="L105" s="944" t="n">
        <v>0</v>
      </c>
      <c r="M105" s="945">
        <f>'Resource Planning'!M12*'Resource Planning'!N12*'Resource Planning'!P12/12</f>
        <v/>
      </c>
      <c r="N105" s="945">
        <f>'Resource Planning'!M12*'Resource Planning'!N12*'Resource Planning'!P12/12</f>
        <v/>
      </c>
      <c r="O105" s="945">
        <f>'Resource Planning'!M12*'Resource Planning'!N12*'Resource Planning'!P12/12</f>
        <v/>
      </c>
      <c r="P105" s="945">
        <f>'Resource Planning'!M12*'Resource Planning'!N12*'Resource Planning'!P12/12</f>
        <v/>
      </c>
      <c r="Q105" s="945">
        <f>'Resource Planning'!M12*'Resource Planning'!N12*'Resource Planning'!P12/12</f>
        <v/>
      </c>
      <c r="R105" s="950">
        <f>SUM(F105:Q105)</f>
        <v/>
      </c>
      <c r="S105" s="945" t="n">
        <v>0</v>
      </c>
      <c r="T105" s="945" t="n"/>
      <c r="U105" s="945" t="n"/>
      <c r="V105" s="945" t="n"/>
    </row>
    <row r="106" outlineLevel="1">
      <c r="A106" s="294" t="inlineStr">
        <is>
          <t>C</t>
        </is>
      </c>
      <c r="E106" s="295" t="inlineStr">
        <is>
          <t>Guerreiro Luis Pires, Filipe Viegas</t>
        </is>
      </c>
      <c r="F106" s="944" t="n">
        <v>0</v>
      </c>
      <c r="G106" s="944" t="n">
        <v>0</v>
      </c>
      <c r="H106" s="944" t="n">
        <v>0</v>
      </c>
      <c r="I106" s="944" t="n">
        <v>0</v>
      </c>
      <c r="J106" s="944" t="n">
        <v>0</v>
      </c>
      <c r="K106" s="944" t="n">
        <v>0</v>
      </c>
      <c r="L106" s="947" t="n">
        <v>1800</v>
      </c>
      <c r="M106" s="947" t="n">
        <v>1800</v>
      </c>
      <c r="N106" s="945">
        <f>'Resource Planning'!M13*'Resource Planning'!N13*'Resource Planning'!P13/12</f>
        <v/>
      </c>
      <c r="O106" s="945">
        <f>'Resource Planning'!M13*'Resource Planning'!N13*'Resource Planning'!P13/12</f>
        <v/>
      </c>
      <c r="P106" s="945">
        <f>'Resource Planning'!M13*'Resource Planning'!N13*'Resource Planning'!P13/12</f>
        <v/>
      </c>
      <c r="Q106" s="945">
        <f>'Resource Planning'!M13*'Resource Planning'!N13*'Resource Planning'!P13/12</f>
        <v/>
      </c>
      <c r="R106" s="950">
        <f>SUM(F106:Q106)</f>
        <v/>
      </c>
      <c r="S106" s="945" t="n">
        <v>0</v>
      </c>
      <c r="T106" s="945" t="n"/>
      <c r="U106" s="945" t="n"/>
      <c r="V106" s="945" t="n"/>
    </row>
    <row r="107" outlineLevel="1">
      <c r="A107" s="294" t="inlineStr">
        <is>
          <t>C</t>
        </is>
      </c>
      <c r="E107" s="295" t="inlineStr">
        <is>
          <t>Plácido, Andreia</t>
        </is>
      </c>
      <c r="F107" s="944" t="n">
        <v>0</v>
      </c>
      <c r="G107" s="944" t="n">
        <v>0</v>
      </c>
      <c r="H107" s="944" t="n">
        <v>0</v>
      </c>
      <c r="I107" s="944" t="n">
        <v>0</v>
      </c>
      <c r="J107" s="944" t="n">
        <v>0</v>
      </c>
      <c r="K107" s="944" t="n">
        <v>0</v>
      </c>
      <c r="L107" s="944" t="n">
        <v>0</v>
      </c>
      <c r="M107" s="945">
        <f>'Resource Planning'!M14*'Resource Planning'!N14*'Resource Planning'!P14/12</f>
        <v/>
      </c>
      <c r="N107" s="945">
        <f>'Resource Planning'!M14*'Resource Planning'!N14*'Resource Planning'!P14/12</f>
        <v/>
      </c>
      <c r="O107" s="945">
        <f>'Resource Planning'!M14*'Resource Planning'!N14*'Resource Planning'!P14/12</f>
        <v/>
      </c>
      <c r="P107" s="945">
        <f>'Resource Planning'!M14*'Resource Planning'!N14*'Resource Planning'!P14/12</f>
        <v/>
      </c>
      <c r="Q107" s="945">
        <f>'Resource Planning'!M14*'Resource Planning'!N14*'Resource Planning'!P14/12</f>
        <v/>
      </c>
      <c r="R107" s="950">
        <f>SUM(F107:Q107)</f>
        <v/>
      </c>
      <c r="S107" s="945" t="n">
        <v>0</v>
      </c>
      <c r="T107" s="945" t="n"/>
      <c r="U107" s="945" t="n"/>
      <c r="V107" s="945" t="n"/>
    </row>
    <row r="108" outlineLevel="1">
      <c r="A108" s="294" t="inlineStr">
        <is>
          <t>C</t>
        </is>
      </c>
      <c r="E108" s="295" t="inlineStr">
        <is>
          <t>Antunes, Ricardo</t>
        </is>
      </c>
      <c r="F108" s="944" t="n">
        <v>0</v>
      </c>
      <c r="G108" s="944" t="n">
        <v>0</v>
      </c>
      <c r="H108" s="944" t="n">
        <v>0</v>
      </c>
      <c r="I108" s="944" t="n">
        <v>0</v>
      </c>
      <c r="J108" s="944" t="n">
        <v>0</v>
      </c>
      <c r="K108" s="944" t="n">
        <v>0</v>
      </c>
      <c r="L108" s="944" t="n">
        <v>0</v>
      </c>
      <c r="M108" s="945">
        <f>'Resource Planning'!M15*'Resource Planning'!N15*'Resource Planning'!P15/12</f>
        <v/>
      </c>
      <c r="N108" s="945">
        <f>'Resource Planning'!M15*'Resource Planning'!N15*'Resource Planning'!P15/12</f>
        <v/>
      </c>
      <c r="O108" s="945">
        <f>'Resource Planning'!M15*'Resource Planning'!N15*'Resource Planning'!P15/12</f>
        <v/>
      </c>
      <c r="P108" s="945">
        <f>'Resource Planning'!M15*'Resource Planning'!N15*'Resource Planning'!P15/12</f>
        <v/>
      </c>
      <c r="Q108" s="945">
        <f>'Resource Planning'!M15*'Resource Planning'!N15*'Resource Planning'!P15/12</f>
        <v/>
      </c>
      <c r="R108" s="950">
        <f>SUM(F108:Q108)</f>
        <v/>
      </c>
      <c r="S108" s="945" t="n">
        <v>0</v>
      </c>
      <c r="T108" s="945" t="n"/>
      <c r="U108" s="945" t="n"/>
      <c r="V108" s="945" t="n"/>
    </row>
    <row r="109" outlineLevel="1">
      <c r="A109" s="303" t="n"/>
      <c r="B109" s="303" t="n">
        <v>4</v>
      </c>
      <c r="C109" s="303" t="n">
        <v>5240</v>
      </c>
      <c r="D109" s="636" t="n"/>
      <c r="E109" s="304" t="inlineStr">
        <is>
          <t>Test - ARE 5240</t>
        </is>
      </c>
      <c r="F109" s="951">
        <f>SUM(F103:F108)</f>
        <v/>
      </c>
      <c r="G109" s="951">
        <f>SUM(G103:G108)</f>
        <v/>
      </c>
      <c r="H109" s="951">
        <f>SUM(H103:H108)</f>
        <v/>
      </c>
      <c r="I109" s="951">
        <f>SUM(I103:I108)</f>
        <v/>
      </c>
      <c r="J109" s="951">
        <f>SUM(J103:J108)</f>
        <v/>
      </c>
      <c r="K109" s="951">
        <f>SUM(K103:K108)</f>
        <v/>
      </c>
      <c r="L109" s="951">
        <f>SUM(L103:L108)</f>
        <v/>
      </c>
      <c r="M109" s="952">
        <f>SUM(M103:M108)</f>
        <v/>
      </c>
      <c r="N109" s="952">
        <f>SUM(N103:N108)</f>
        <v/>
      </c>
      <c r="O109" s="952">
        <f>SUM(O103:O108)</f>
        <v/>
      </c>
      <c r="P109" s="952">
        <f>SUM(P103:P108)</f>
        <v/>
      </c>
      <c r="Q109" s="952">
        <f>SUM(Q103:Q108)</f>
        <v/>
      </c>
      <c r="R109" s="953">
        <f>SUM(R103:R106)</f>
        <v/>
      </c>
      <c r="S109" s="954" t="n">
        <v>0</v>
      </c>
      <c r="T109" s="954" t="n"/>
      <c r="U109" s="954" t="n"/>
      <c r="V109" s="954" t="n"/>
      <c r="W109" s="309" t="n"/>
    </row>
    <row r="110" outlineLevel="1" ht="12.5" customHeight="1">
      <c r="A110" s="294" t="inlineStr">
        <is>
          <t>A</t>
        </is>
      </c>
      <c r="B110" s="30" t="n">
        <v>5</v>
      </c>
      <c r="C110" s="294" t="inlineStr">
        <is>
          <t>int</t>
        </is>
      </c>
      <c r="E110" s="295" t="inlineStr">
        <is>
          <t>Helbing, Björn</t>
        </is>
      </c>
      <c r="F110" s="944" t="n">
        <v>0</v>
      </c>
      <c r="G110" s="944" t="n">
        <v>0</v>
      </c>
      <c r="H110" s="944" t="n">
        <v>0</v>
      </c>
      <c r="I110" s="947" t="n">
        <v>260</v>
      </c>
      <c r="J110" s="944" t="n">
        <v>0</v>
      </c>
      <c r="K110" s="947" t="n">
        <v>260</v>
      </c>
      <c r="L110" s="947" t="n">
        <v>520</v>
      </c>
      <c r="M110" s="947" t="n">
        <v>468</v>
      </c>
      <c r="N110" s="945">
        <f>'Resource Planning'!M3*'Resource Planning'!N3*'Resource Planning'!P3/12</f>
        <v/>
      </c>
      <c r="O110" s="945">
        <f>'Resource Planning'!M3*'Resource Planning'!N3*'Resource Planning'!P3/12</f>
        <v/>
      </c>
      <c r="P110" s="945">
        <f>'Resource Planning'!M3*'Resource Planning'!N3*'Resource Planning'!P3/12</f>
        <v/>
      </c>
      <c r="Q110" s="945">
        <f>'Resource Planning'!M3*'Resource Planning'!N3*'Resource Planning'!P3/12</f>
        <v/>
      </c>
      <c r="R110" s="950">
        <f>SUM(F110:Q110)</f>
        <v/>
      </c>
      <c r="S110" s="945" t="n">
        <v>0</v>
      </c>
      <c r="T110" s="945" t="n"/>
      <c r="U110" s="945" t="n"/>
      <c r="V110" s="945" t="n"/>
    </row>
    <row r="111" outlineLevel="1" ht="12.5" customHeight="1">
      <c r="A111" s="294" t="inlineStr">
        <is>
          <t>B</t>
        </is>
      </c>
      <c r="B111" s="30" t="n">
        <v>4</v>
      </c>
      <c r="C111" s="294" t="n">
        <v>5290</v>
      </c>
      <c r="E111" s="295" t="inlineStr">
        <is>
          <t>Fernandes Redondo, Amanda</t>
        </is>
      </c>
      <c r="F111" s="944" t="n">
        <v>0</v>
      </c>
      <c r="G111" s="944" t="n">
        <v>0</v>
      </c>
      <c r="H111" s="944" t="n">
        <v>0</v>
      </c>
      <c r="I111" s="944" t="n">
        <v>0</v>
      </c>
      <c r="J111" s="944" t="n">
        <v>0</v>
      </c>
      <c r="K111" s="944" t="n">
        <v>0</v>
      </c>
      <c r="L111" s="944" t="n">
        <v>0</v>
      </c>
      <c r="M111" s="945">
        <f>'Resource Planning'!M4*'Resource Planning'!N4*'Resource Planning'!P4/12</f>
        <v/>
      </c>
      <c r="N111" s="945">
        <f>'Resource Planning'!M4*'Resource Planning'!N4*'Resource Planning'!P4/12</f>
        <v/>
      </c>
      <c r="O111" s="945">
        <f>'Resource Planning'!M4*'Resource Planning'!N4*'Resource Planning'!P4/12</f>
        <v/>
      </c>
      <c r="P111" s="945">
        <f>'Resource Planning'!M4*'Resource Planning'!N4*'Resource Planning'!P4/12</f>
        <v/>
      </c>
      <c r="Q111" s="945">
        <f>'Resource Planning'!M4*'Resource Planning'!N4*'Resource Planning'!P4/12</f>
        <v/>
      </c>
      <c r="R111" s="950">
        <f>SUM(F111:Q111)</f>
        <v/>
      </c>
      <c r="S111" s="945" t="n">
        <v>0</v>
      </c>
      <c r="T111" s="945" t="n"/>
      <c r="U111" s="945" t="n"/>
      <c r="V111" s="945" t="n"/>
    </row>
    <row r="112" outlineLevel="1" ht="12.5" customHeight="1">
      <c r="A112" s="294" t="inlineStr">
        <is>
          <t>B</t>
        </is>
      </c>
      <c r="B112" s="30" t="n">
        <v>4</v>
      </c>
      <c r="C112" s="294" t="n">
        <v>5290</v>
      </c>
      <c r="E112" s="295" t="inlineStr">
        <is>
          <t>Zouine, Meryem</t>
        </is>
      </c>
      <c r="F112" s="944" t="n">
        <v>0</v>
      </c>
      <c r="G112" s="944" t="n">
        <v>0</v>
      </c>
      <c r="H112" s="944" t="n">
        <v>0</v>
      </c>
      <c r="I112" s="947" t="n">
        <v>1001</v>
      </c>
      <c r="J112" s="947" t="n">
        <v>1470</v>
      </c>
      <c r="K112" s="944" t="n">
        <v>0</v>
      </c>
      <c r="L112" s="947" t="n">
        <v>2678</v>
      </c>
      <c r="M112" s="947" t="n">
        <v>6370</v>
      </c>
      <c r="N112" s="945">
        <f>'Resource Planning'!M5*'Resource Planning'!N5*'Resource Planning'!P5/12</f>
        <v/>
      </c>
      <c r="O112" s="945">
        <f>'Resource Planning'!M5*'Resource Planning'!N5*'Resource Planning'!P5/12</f>
        <v/>
      </c>
      <c r="P112" s="945">
        <f>'Resource Planning'!M5*'Resource Planning'!N5*'Resource Planning'!P5/12</f>
        <v/>
      </c>
      <c r="Q112" s="945">
        <f>'Resource Planning'!M5*'Resource Planning'!N5*'Resource Planning'!P5/12</f>
        <v/>
      </c>
      <c r="R112" s="950">
        <f>SUM(F112:Q112)</f>
        <v/>
      </c>
      <c r="S112" s="945" t="n">
        <v>0</v>
      </c>
      <c r="T112" s="945" t="n"/>
      <c r="U112" s="945" t="n"/>
      <c r="V112" s="945" t="n"/>
    </row>
    <row r="113" outlineLevel="1" ht="12.5" customHeight="1">
      <c r="A113" s="294" t="inlineStr">
        <is>
          <t>B</t>
        </is>
      </c>
      <c r="B113" s="30" t="n">
        <v>4</v>
      </c>
      <c r="C113" s="294" t="n">
        <v>5290</v>
      </c>
      <c r="E113" s="295" t="inlineStr">
        <is>
          <t>Cerezo, Alberto</t>
        </is>
      </c>
      <c r="F113" s="944" t="n">
        <v>0</v>
      </c>
      <c r="G113" s="944" t="n">
        <v>0</v>
      </c>
      <c r="H113" s="944" t="n">
        <v>0</v>
      </c>
      <c r="I113" s="944" t="n">
        <v>0</v>
      </c>
      <c r="J113" s="944" t="n">
        <v>0</v>
      </c>
      <c r="K113" s="944" t="n">
        <v>0</v>
      </c>
      <c r="L113" s="944" t="n">
        <v>0</v>
      </c>
      <c r="M113" s="945">
        <f>'Resource Planning'!M6*'Resource Planning'!N6*'Resource Planning'!P6/12</f>
        <v/>
      </c>
      <c r="N113" s="945">
        <f>'Resource Planning'!M6*'Resource Planning'!N6*'Resource Planning'!P6/12</f>
        <v/>
      </c>
      <c r="O113" s="945">
        <f>'Resource Planning'!M6*'Resource Planning'!N6*'Resource Planning'!P6/12</f>
        <v/>
      </c>
      <c r="P113" s="945">
        <f>'Resource Planning'!M6*'Resource Planning'!N6*'Resource Planning'!P6/12</f>
        <v/>
      </c>
      <c r="Q113" s="945">
        <f>'Resource Planning'!M6*'Resource Planning'!N6*'Resource Planning'!P6/12</f>
        <v/>
      </c>
      <c r="R113" s="950">
        <f>SUM(F113:Q113)</f>
        <v/>
      </c>
      <c r="S113" s="945" t="n">
        <v>0</v>
      </c>
      <c r="T113" s="945" t="n"/>
      <c r="U113" s="945" t="n"/>
      <c r="V113" s="945" t="n"/>
    </row>
    <row r="114" outlineLevel="1" ht="12.5" customHeight="1">
      <c r="A114" s="294" t="inlineStr">
        <is>
          <t>A</t>
        </is>
      </c>
      <c r="B114" s="30" t="n">
        <v>5</v>
      </c>
      <c r="C114" s="294" t="inlineStr">
        <is>
          <t>int</t>
        </is>
      </c>
      <c r="E114" s="295" t="inlineStr">
        <is>
          <t>Swoboda, Claudia</t>
        </is>
      </c>
      <c r="F114" s="944" t="n">
        <v>0</v>
      </c>
      <c r="G114" s="944" t="n">
        <v>0</v>
      </c>
      <c r="H114" s="944" t="n">
        <v>0</v>
      </c>
      <c r="I114" s="944" t="n">
        <v>0</v>
      </c>
      <c r="J114" s="944" t="n">
        <v>0</v>
      </c>
      <c r="K114" s="944" t="n">
        <v>0</v>
      </c>
      <c r="L114" s="944" t="n">
        <v>0</v>
      </c>
      <c r="M114" s="945">
        <f>'Resource Planning'!M7*'Resource Planning'!N7*'Resource Planning'!P7/12</f>
        <v/>
      </c>
      <c r="N114" s="945">
        <f>'Resource Planning'!M7*'Resource Planning'!N7*'Resource Planning'!P7/12</f>
        <v/>
      </c>
      <c r="O114" s="945">
        <f>'Resource Planning'!M7*'Resource Planning'!N7*'Resource Planning'!P7/12</f>
        <v/>
      </c>
      <c r="P114" s="945">
        <f>'Resource Planning'!M7*'Resource Planning'!N7*'Resource Planning'!P7/12</f>
        <v/>
      </c>
      <c r="Q114" s="945">
        <f>'Resource Planning'!M7*'Resource Planning'!N7*'Resource Planning'!P7/12</f>
        <v/>
      </c>
      <c r="R114" s="950">
        <f>SUM(F114:Q114)</f>
        <v/>
      </c>
      <c r="S114" s="945" t="n">
        <v>0</v>
      </c>
      <c r="T114" s="945" t="n"/>
      <c r="U114" s="945" t="n"/>
      <c r="V114" s="945" t="n"/>
    </row>
    <row r="115" outlineLevel="1" ht="12.5" customHeight="1">
      <c r="A115" s="311" t="inlineStr">
        <is>
          <t>B</t>
        </is>
      </c>
      <c r="B115" s="127" t="n">
        <v>4</v>
      </c>
      <c r="C115" s="311" t="n">
        <v>5290</v>
      </c>
      <c r="D115" s="311" t="n"/>
      <c r="E115" s="312" t="inlineStr">
        <is>
          <t>Bicho, Rita</t>
        </is>
      </c>
      <c r="F115" s="978" t="n">
        <v>0</v>
      </c>
      <c r="G115" s="978" t="n">
        <v>0</v>
      </c>
      <c r="H115" s="978" t="n">
        <v>0</v>
      </c>
      <c r="I115" s="956" t="n">
        <v>1739</v>
      </c>
      <c r="J115" s="956" t="n">
        <v>863</v>
      </c>
      <c r="K115" s="956" t="n">
        <v>393</v>
      </c>
      <c r="L115" s="956" t="n">
        <v>122</v>
      </c>
      <c r="M115" s="957" t="n">
        <v>0</v>
      </c>
      <c r="N115" s="957">
        <f>'Resource Planning'!M8*'Resource Planning'!N8*'Resource Planning'!P8/12</f>
        <v/>
      </c>
      <c r="O115" s="957">
        <f>'Resource Planning'!M8*'Resource Planning'!N8*'Resource Planning'!P8/12</f>
        <v/>
      </c>
      <c r="P115" s="957">
        <f>'Resource Planning'!M8*'Resource Planning'!N8*'Resource Planning'!P8/12</f>
        <v/>
      </c>
      <c r="Q115" s="985">
        <f>'Resource Planning'!M8*'Resource Planning'!N8*'Resource Planning'!P8/12</f>
        <v/>
      </c>
      <c r="R115" s="958">
        <f>SUM(F115:Q115)</f>
        <v/>
      </c>
      <c r="S115" s="986" t="n">
        <v>0</v>
      </c>
      <c r="T115" s="957" t="n"/>
      <c r="U115" s="957" t="n"/>
      <c r="V115" s="957" t="n"/>
      <c r="W115" s="352" t="n"/>
    </row>
    <row r="116" outlineLevel="1">
      <c r="A116" s="303" t="n"/>
      <c r="B116" s="303" t="n"/>
      <c r="C116" s="303" t="n"/>
      <c r="D116" s="636" t="n"/>
      <c r="E116" s="304" t="inlineStr">
        <is>
          <t>Service Management</t>
        </is>
      </c>
      <c r="F116" s="951">
        <f>SUM(F110:F115)</f>
        <v/>
      </c>
      <c r="G116" s="951">
        <f>SUM(G110:G115)</f>
        <v/>
      </c>
      <c r="H116" s="951">
        <f>SUM(H110:H115)</f>
        <v/>
      </c>
      <c r="I116" s="951">
        <f>SUM(I110:I115)</f>
        <v/>
      </c>
      <c r="J116" s="951">
        <f>SUM(J110:J115)</f>
        <v/>
      </c>
      <c r="K116" s="951">
        <f>SUM(K110:K115)</f>
        <v/>
      </c>
      <c r="L116" s="951">
        <f>SUM(L110:L115)</f>
        <v/>
      </c>
      <c r="M116" s="952">
        <f>SUM(M110:M115)</f>
        <v/>
      </c>
      <c r="N116" s="952">
        <f>SUM(N110:N115)</f>
        <v/>
      </c>
      <c r="O116" s="952">
        <f>SUM(O110:O115)</f>
        <v/>
      </c>
      <c r="P116" s="952">
        <f>SUM(P110:P115)</f>
        <v/>
      </c>
      <c r="Q116" s="952">
        <f>SUM(Q110:Q115)</f>
        <v/>
      </c>
      <c r="R116" s="964">
        <f>SUM(R110:R115)</f>
        <v/>
      </c>
      <c r="S116" s="952" t="n">
        <v>0</v>
      </c>
      <c r="T116" s="952" t="n"/>
      <c r="U116" s="952" t="n"/>
      <c r="V116" s="952" t="n"/>
      <c r="W116" s="326" t="n"/>
    </row>
    <row r="117" outlineLevel="1">
      <c r="A117" s="294" t="inlineStr">
        <is>
          <t>A</t>
        </is>
      </c>
      <c r="E117" s="295" t="inlineStr">
        <is>
          <t>JCC</t>
        </is>
      </c>
      <c r="F117" s="944" t="n">
        <v>0</v>
      </c>
      <c r="G117" s="944" t="n">
        <v>0</v>
      </c>
      <c r="H117" s="944" t="n">
        <v>0</v>
      </c>
      <c r="I117" s="944" t="n">
        <v>0</v>
      </c>
      <c r="J117" s="944" t="n">
        <v>0</v>
      </c>
      <c r="K117" s="944" t="n">
        <v>0</v>
      </c>
      <c r="L117" s="944" t="n">
        <v>0</v>
      </c>
      <c r="M117" s="945" t="n"/>
      <c r="N117" s="945" t="n"/>
      <c r="O117" s="945" t="n"/>
      <c r="P117" s="945" t="n"/>
      <c r="Q117" s="945" t="n"/>
      <c r="R117" s="950">
        <f>SUM(F117:Q117)</f>
        <v/>
      </c>
      <c r="S117" s="945" t="n">
        <v>0</v>
      </c>
      <c r="T117" s="945" t="n"/>
      <c r="U117" s="945" t="n"/>
      <c r="V117" s="945" t="n"/>
      <c r="W117" s="316" t="n"/>
    </row>
    <row r="118" outlineLevel="1">
      <c r="A118" s="294" t="inlineStr">
        <is>
          <t>A</t>
        </is>
      </c>
      <c r="E118" s="295" t="inlineStr">
        <is>
          <t xml:space="preserve">CHCM (Eviden) </t>
        </is>
      </c>
      <c r="F118" s="944" t="n">
        <v>0</v>
      </c>
      <c r="G118" s="944" t="n">
        <v>0</v>
      </c>
      <c r="H118" s="944" t="n">
        <v>0</v>
      </c>
      <c r="I118" s="944" t="n">
        <v>0</v>
      </c>
      <c r="J118" s="944" t="n">
        <v>0</v>
      </c>
      <c r="K118" s="944" t="n">
        <v>0</v>
      </c>
      <c r="L118" s="944" t="n">
        <v>0</v>
      </c>
      <c r="M118" s="945" t="n"/>
      <c r="N118" s="945" t="n"/>
      <c r="O118" s="945" t="n"/>
      <c r="P118" s="945" t="n"/>
      <c r="Q118" s="945" t="n"/>
      <c r="R118" s="950">
        <f>SUM(F118:Q118)</f>
        <v/>
      </c>
      <c r="S118" s="945" t="n">
        <v>0</v>
      </c>
      <c r="T118" s="945" t="n"/>
      <c r="U118" s="945" t="n"/>
      <c r="V118" s="945" t="n"/>
      <c r="W118" s="316" t="n"/>
    </row>
    <row r="119" outlineLevel="1">
      <c r="A119" s="294" t="inlineStr">
        <is>
          <t>A</t>
        </is>
      </c>
      <c r="E119" s="295" t="inlineStr">
        <is>
          <t>DirX (Eviden)</t>
        </is>
      </c>
      <c r="F119" s="944" t="n">
        <v>0</v>
      </c>
      <c r="G119" s="944" t="n">
        <v>0</v>
      </c>
      <c r="H119" s="944" t="n">
        <v>0</v>
      </c>
      <c r="I119" s="944" t="n">
        <v>0</v>
      </c>
      <c r="J119" s="944" t="n">
        <v>0</v>
      </c>
      <c r="K119" s="944" t="n">
        <v>0</v>
      </c>
      <c r="L119" s="944" t="n">
        <v>0</v>
      </c>
      <c r="M119" s="945" t="n"/>
      <c r="N119" s="945" t="n"/>
      <c r="O119" s="945" t="n"/>
      <c r="P119" s="945" t="n"/>
      <c r="Q119" s="945" t="n"/>
      <c r="R119" s="950">
        <f>SUM(F119:Q119)</f>
        <v/>
      </c>
      <c r="S119" s="945" t="n">
        <v>0</v>
      </c>
      <c r="T119" s="945" t="n"/>
      <c r="U119" s="945" t="n"/>
      <c r="V119" s="945" t="n"/>
      <c r="W119" s="316" t="n"/>
    </row>
    <row r="120" outlineLevel="1">
      <c r="A120" s="303" t="n"/>
      <c r="B120" s="303" t="n">
        <v>3</v>
      </c>
      <c r="C120" s="303" t="n"/>
      <c r="D120" s="636" t="n"/>
      <c r="E120" s="304" t="inlineStr">
        <is>
          <t>Integrations DPS</t>
        </is>
      </c>
      <c r="F120" s="960">
        <f>SUM(F117:F119)</f>
        <v/>
      </c>
      <c r="G120" s="960">
        <f>SUM(G117:G119)</f>
        <v/>
      </c>
      <c r="H120" s="960">
        <f>SUM(H117:H119)</f>
        <v/>
      </c>
      <c r="I120" s="960">
        <f>SUM(I117:I119)</f>
        <v/>
      </c>
      <c r="J120" s="960">
        <f>SUM(J117:J119)</f>
        <v/>
      </c>
      <c r="K120" s="960">
        <f>SUM(K117:K119)</f>
        <v/>
      </c>
      <c r="L120" s="960">
        <f>SUM(L117:L119)</f>
        <v/>
      </c>
      <c r="M120" s="952">
        <f>SUM(M117:M119)</f>
        <v/>
      </c>
      <c r="N120" s="952">
        <f>SUM(N117:N119)</f>
        <v/>
      </c>
      <c r="O120" s="952">
        <f>SUM(O117:O119)</f>
        <v/>
      </c>
      <c r="P120" s="952">
        <f>SUM(P117:P119)</f>
        <v/>
      </c>
      <c r="Q120" s="952">
        <f>SUM(Q117:Q119)</f>
        <v/>
      </c>
      <c r="R120" s="964">
        <f>SUM(R117:R119)</f>
        <v/>
      </c>
      <c r="S120" s="952" t="n">
        <v>0</v>
      </c>
      <c r="T120" s="952" t="n"/>
      <c r="U120" s="952" t="n"/>
      <c r="V120" s="952" t="n"/>
      <c r="W120" s="319" t="n"/>
    </row>
    <row r="121" outlineLevel="1">
      <c r="A121" s="303" t="n"/>
      <c r="B121" s="303" t="n"/>
      <c r="C121" s="303" t="n"/>
      <c r="D121" s="636" t="inlineStr">
        <is>
          <t>GBS</t>
        </is>
      </c>
      <c r="E121" s="304" t="inlineStr">
        <is>
          <t>GBS total</t>
        </is>
      </c>
      <c r="F121" s="960">
        <f>F109+F116+F120</f>
        <v/>
      </c>
      <c r="G121" s="960">
        <f>G109+G116+G120</f>
        <v/>
      </c>
      <c r="H121" s="960">
        <f>H109+H116+H120</f>
        <v/>
      </c>
      <c r="I121" s="960">
        <f>I109+I116+I120</f>
        <v/>
      </c>
      <c r="J121" s="960">
        <f>J109+J116+J120</f>
        <v/>
      </c>
      <c r="K121" s="960">
        <f>K109+K116+K120</f>
        <v/>
      </c>
      <c r="L121" s="960">
        <f>L109+L116+L120</f>
        <v/>
      </c>
      <c r="M121" s="954">
        <f>M109+M116+M120</f>
        <v/>
      </c>
      <c r="N121" s="954">
        <f>N109+N116+N120</f>
        <v/>
      </c>
      <c r="O121" s="954">
        <f>O109+O116+O120</f>
        <v/>
      </c>
      <c r="P121" s="954">
        <f>P109+P116+P120</f>
        <v/>
      </c>
      <c r="Q121" s="963">
        <f>Q109+Q116+Q120</f>
        <v/>
      </c>
      <c r="R121" s="987">
        <f>R109+R116+R120</f>
        <v/>
      </c>
      <c r="S121" s="952" t="n"/>
      <c r="T121" s="952" t="n"/>
      <c r="U121" s="952" t="n"/>
      <c r="V121" s="952" t="n"/>
      <c r="W121" s="319" t="n"/>
    </row>
    <row r="122" outlineLevel="1">
      <c r="A122" s="294" t="inlineStr">
        <is>
          <t>E</t>
        </is>
      </c>
      <c r="D122" s="294" t="inlineStr">
        <is>
          <t>Av</t>
        </is>
      </c>
      <c r="E122" s="295" t="inlineStr">
        <is>
          <t>Avature</t>
        </is>
      </c>
      <c r="F122" s="944" t="n">
        <v>0</v>
      </c>
      <c r="G122" s="944" t="n">
        <v>0</v>
      </c>
      <c r="H122" s="944" t="n">
        <v>0</v>
      </c>
      <c r="I122" s="944" t="n">
        <v>0</v>
      </c>
      <c r="J122" s="944" t="n">
        <v>0</v>
      </c>
      <c r="K122" s="982" t="n"/>
      <c r="L122" s="945" t="n"/>
      <c r="M122" s="945" t="n"/>
      <c r="N122" s="945" t="n"/>
      <c r="O122" s="945" t="n"/>
      <c r="P122" s="945" t="n"/>
      <c r="Q122" s="988" t="n"/>
      <c r="R122" s="983">
        <f>SUM(F122:Q122)</f>
        <v/>
      </c>
      <c r="S122" s="945" t="n">
        <v>0</v>
      </c>
      <c r="T122" s="945" t="n"/>
      <c r="U122" s="945" t="n"/>
      <c r="V122" s="945" t="n"/>
      <c r="W122" s="477" t="inlineStr">
        <is>
          <t>costs for Avature tbd.</t>
        </is>
      </c>
    </row>
    <row r="123" outlineLevel="1">
      <c r="A123" s="303" t="n"/>
      <c r="B123" s="303" t="n">
        <v>2</v>
      </c>
      <c r="C123" s="303" t="n"/>
      <c r="D123" s="303" t="inlineStr">
        <is>
          <t>x</t>
        </is>
      </c>
      <c r="E123" s="304" t="inlineStr">
        <is>
          <t>Provider</t>
        </is>
      </c>
      <c r="F123" s="960">
        <f>SUM(F122)</f>
        <v/>
      </c>
      <c r="G123" s="960">
        <f>SUM(G122)</f>
        <v/>
      </c>
      <c r="H123" s="960">
        <f>SUM(H122)</f>
        <v/>
      </c>
      <c r="I123" s="960">
        <f>SUM(I122)</f>
        <v/>
      </c>
      <c r="J123" s="960">
        <f>SUM(J122)</f>
        <v/>
      </c>
      <c r="K123" s="960">
        <f>SUM(K122)</f>
        <v/>
      </c>
      <c r="L123" s="960">
        <f>SUM(L122)</f>
        <v/>
      </c>
      <c r="M123" s="952">
        <f>SUM(M122)</f>
        <v/>
      </c>
      <c r="N123" s="952">
        <f>SUM(N122)</f>
        <v/>
      </c>
      <c r="O123" s="952">
        <f>SUM(O122)</f>
        <v/>
      </c>
      <c r="P123" s="952">
        <f>SUM(P122)</f>
        <v/>
      </c>
      <c r="Q123" s="952">
        <f>SUM(Q122)</f>
        <v/>
      </c>
      <c r="R123" s="964">
        <f>SUM(R122:R122)</f>
        <v/>
      </c>
      <c r="S123" s="952" t="n">
        <v>0</v>
      </c>
      <c r="T123" s="952" t="n"/>
      <c r="U123" s="952" t="n"/>
      <c r="V123" s="952" t="n"/>
      <c r="W123" s="319" t="n"/>
    </row>
    <row r="124" outlineLevel="1">
      <c r="A124" s="294" t="inlineStr">
        <is>
          <t>D</t>
        </is>
      </c>
      <c r="B124" s="294" t="n">
        <v>2</v>
      </c>
      <c r="D124" s="294" t="inlineStr">
        <is>
          <t>TCYS</t>
        </is>
      </c>
      <c r="E124" s="295" t="inlineStr">
        <is>
          <t>CERT check (pen GBS)</t>
        </is>
      </c>
      <c r="F124" s="944" t="n">
        <v>0</v>
      </c>
      <c r="G124" s="944" t="n">
        <v>0</v>
      </c>
      <c r="H124" s="944" t="n">
        <v>0</v>
      </c>
      <c r="I124" s="944" t="n">
        <v>0</v>
      </c>
      <c r="J124" s="944" t="n">
        <v>0</v>
      </c>
      <c r="K124" s="944" t="n">
        <v>0</v>
      </c>
      <c r="L124" s="944" t="n">
        <v>0</v>
      </c>
      <c r="M124" s="945" t="n"/>
      <c r="N124" s="945" t="n"/>
      <c r="O124" s="945" t="n"/>
      <c r="P124" s="945" t="n"/>
      <c r="Q124" s="945" t="n"/>
      <c r="R124" s="950">
        <f>SUM(F124:Q124)</f>
        <v/>
      </c>
      <c r="S124" s="945" t="n">
        <v>0</v>
      </c>
      <c r="T124" s="945" t="n"/>
      <c r="U124" s="945" t="n"/>
      <c r="V124" s="945" t="n"/>
    </row>
    <row r="125" outlineLevel="1">
      <c r="A125" s="294" t="inlineStr">
        <is>
          <t>D</t>
        </is>
      </c>
      <c r="B125" s="294" t="n">
        <v>2</v>
      </c>
      <c r="D125" s="294" t="inlineStr">
        <is>
          <t>TCYS</t>
        </is>
      </c>
      <c r="E125" s="295" t="inlineStr">
        <is>
          <t>Accessibility Test</t>
        </is>
      </c>
      <c r="F125" s="944" t="n">
        <v>0</v>
      </c>
      <c r="G125" s="944" t="n">
        <v>0</v>
      </c>
      <c r="H125" s="944" t="n">
        <v>0</v>
      </c>
      <c r="I125" s="944" t="n">
        <v>0</v>
      </c>
      <c r="J125" s="944" t="n">
        <v>0</v>
      </c>
      <c r="K125" s="944" t="n">
        <v>0</v>
      </c>
      <c r="L125" s="944" t="n">
        <v>0</v>
      </c>
      <c r="M125" s="945" t="n"/>
      <c r="N125" s="945" t="n"/>
      <c r="O125" s="945" t="n"/>
      <c r="P125" s="945" t="n"/>
      <c r="Q125" s="945" t="n"/>
      <c r="R125" s="950">
        <f>SUM(F125:Q125)</f>
        <v/>
      </c>
      <c r="S125" s="945" t="n">
        <v>0</v>
      </c>
      <c r="T125" s="945" t="n"/>
      <c r="U125" s="945" t="n"/>
      <c r="V125" s="945" t="n"/>
    </row>
    <row r="126" outlineLevel="1">
      <c r="A126" s="294" t="inlineStr">
        <is>
          <t>D</t>
        </is>
      </c>
      <c r="D126" s="294" t="inlineStr">
        <is>
          <t>Trv</t>
        </is>
      </c>
      <c r="E126" s="295" t="inlineStr">
        <is>
          <t>Travel &amp; Hospitality</t>
        </is>
      </c>
      <c r="F126" s="944" t="n">
        <v>0</v>
      </c>
      <c r="G126" s="944" t="n">
        <v>0</v>
      </c>
      <c r="H126" s="944" t="n">
        <v>0</v>
      </c>
      <c r="I126" s="944" t="n">
        <v>0</v>
      </c>
      <c r="J126" s="944" t="n">
        <v>0</v>
      </c>
      <c r="K126" s="944" t="n">
        <v>0</v>
      </c>
      <c r="L126" s="944" t="n">
        <v>0</v>
      </c>
      <c r="M126" s="945" t="n"/>
      <c r="N126" s="945" t="n"/>
      <c r="O126" s="945" t="n"/>
      <c r="P126" s="945" t="n"/>
      <c r="Q126" s="945" t="n"/>
      <c r="R126" s="950">
        <f>SUM(F126:Q126)</f>
        <v/>
      </c>
      <c r="S126" s="945" t="n">
        <v>0</v>
      </c>
      <c r="T126" s="945" t="n"/>
      <c r="U126" s="945" t="n"/>
      <c r="V126" s="945" t="n"/>
    </row>
    <row r="127" outlineLevel="1" ht="12" customHeight="1" thickBot="1">
      <c r="A127" s="304" t="n"/>
      <c r="B127" s="304" t="n"/>
      <c r="C127" s="304" t="n"/>
      <c r="D127" s="303" t="inlineStr">
        <is>
          <t>x</t>
        </is>
      </c>
      <c r="E127" s="304" t="inlineStr">
        <is>
          <t>Additional costs</t>
        </is>
      </c>
      <c r="F127" s="960">
        <f>SUM(F124:F125)</f>
        <v/>
      </c>
      <c r="G127" s="960">
        <f>SUM(G124:G125)</f>
        <v/>
      </c>
      <c r="H127" s="960">
        <f>SUM(H124:H125)</f>
        <v/>
      </c>
      <c r="I127" s="960">
        <f>SUM(I124:I125)</f>
        <v/>
      </c>
      <c r="J127" s="960">
        <f>SUM(J124:J125)</f>
        <v/>
      </c>
      <c r="K127" s="960">
        <f>SUM(K124:K125)</f>
        <v/>
      </c>
      <c r="L127" s="960">
        <f>SUM(L124:L125)</f>
        <v/>
      </c>
      <c r="M127" s="954">
        <f>SUM(M124:M125)</f>
        <v/>
      </c>
      <c r="N127" s="954">
        <f>SUM(N124:N125)</f>
        <v/>
      </c>
      <c r="O127" s="954">
        <f>SUM(O124:O125)</f>
        <v/>
      </c>
      <c r="P127" s="954">
        <f>SUM(P124:P125)</f>
        <v/>
      </c>
      <c r="Q127" s="954">
        <f>SUM(Q124:Q125)</f>
        <v/>
      </c>
      <c r="R127" s="953">
        <f>SUM(R124:R126)</f>
        <v/>
      </c>
      <c r="S127" s="954" t="n">
        <v>0</v>
      </c>
      <c r="T127" s="954" t="n"/>
      <c r="U127" s="954" t="n"/>
      <c r="V127" s="975" t="n"/>
      <c r="W127" s="319" t="n"/>
    </row>
    <row r="128">
      <c r="A128" s="320" t="n"/>
      <c r="B128" s="320" t="n"/>
      <c r="C128" s="320" t="n"/>
      <c r="D128" s="648" t="inlineStr">
        <is>
          <t>x</t>
        </is>
      </c>
      <c r="E128" s="321" t="inlineStr">
        <is>
          <t>Total costs</t>
        </is>
      </c>
      <c r="F128" s="976">
        <f>F109+F116+F120+F123</f>
        <v/>
      </c>
      <c r="G128" s="976">
        <f>G109+G116</f>
        <v/>
      </c>
      <c r="H128" s="976">
        <f>H109+H116</f>
        <v/>
      </c>
      <c r="I128" s="965">
        <f>I109+I116+I120+I123+I127</f>
        <v/>
      </c>
      <c r="J128" s="965">
        <f>J109+J116+J120+J123+J127</f>
        <v/>
      </c>
      <c r="K128" s="965">
        <f>K109+K116+K120+K123+K127</f>
        <v/>
      </c>
      <c r="L128" s="965">
        <f>L109+L116+L120+L123+L127</f>
        <v/>
      </c>
      <c r="M128" s="968">
        <f>M109+M116+M120+M123+M127</f>
        <v/>
      </c>
      <c r="N128" s="968">
        <f>N109+N116+N120+N123+N127</f>
        <v/>
      </c>
      <c r="O128" s="968">
        <f>O109+O116+O120+O123+O127</f>
        <v/>
      </c>
      <c r="P128" s="968">
        <f>P109+P116+P120+P123+P127</f>
        <v/>
      </c>
      <c r="Q128" s="968">
        <f>Q109+Q116+Q120+Q123+Q127</f>
        <v/>
      </c>
      <c r="R128" s="977">
        <f>R109+R116+R120+R123+R127</f>
        <v/>
      </c>
      <c r="S128" s="968" t="n">
        <v>0</v>
      </c>
      <c r="T128" s="968" t="n"/>
      <c r="U128" s="968" t="n"/>
      <c r="V128" s="968" t="n"/>
      <c r="W128" s="320" t="n"/>
      <c r="X128" s="346" t="inlineStr">
        <is>
          <t>Revenue</t>
        </is>
      </c>
      <c r="Y128" s="969">
        <f>(R128*Y129)+R128</f>
        <v/>
      </c>
    </row>
    <row r="129" ht="12" customHeight="1" thickBot="1">
      <c r="A129" s="320" t="n"/>
      <c r="B129" s="320" t="n"/>
      <c r="C129" s="320" t="n"/>
      <c r="D129" s="648" t="inlineStr">
        <is>
          <t>x</t>
        </is>
      </c>
      <c r="E129" s="403" t="inlineStr">
        <is>
          <t>Accumulated costs Preboarding</t>
        </is>
      </c>
      <c r="F129" s="976">
        <f>SUM(F128)</f>
        <v/>
      </c>
      <c r="G129" s="976">
        <f>F129+G128</f>
        <v/>
      </c>
      <c r="H129" s="976">
        <f>G129+H128</f>
        <v/>
      </c>
      <c r="I129" s="965">
        <f>H129+I128</f>
        <v/>
      </c>
      <c r="J129" s="965">
        <f>I129+J128</f>
        <v/>
      </c>
      <c r="K129" s="965">
        <f>J129+K128</f>
        <v/>
      </c>
      <c r="L129" s="965">
        <f>K129+L128</f>
        <v/>
      </c>
      <c r="M129" s="966">
        <f>L129+M128</f>
        <v/>
      </c>
      <c r="N129" s="966">
        <f>M129+N128</f>
        <v/>
      </c>
      <c r="O129" s="966">
        <f>N129+O128</f>
        <v/>
      </c>
      <c r="P129" s="966">
        <f>O129+P128</f>
        <v/>
      </c>
      <c r="Q129" s="966">
        <f>P129+Q128</f>
        <v/>
      </c>
      <c r="R129" s="970">
        <f>R109+R116+R120+R123+R127</f>
        <v/>
      </c>
      <c r="S129" s="966" t="n">
        <v>0</v>
      </c>
      <c r="T129" s="320" t="n"/>
      <c r="U129" s="968" t="n"/>
      <c r="V129" s="320" t="n"/>
      <c r="W129" s="320" t="n"/>
      <c r="X129" s="348" t="inlineStr">
        <is>
          <t>Profit Margin</t>
        </is>
      </c>
      <c r="Y129" s="349" t="n">
        <v>0.05</v>
      </c>
    </row>
    <row r="130" ht="19.25" customHeight="1" thickBot="1">
      <c r="R130" s="955" t="n"/>
      <c r="S130" s="955" t="n"/>
    </row>
    <row r="131" ht="15" customFormat="1" customHeight="1" s="341">
      <c r="A131" s="342" t="n"/>
      <c r="B131" s="342" t="n"/>
      <c r="C131" s="342" t="n"/>
      <c r="D131" s="342" t="n"/>
      <c r="E131" s="343" t="inlineStr">
        <is>
          <t>Total</t>
        </is>
      </c>
      <c r="F131" s="989">
        <f>F66+F31+F128+F99</f>
        <v/>
      </c>
      <c r="G131" s="989">
        <f>G66+G31+G128+G99</f>
        <v/>
      </c>
      <c r="H131" s="989">
        <f>H66+H31+H128+H99</f>
        <v/>
      </c>
      <c r="I131" s="989">
        <f>I66+I31+I128+I99</f>
        <v/>
      </c>
      <c r="J131" s="989">
        <f>J66+J31+J128+J99</f>
        <v/>
      </c>
      <c r="K131" s="989">
        <f>K66+K31+K128+K99</f>
        <v/>
      </c>
      <c r="L131" s="989">
        <f>L66+L31+L128+L99</f>
        <v/>
      </c>
      <c r="M131" s="989">
        <f>M66+M31+M128+M99</f>
        <v/>
      </c>
      <c r="N131" s="989">
        <f>N66+N31+N128+N99</f>
        <v/>
      </c>
      <c r="O131" s="989">
        <f>O66+O31+O128+O99</f>
        <v/>
      </c>
      <c r="P131" s="989">
        <f>P66+P31+P128+P99</f>
        <v/>
      </c>
      <c r="Q131" s="989">
        <f>Q66+Q31+Q128+Q99</f>
        <v/>
      </c>
      <c r="R131" s="990">
        <f>SUM(F131:Q131)</f>
        <v/>
      </c>
      <c r="S131" s="989">
        <f>S66+S31</f>
        <v/>
      </c>
      <c r="T131" s="989">
        <f>T66+T31</f>
        <v/>
      </c>
      <c r="U131" s="989">
        <f>U66+U31</f>
        <v/>
      </c>
      <c r="V131" s="989">
        <f>SUM(T131-R131)</f>
        <v/>
      </c>
      <c r="W131" s="345" t="n"/>
      <c r="X131" s="346" t="inlineStr">
        <is>
          <t>Revenue</t>
        </is>
      </c>
      <c r="Y131" s="969">
        <f>R131*Y132+R131</f>
        <v/>
      </c>
      <c r="Z131" s="991" t="n">
        <v>2100000</v>
      </c>
      <c r="AA131" s="355" t="inlineStr">
        <is>
          <t>P&amp;O ECO DIG target</t>
        </is>
      </c>
    </row>
    <row r="132" ht="16" customHeight="1" thickBot="1">
      <c r="A132" s="350" t="n"/>
      <c r="B132" s="350" t="n"/>
      <c r="C132" s="350" t="n"/>
      <c r="D132" s="350" t="n"/>
      <c r="E132" s="343" t="inlineStr">
        <is>
          <t>Accumulated Total</t>
        </is>
      </c>
      <c r="F132" s="989">
        <f>SUM(F131)</f>
        <v/>
      </c>
      <c r="G132" s="989">
        <f>G131+F132</f>
        <v/>
      </c>
      <c r="H132" s="989">
        <f>H131+G132</f>
        <v/>
      </c>
      <c r="I132" s="989">
        <f>I131+H132</f>
        <v/>
      </c>
      <c r="J132" s="989">
        <f>J131+I132</f>
        <v/>
      </c>
      <c r="K132" s="989">
        <f>K131+J132</f>
        <v/>
      </c>
      <c r="L132" s="989">
        <f>L131+K132</f>
        <v/>
      </c>
      <c r="M132" s="989">
        <f>M131+L132</f>
        <v/>
      </c>
      <c r="N132" s="989">
        <f>N131+M132</f>
        <v/>
      </c>
      <c r="O132" s="989">
        <f>O131+N132</f>
        <v/>
      </c>
      <c r="P132" s="989">
        <f>P131+O132</f>
        <v/>
      </c>
      <c r="Q132" s="989">
        <f>Q131+P132</f>
        <v/>
      </c>
      <c r="R132" s="992">
        <f>Q132</f>
        <v/>
      </c>
      <c r="S132" s="350" t="n"/>
      <c r="T132" s="350" t="n"/>
      <c r="U132" s="350" t="n"/>
      <c r="V132" s="350" t="n"/>
      <c r="W132" s="351" t="n"/>
      <c r="X132" s="348" t="inlineStr">
        <is>
          <t>Profit Margin</t>
        </is>
      </c>
      <c r="Y132" s="349" t="n">
        <v>0.05</v>
      </c>
      <c r="Z132" s="993">
        <f>Y131-Z131</f>
        <v/>
      </c>
      <c r="AA132" s="318" t="inlineStr">
        <is>
          <t>Delta</t>
        </is>
      </c>
    </row>
    <row r="133" ht="15" customHeight="1">
      <c r="A133" s="328" t="inlineStr">
        <is>
          <t>Legend</t>
        </is>
      </c>
      <c r="B133" s="328" t="n"/>
      <c r="C133" s="328" t="n"/>
      <c r="D133" s="328" t="n"/>
      <c r="E133" s="294" t="n"/>
      <c r="F133" s="294" t="n"/>
      <c r="G133" s="294" t="n"/>
      <c r="H133" s="294" t="n"/>
      <c r="I133" s="294" t="n"/>
      <c r="J133" s="294" t="n"/>
      <c r="K133" s="294" t="inlineStr">
        <is>
          <t>P06</t>
        </is>
      </c>
      <c r="L133" s="994" t="n"/>
      <c r="M133" s="294" t="n"/>
      <c r="N133" s="294" t="n"/>
      <c r="O133" s="294" t="n"/>
      <c r="P133" s="294" t="n"/>
      <c r="Q133" s="294" t="n"/>
      <c r="R133" s="995" t="n"/>
      <c r="S133" s="995" t="n"/>
      <c r="T133" s="994" t="n"/>
      <c r="U133" s="294" t="n"/>
      <c r="V133" s="294" t="n"/>
    </row>
    <row r="134">
      <c r="A134" s="329" t="inlineStr">
        <is>
          <t>Actuals</t>
        </is>
      </c>
      <c r="B134" s="329" t="n"/>
      <c r="C134" s="329" t="n"/>
      <c r="D134" s="329" t="n"/>
      <c r="E134" s="294" t="inlineStr">
        <is>
          <t>ACT Cost YTD</t>
        </is>
      </c>
      <c r="F134" s="294" t="n"/>
      <c r="G134" s="294" t="n"/>
      <c r="H134" s="294" t="n"/>
      <c r="I134" s="294" t="n"/>
      <c r="J134" s="294" t="n"/>
      <c r="K134" s="996" t="n">
        <v>940328.64</v>
      </c>
      <c r="L134" s="996" t="n">
        <v>1105959</v>
      </c>
      <c r="M134" s="994" t="n"/>
      <c r="N134" s="294" t="n"/>
      <c r="O134" s="294" t="n"/>
      <c r="P134" s="294" t="n"/>
      <c r="Q134" s="294" t="n"/>
      <c r="R134" s="294" t="n"/>
      <c r="S134" s="294" t="n"/>
      <c r="T134" s="994" t="n"/>
      <c r="U134" s="294" t="n"/>
      <c r="V134" s="294" t="n"/>
    </row>
    <row r="135">
      <c r="A135" s="369" t="inlineStr">
        <is>
          <t>Approved</t>
        </is>
      </c>
      <c r="B135" s="369" t="n"/>
      <c r="C135" s="369" t="n"/>
      <c r="D135" s="369" t="n"/>
      <c r="E135" s="294" t="n"/>
      <c r="F135" s="294" t="n"/>
      <c r="G135" s="294" t="n"/>
      <c r="H135" s="294" t="n"/>
      <c r="I135" s="294" t="n"/>
      <c r="J135" s="294" t="n"/>
      <c r="K135" s="997">
        <f>SUM(K132-K134)</f>
        <v/>
      </c>
      <c r="L135" s="997">
        <f>SUM(L132-L134)</f>
        <v/>
      </c>
      <c r="M135" s="294" t="n"/>
      <c r="N135" s="294" t="n"/>
      <c r="O135" s="294" t="n"/>
      <c r="P135" s="294" t="n"/>
      <c r="Q135" s="294" t="n"/>
      <c r="R135" s="294" t="n"/>
      <c r="S135" s="294" t="n"/>
      <c r="T135" s="294" t="n"/>
      <c r="U135" s="294" t="n"/>
      <c r="V135" s="294" t="n"/>
    </row>
    <row r="136">
      <c r="A136" s="330" t="inlineStr">
        <is>
          <t>Forecast</t>
        </is>
      </c>
      <c r="B136" s="330" t="n"/>
      <c r="C136" s="330" t="n"/>
      <c r="D136" s="330" t="n"/>
    </row>
    <row r="138">
      <c r="E138" s="300" t="inlineStr">
        <is>
          <t>Avature</t>
        </is>
      </c>
      <c r="L138" s="300" t="n">
        <v>132808</v>
      </c>
      <c r="R138" s="955">
        <f>SUM(#REF!+R58+R60+R59+R91+R122)</f>
        <v/>
      </c>
    </row>
    <row r="139">
      <c r="E139" s="300" t="inlineStr">
        <is>
          <t>Eightfold</t>
        </is>
      </c>
      <c r="R139" s="955">
        <f>SUM(R25+R57)</f>
        <v/>
      </c>
    </row>
    <row r="140">
      <c r="E140" s="300" t="inlineStr">
        <is>
          <t>TuPu</t>
        </is>
      </c>
      <c r="R140" s="955">
        <f>SUM(R24+R56)</f>
        <v/>
      </c>
    </row>
  </sheetData>
  <autoFilter ref="A1:AA129"/>
  <conditionalFormatting sqref="T20 V21:V29 V56:V60">
    <cfRule type="cellIs" priority="1" operator="lessThan" dxfId="3">
      <formula>0</formula>
    </cfRule>
  </conditionalFormatting>
  <conditionalFormatting sqref="V3:V8 V10:V16 V18:V19 V31 V35:V48 V50:V53 V62:V65 V68 V91 V93:V98 V101 V103:V108 V110:V115">
    <cfRule type="cellIs" priority="10" operator="lessThan" dxfId="3">
      <formula>0</formula>
    </cfRule>
  </conditionalFormatting>
  <conditionalFormatting sqref="V70:V75 V85:V87">
    <cfRule type="cellIs" priority="8" operator="lessThan" dxfId="3">
      <formula>0</formula>
    </cfRule>
  </conditionalFormatting>
  <conditionalFormatting sqref="V77:V83">
    <cfRule type="cellIs" priority="4" operator="lessThan" dxfId="3">
      <formula>0</formula>
    </cfRule>
  </conditionalFormatting>
  <conditionalFormatting sqref="V117:V119">
    <cfRule type="cellIs" priority="5" operator="lessThan" dxfId="3">
      <formula>0</formula>
    </cfRule>
  </conditionalFormatting>
  <conditionalFormatting sqref="V122 V124:V127">
    <cfRule type="cellIs" priority="6" operator="lessThan" dxfId="3">
      <formula>0</formula>
    </cfRule>
  </conditionalFormatting>
  <conditionalFormatting sqref="Z35">
    <cfRule type="cellIs" priority="11" operator="lessThan" dxfId="0">
      <formula>0.05</formula>
    </cfRule>
  </conditionalFormatting>
  <conditionalFormatting sqref="Z70">
    <cfRule type="cellIs" priority="9" operator="lessThan" dxfId="0">
      <formula>0.05</formula>
    </cfRule>
  </conditionalFormatting>
  <conditionalFormatting sqref="Z103">
    <cfRule type="cellIs" priority="7" operator="lessThan" dxfId="0">
      <formula>0.05</formula>
    </cfRule>
  </conditionalFormatting>
  <pageMargins left="0.7" right="0.7" top="0.787401575" bottom="0.787401575" header="0.3" footer="0.3"/>
  <pageSetup orientation="portrait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theme="3" tint="0.5999938962981048"/>
    <outlinePr summaryBelow="1" summaryRight="1"/>
    <pageSetUpPr/>
  </sheetPr>
  <dimension ref="A1:M16"/>
  <sheetViews>
    <sheetView topLeftCell="B1" zoomScale="112" zoomScaleNormal="112" workbookViewId="0">
      <selection activeCell="N24" sqref="N24"/>
    </sheetView>
  </sheetViews>
  <sheetFormatPr baseColWidth="8" defaultColWidth="10.90625" defaultRowHeight="12.5"/>
  <cols>
    <col width="28.36328125" customWidth="1" min="1" max="1"/>
  </cols>
  <sheetData>
    <row r="1" ht="28" customHeight="1">
      <c r="A1" s="393" t="inlineStr">
        <is>
          <t>FY25
TMS Project</t>
        </is>
      </c>
      <c r="B1" s="394" t="n">
        <v>45566</v>
      </c>
      <c r="C1" s="394" t="n">
        <v>45597</v>
      </c>
      <c r="D1" s="394" t="n">
        <v>45627</v>
      </c>
      <c r="E1" s="394" t="n">
        <v>45658</v>
      </c>
      <c r="F1" s="394" t="n">
        <v>45689</v>
      </c>
      <c r="G1" s="394" t="n">
        <v>45717</v>
      </c>
      <c r="H1" s="394" t="n">
        <v>45748</v>
      </c>
      <c r="I1" s="394" t="n">
        <v>45778</v>
      </c>
      <c r="J1" s="394" t="n">
        <v>45809</v>
      </c>
      <c r="K1" s="394" t="n">
        <v>45839</v>
      </c>
      <c r="L1" s="394" t="n">
        <v>45870</v>
      </c>
      <c r="M1" s="394" t="n">
        <v>45901</v>
      </c>
    </row>
    <row r="2">
      <c r="A2" t="inlineStr">
        <is>
          <t>Eightfold Brandreport</t>
        </is>
      </c>
    </row>
    <row r="3">
      <c r="A3" t="inlineStr">
        <is>
          <t>Rechnungen</t>
        </is>
      </c>
      <c r="B3" s="944" t="n">
        <v>30324.75</v>
      </c>
      <c r="C3" s="944" t="n">
        <v>24259</v>
      </c>
      <c r="D3" s="944" t="n">
        <v>20419.5</v>
      </c>
      <c r="E3" s="944" t="n">
        <v>20732.75</v>
      </c>
      <c r="F3" s="944" t="n">
        <v>7706.5</v>
      </c>
      <c r="G3" s="944" t="n">
        <v>2392.25</v>
      </c>
    </row>
    <row r="4">
      <c r="E4" s="752" t="n">
        <v>21259.25</v>
      </c>
      <c r="F4" t="n">
        <v>28439.25</v>
      </c>
    </row>
    <row r="5">
      <c r="F5" t="n">
        <v>28892.8</v>
      </c>
    </row>
    <row r="6">
      <c r="A6" t="inlineStr">
        <is>
          <t>Gutschriften</t>
        </is>
      </c>
      <c r="F6" s="752" t="n">
        <v>21259.25</v>
      </c>
    </row>
    <row r="9">
      <c r="J9" t="inlineStr">
        <is>
          <t>Hallo Frau Prochazkova,</t>
        </is>
      </c>
    </row>
    <row r="11">
      <c r="J11" t="inlineStr">
        <is>
          <t>ich werde Rechnung(en) und Gutschrift mit Eightfold klären.</t>
        </is>
      </c>
    </row>
    <row r="13">
      <c r="J13" t="inlineStr">
        <is>
          <t>vielen Dank für Ihre Unterstützung.</t>
        </is>
      </c>
    </row>
    <row r="15">
      <c r="J15" t="inlineStr">
        <is>
          <t>Liebe Grüße</t>
        </is>
      </c>
    </row>
    <row r="16">
      <c r="J16" t="inlineStr">
        <is>
          <t>Claudia</t>
        </is>
      </c>
    </row>
  </sheetData>
  <pageMargins left="0.7" right="0.7" top="0.787401575" bottom="0.7874015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tabColor theme="3" tint="0.5999938962981048"/>
    <outlinePr summaryBelow="1" summaryRight="1"/>
    <pageSetUpPr/>
  </sheetPr>
  <dimension ref="A1:F11"/>
  <sheetViews>
    <sheetView workbookViewId="0">
      <selection activeCell="E2" sqref="E2"/>
    </sheetView>
  </sheetViews>
  <sheetFormatPr baseColWidth="8" defaultColWidth="10.90625" defaultRowHeight="12.5"/>
  <cols>
    <col width="23.90625" customWidth="1" min="1" max="1"/>
    <col width="17.08984375" bestFit="1" customWidth="1" min="2" max="2"/>
    <col width="23.453125" customWidth="1" min="3" max="3"/>
    <col width="8.6328125" customWidth="1" min="4" max="4"/>
    <col width="13.90625" bestFit="1" customWidth="1" min="5" max="5"/>
    <col width="12" bestFit="1" customWidth="1" min="6" max="6"/>
  </cols>
  <sheetData>
    <row r="1" ht="13" customHeight="1">
      <c r="A1" s="649" t="inlineStr">
        <is>
          <t>Workshop Title</t>
        </is>
      </c>
      <c r="B1" s="649" t="inlineStr">
        <is>
          <t>Time</t>
        </is>
      </c>
      <c r="C1" s="649" t="inlineStr">
        <is>
          <t>Employee/ Type of Costs</t>
        </is>
      </c>
      <c r="D1" s="649" t="inlineStr">
        <is>
          <t>Category</t>
        </is>
      </c>
      <c r="E1" s="649" t="inlineStr">
        <is>
          <t>Planned Costs</t>
        </is>
      </c>
      <c r="F1" s="649" t="inlineStr">
        <is>
          <t>Actual Costs</t>
        </is>
      </c>
    </row>
    <row r="2">
      <c r="A2" t="inlineStr">
        <is>
          <t>"One Careers" Workshop</t>
        </is>
      </c>
      <c r="B2" t="inlineStr">
        <is>
          <t>31.03. - 04.04.2025</t>
        </is>
      </c>
      <c r="C2" t="inlineStr">
        <is>
          <t>Test Team + Bruno</t>
        </is>
      </c>
      <c r="D2" t="n">
        <v>4</v>
      </c>
      <c r="E2" s="895" t="n">
        <v>3000</v>
      </c>
      <c r="F2" s="895" t="n"/>
    </row>
    <row r="3">
      <c r="A3" t="inlineStr">
        <is>
          <t>"One Careers" Workshop</t>
        </is>
      </c>
      <c r="B3" t="inlineStr">
        <is>
          <t>31.03. - 04.04.2025</t>
        </is>
      </c>
      <c r="C3" t="inlineStr">
        <is>
          <t>Facilities</t>
        </is>
      </c>
      <c r="E3" s="895">
        <f>660*5+300*5+100</f>
        <v/>
      </c>
      <c r="F3" s="895" t="n"/>
    </row>
    <row r="4">
      <c r="A4" t="inlineStr">
        <is>
          <t>"One Careers" Workshop</t>
        </is>
      </c>
      <c r="B4" t="inlineStr">
        <is>
          <t>31.03. - 04.04.2025</t>
        </is>
      </c>
      <c r="C4" t="inlineStr">
        <is>
          <t>Avature</t>
        </is>
      </c>
      <c r="D4" t="n">
        <v>2</v>
      </c>
      <c r="E4" s="895" t="n">
        <v>2000</v>
      </c>
      <c r="F4" s="895" t="n"/>
    </row>
    <row r="5">
      <c r="E5" s="895" t="n"/>
    </row>
    <row r="6">
      <c r="E6" s="895" t="n"/>
    </row>
    <row r="7">
      <c r="E7" s="895" t="n"/>
    </row>
    <row r="8">
      <c r="E8" s="895" t="n"/>
    </row>
    <row r="9">
      <c r="E9" s="895" t="n"/>
    </row>
    <row r="10">
      <c r="E10" s="895" t="n">
        <v>15100</v>
      </c>
    </row>
    <row r="11" ht="13" customHeight="1">
      <c r="A11" s="650" t="inlineStr">
        <is>
          <t>Total</t>
        </is>
      </c>
      <c r="B11" s="650" t="n"/>
      <c r="C11" s="650" t="n"/>
      <c r="D11" s="650" t="n"/>
      <c r="E11" s="998">
        <f>SUM(E2:E10)</f>
        <v/>
      </c>
      <c r="F11" s="998">
        <f>SUM(F2:F10)</f>
        <v/>
      </c>
    </row>
  </sheetData>
  <pageMargins left="0.7" right="0.7" top="0.787401575" bottom="0.787401575" header="0.3" footer="0.3"/>
  <pageSetup orientation="portrait" paperSize="9"/>
</worksheet>
</file>

<file path=xl/worksheets/sheet8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A1:AM44"/>
  <sheetViews>
    <sheetView zoomScale="95" zoomScaleNormal="95" workbookViewId="0">
      <pane xSplit="2" ySplit="4" topLeftCell="P5" activePane="bottomRight" state="frozen"/>
      <selection pane="topRight" activeCell="B1" sqref="B1"/>
      <selection pane="bottomLeft" activeCell="A5" sqref="A5"/>
      <selection pane="bottomRight" activeCell="Y16" sqref="Y16"/>
    </sheetView>
  </sheetViews>
  <sheetFormatPr baseColWidth="8" defaultColWidth="9.08984375" defaultRowHeight="12.5"/>
  <cols>
    <col width="5.90625" customWidth="1" style="493" min="1" max="1"/>
    <col width="50.453125" customWidth="1" style="493" min="2" max="2"/>
    <col width="18.08984375" customWidth="1" style="506" min="3" max="3"/>
    <col width="14.453125" customWidth="1" style="493" min="4" max="4"/>
    <col width="15.08984375" customWidth="1" style="493" min="5" max="5"/>
    <col width="14.54296875" customWidth="1" style="493" min="6" max="6"/>
    <col width="7.54296875" customWidth="1" style="493" min="7" max="7"/>
    <col width="11.36328125" customWidth="1" style="493" min="8" max="8"/>
    <col width="12.6328125" customWidth="1" style="493" min="9" max="9"/>
    <col width="13.6328125" customWidth="1" style="493" min="10" max="10"/>
    <col width="14.08984375" customWidth="1" style="493" min="11" max="11"/>
    <col width="7.54296875" customWidth="1" style="493" min="12" max="12"/>
    <col width="11.36328125" customWidth="1" style="493" min="13" max="13"/>
    <col width="12.6328125" customWidth="1" style="493" min="14" max="14"/>
    <col width="13.6328125" customWidth="1" style="493" min="15" max="15"/>
    <col width="12.90625" customWidth="1" style="493" min="16" max="16"/>
    <col width="5.6328125" customWidth="1" style="493" min="17" max="17"/>
    <col width="11.36328125" customWidth="1" style="493" min="18" max="18"/>
    <col width="12.6328125" customWidth="1" style="493" min="19" max="19"/>
    <col width="14.54296875" customWidth="1" style="493" min="20" max="20"/>
    <col width="14.36328125" customWidth="1" style="493" min="21" max="21"/>
    <col width="6" customWidth="1" style="493" min="22" max="22"/>
    <col width="10.6328125" customWidth="1" style="493" min="23" max="23"/>
    <col width="11.54296875" bestFit="1" customWidth="1" style="493" min="24" max="24"/>
    <col width="13.6328125" customWidth="1" style="493" min="25" max="25"/>
    <col width="0.90625" customWidth="1" style="493" min="26" max="26"/>
    <col width="15.08984375" customWidth="1" style="493" min="27" max="27"/>
    <col width="6.36328125" customWidth="1" style="493" min="28" max="28"/>
    <col width="10.08984375" customWidth="1" style="493" min="29" max="29"/>
    <col width="11.54296875" bestFit="1" customWidth="1" style="493" min="30" max="31"/>
    <col width="1.36328125" customWidth="1" style="493" min="32" max="32"/>
    <col width="15.08984375" customWidth="1" style="493" min="33" max="33"/>
    <col width="6.36328125" customWidth="1" style="493" min="34" max="34"/>
    <col width="10.08984375" customWidth="1" style="493" min="35" max="35"/>
    <col width="11.54296875" bestFit="1" customWidth="1" style="493" min="36" max="37"/>
    <col width="9.08984375" customWidth="1" style="493" min="38" max="16384"/>
  </cols>
  <sheetData>
    <row r="1" ht="17" customHeight="1">
      <c r="B1" s="479" t="inlineStr">
        <is>
          <t>nicht mit P&amp;O teilen</t>
        </is>
      </c>
    </row>
    <row r="2" ht="17" customHeight="1" thickBot="1">
      <c r="B2" s="827" t="inlineStr">
        <is>
          <t>TMS Landscape - Budget Project and Operation</t>
        </is>
      </c>
      <c r="C2" s="829" t="n"/>
      <c r="D2" s="829" t="n"/>
      <c r="E2" s="829" t="n"/>
      <c r="F2" s="829" t="n"/>
      <c r="G2" s="829" t="n"/>
      <c r="H2" s="830" t="n"/>
      <c r="L2" s="510" t="n"/>
      <c r="M2" s="511" t="n"/>
      <c r="U2" s="666" t="n"/>
      <c r="V2" s="666" t="n"/>
      <c r="W2" s="666" t="n"/>
      <c r="X2" s="666" t="n"/>
      <c r="Y2" s="666" t="n"/>
      <c r="AA2" s="697" t="n"/>
      <c r="AB2" s="697" t="n"/>
      <c r="AC2" s="697" t="n"/>
      <c r="AD2" s="697" t="n"/>
      <c r="AE2" s="697" t="n"/>
      <c r="AG2" s="792" t="n"/>
      <c r="AH2" s="792" t="n"/>
      <c r="AI2" s="792" t="n"/>
      <c r="AJ2" s="792" t="n"/>
      <c r="AK2" s="792" t="n"/>
    </row>
    <row r="3" ht="47" customHeight="1" thickTop="1">
      <c r="A3" s="560" t="inlineStr">
        <is>
          <t xml:space="preserve">Cat. </t>
        </is>
      </c>
      <c r="B3" s="480" t="n"/>
      <c r="C3" s="512" t="inlineStr">
        <is>
          <t>Budget FY25
03.2024</t>
        </is>
      </c>
      <c r="D3" s="513" t="inlineStr">
        <is>
          <t>an Steffi 03.2024</t>
        </is>
      </c>
      <c r="E3" s="514" t="inlineStr">
        <is>
          <t>Planned Costs FY25
07.2024</t>
        </is>
      </c>
      <c r="F3" s="514" t="inlineStr">
        <is>
          <t xml:space="preserve">Planned Costs FY25 - New 11.2024
</t>
        </is>
      </c>
      <c r="G3" s="999" t="inlineStr">
        <is>
          <t>Marge</t>
        </is>
      </c>
      <c r="H3" s="1000" t="n"/>
      <c r="I3" s="483" t="inlineStr">
        <is>
          <t>Revenue</t>
        </is>
      </c>
      <c r="J3" s="513" t="inlineStr">
        <is>
          <t>an Steffi 11.2024</t>
        </is>
      </c>
      <c r="K3" s="516" t="inlineStr">
        <is>
          <t>Planned Costs FY25 - New 12.2024</t>
        </is>
      </c>
      <c r="L3" s="1001" t="inlineStr">
        <is>
          <t>Marge</t>
        </is>
      </c>
      <c r="M3" s="1000" t="n"/>
      <c r="N3" s="517" t="inlineStr">
        <is>
          <t>Revenue</t>
        </is>
      </c>
      <c r="O3" s="517" t="inlineStr">
        <is>
          <t>an Steffi 12.2024</t>
        </is>
      </c>
      <c r="P3" s="579" t="inlineStr">
        <is>
          <t>Forecast Q1</t>
        </is>
      </c>
      <c r="Q3" s="1002" t="inlineStr">
        <is>
          <t>Marge</t>
        </is>
      </c>
      <c r="R3" s="1000" t="n"/>
      <c r="S3" s="482" t="inlineStr">
        <is>
          <t>Revenue</t>
        </is>
      </c>
      <c r="T3" s="670" t="inlineStr">
        <is>
          <t>an Steffi 01.2025</t>
        </is>
      </c>
      <c r="U3" s="667" t="inlineStr">
        <is>
          <t>Forecast Q2 (freeze 11.03.2025)</t>
        </is>
      </c>
      <c r="V3" s="826" t="inlineStr">
        <is>
          <t>Marge</t>
        </is>
      </c>
      <c r="W3" s="1003" t="n"/>
      <c r="X3" s="665" t="inlineStr">
        <is>
          <t>Revenue</t>
        </is>
      </c>
      <c r="Y3" s="687" t="inlineStr">
        <is>
          <t>an Steffi 11.03.2025</t>
        </is>
      </c>
      <c r="Z3" s="689" t="n"/>
      <c r="AA3" s="807" t="inlineStr">
        <is>
          <t>Forecast Q3 (freeze)</t>
        </is>
      </c>
      <c r="AB3" s="1004" t="inlineStr">
        <is>
          <t>Marge</t>
        </is>
      </c>
      <c r="AC3" s="1005" t="n"/>
      <c r="AD3" s="696" t="inlineStr">
        <is>
          <t>Revenue</t>
        </is>
      </c>
      <c r="AE3" s="698" t="inlineStr">
        <is>
          <t>an Steffi 23.06.2025</t>
        </is>
      </c>
      <c r="AG3" s="807" t="inlineStr">
        <is>
          <t>Forecast Q4 (running/ actuals)</t>
        </is>
      </c>
      <c r="AH3" s="1004" t="inlineStr">
        <is>
          <t>Marge</t>
        </is>
      </c>
      <c r="AI3" s="1005" t="n"/>
      <c r="AJ3" s="696" t="inlineStr">
        <is>
          <t>Revenue</t>
        </is>
      </c>
      <c r="AK3" s="698" t="inlineStr">
        <is>
          <t>an Steffi dd.08.2025</t>
        </is>
      </c>
    </row>
    <row r="4" ht="18.65" customHeight="1">
      <c r="A4" s="560" t="n"/>
      <c r="B4" s="498" t="inlineStr">
        <is>
          <t>Project Ext. Careers Portal (form. Eightfold) Crew</t>
        </is>
      </c>
      <c r="C4" s="518" t="inlineStr">
        <is>
          <t>SAG</t>
        </is>
      </c>
      <c r="D4" s="513" t="n"/>
      <c r="E4" s="821" t="inlineStr">
        <is>
          <t>SAG</t>
        </is>
      </c>
      <c r="F4" s="821" t="n"/>
      <c r="G4" s="821" t="inlineStr">
        <is>
          <t>%</t>
        </is>
      </c>
      <c r="H4" s="519" t="inlineStr">
        <is>
          <t>EUR</t>
        </is>
      </c>
      <c r="I4" s="520" t="n"/>
      <c r="J4" s="513" t="n"/>
      <c r="K4" s="516" t="n"/>
      <c r="L4" s="521" t="inlineStr">
        <is>
          <t>%</t>
        </is>
      </c>
      <c r="M4" s="522" t="inlineStr">
        <is>
          <t>EUR</t>
        </is>
      </c>
      <c r="N4" s="523" t="n"/>
      <c r="O4" s="517" t="n"/>
      <c r="P4" s="579" t="n"/>
      <c r="Q4" s="825" t="inlineStr">
        <is>
          <t>%</t>
        </is>
      </c>
      <c r="R4" s="484" t="inlineStr">
        <is>
          <t>EUR</t>
        </is>
      </c>
      <c r="S4" s="485" t="n"/>
      <c r="T4" s="670" t="n"/>
      <c r="U4" s="668" t="n"/>
      <c r="V4" s="633" t="inlineStr">
        <is>
          <t>%</t>
        </is>
      </c>
      <c r="W4" s="634" t="inlineStr">
        <is>
          <t>EUR</t>
        </is>
      </c>
      <c r="X4" s="635" t="n"/>
      <c r="Y4" s="685" t="n"/>
      <c r="Z4" s="689" t="n"/>
      <c r="AA4" s="580" t="n"/>
      <c r="AB4" s="580" t="inlineStr">
        <is>
          <t>%</t>
        </is>
      </c>
      <c r="AC4" s="581" t="inlineStr">
        <is>
          <t>EUR</t>
        </is>
      </c>
      <c r="AD4" s="582" t="n"/>
      <c r="AE4" s="699" t="n"/>
      <c r="AG4" s="580" t="n"/>
      <c r="AH4" s="580" t="inlineStr">
        <is>
          <t>%</t>
        </is>
      </c>
      <c r="AI4" s="581" t="inlineStr">
        <is>
          <t>EUR</t>
        </is>
      </c>
      <c r="AJ4" s="582" t="n"/>
      <c r="AK4" s="699" t="n"/>
    </row>
    <row r="5" ht="14" customHeight="1">
      <c r="A5" s="560" t="inlineStr">
        <is>
          <t>AV</t>
        </is>
      </c>
      <c r="B5" s="486" t="inlineStr">
        <is>
          <t>Avature</t>
        </is>
      </c>
      <c r="C5" s="1006" t="n">
        <v>578500</v>
      </c>
      <c r="D5" s="1007" t="n">
        <v>610000</v>
      </c>
      <c r="E5" s="1006" t="n">
        <v>578500</v>
      </c>
      <c r="F5" s="1006" t="n">
        <v>0</v>
      </c>
      <c r="G5" s="488" t="n">
        <v>0.05</v>
      </c>
      <c r="H5" s="1006">
        <f>SUM(F5*G5)</f>
        <v/>
      </c>
      <c r="I5" s="1008">
        <f>SUM(F5+H5)</f>
        <v/>
      </c>
      <c r="J5" s="1007" t="n">
        <v>0</v>
      </c>
      <c r="K5" s="1009" t="n"/>
      <c r="L5" s="488" t="n">
        <v>0.05</v>
      </c>
      <c r="M5" s="1006">
        <f>SUM(K5*L5)</f>
        <v/>
      </c>
      <c r="N5" s="1008">
        <f>SUM(K5+M5)</f>
        <v/>
      </c>
      <c r="O5" s="1010" t="n">
        <v>0</v>
      </c>
      <c r="P5" s="1011" t="n">
        <v>0</v>
      </c>
      <c r="Q5" s="488" t="n">
        <v>0.05</v>
      </c>
      <c r="R5" s="1006">
        <f>SUM(P5*Q5)</f>
        <v/>
      </c>
      <c r="S5" s="1006">
        <f>SUM(P5+R5)</f>
        <v/>
      </c>
      <c r="T5" s="1012" t="n">
        <v>0</v>
      </c>
      <c r="U5" s="1013" t="n">
        <v>240000</v>
      </c>
      <c r="V5" s="638" t="n">
        <v>0.05</v>
      </c>
      <c r="W5" s="1014">
        <f>SUM(U5*V5)</f>
        <v/>
      </c>
      <c r="X5" s="1014">
        <f>SUM(U5+W5)</f>
        <v/>
      </c>
      <c r="Y5" s="1015" t="n">
        <v>252000</v>
      </c>
      <c r="Z5" s="1016" t="n"/>
      <c r="AA5" s="1009" t="n">
        <v>303439</v>
      </c>
      <c r="AB5" s="488" t="n">
        <v>0.05</v>
      </c>
      <c r="AC5" s="1006">
        <f>SUM(AA5*AB5)</f>
        <v/>
      </c>
      <c r="AD5" s="1006">
        <f>SUM(AA5+AC5)</f>
        <v/>
      </c>
      <c r="AE5" s="1017" t="n">
        <v>319000</v>
      </c>
      <c r="AG5" s="1009">
        <f>Project!X90+Project!X91</f>
        <v/>
      </c>
      <c r="AH5" s="488" t="n">
        <v>0.05</v>
      </c>
      <c r="AI5" s="1006">
        <f>SUM(AG5*AH5)</f>
        <v/>
      </c>
      <c r="AJ5" s="1006">
        <f>SUM(AG5+AI5)</f>
        <v/>
      </c>
      <c r="AK5" s="1017" t="n">
        <v>319000</v>
      </c>
      <c r="AM5" s="493" t="n">
        <v>303439</v>
      </c>
    </row>
    <row r="6" ht="14.4" customHeight="1">
      <c r="A6" s="560" t="inlineStr">
        <is>
          <t>8F</t>
        </is>
      </c>
      <c r="B6" s="486" t="inlineStr">
        <is>
          <t>Eightfold SoW + CRs</t>
        </is>
      </c>
      <c r="C6" s="1007" t="n">
        <v>150000</v>
      </c>
      <c r="D6" s="1007" t="n">
        <v>160000</v>
      </c>
      <c r="E6" s="1007" t="n">
        <v>150000</v>
      </c>
      <c r="F6" s="1018" t="n">
        <v>300000</v>
      </c>
      <c r="G6" s="488" t="n">
        <v>0.05</v>
      </c>
      <c r="H6" s="1006">
        <f>SUM(F6*G6)</f>
        <v/>
      </c>
      <c r="I6" s="1008">
        <f>SUM(F6+H6)</f>
        <v/>
      </c>
      <c r="J6" s="1007" t="n">
        <v>315000</v>
      </c>
      <c r="K6" s="1018" t="n">
        <v>300000</v>
      </c>
      <c r="L6" s="488" t="n">
        <v>0.05</v>
      </c>
      <c r="M6" s="1006">
        <f>SUM(K6*L6)</f>
        <v/>
      </c>
      <c r="N6" s="1008">
        <f>SUM(K6+M6)</f>
        <v/>
      </c>
      <c r="O6" s="1010" t="n">
        <v>315000</v>
      </c>
      <c r="P6" s="1019" t="n">
        <v>100000</v>
      </c>
      <c r="Q6" s="488" t="n">
        <v>0.05</v>
      </c>
      <c r="R6" s="1006">
        <f>SUM(P6*Q6)</f>
        <v/>
      </c>
      <c r="S6" s="1006">
        <f>SUM(P6+R6)</f>
        <v/>
      </c>
      <c r="T6" s="1012" t="n">
        <v>105000</v>
      </c>
      <c r="U6" s="1018" t="n">
        <v>114003</v>
      </c>
      <c r="V6" s="637" t="n">
        <v>0.05</v>
      </c>
      <c r="W6" s="1007">
        <f>SUM(U6*V6)</f>
        <v/>
      </c>
      <c r="X6" s="1007">
        <f>SUM(U6+W6)</f>
        <v/>
      </c>
      <c r="Y6" s="1020" t="n">
        <v>119700</v>
      </c>
      <c r="Z6" s="1016" t="n"/>
      <c r="AA6" s="1018">
        <f>Project!R25</f>
        <v/>
      </c>
      <c r="AB6" s="488" t="n">
        <v>0.05</v>
      </c>
      <c r="AC6" s="1006">
        <f>SUM(AA6*AB6)</f>
        <v/>
      </c>
      <c r="AD6" s="1006">
        <f>SUM(AA6+AC6)</f>
        <v/>
      </c>
      <c r="AE6" s="1021" t="n">
        <v>120000</v>
      </c>
      <c r="AG6" s="1018">
        <f>Project!X25</f>
        <v/>
      </c>
      <c r="AH6" s="488" t="n">
        <v>0.05</v>
      </c>
      <c r="AI6" s="1006">
        <f>SUM(AG6*AH6)</f>
        <v/>
      </c>
      <c r="AJ6" s="1006">
        <f>SUM(AG6+AI6)</f>
        <v/>
      </c>
      <c r="AK6" s="1021" t="n">
        <v>120000</v>
      </c>
      <c r="AM6" s="493" t="n">
        <v>115085</v>
      </c>
    </row>
    <row r="7" ht="17" customHeight="1">
      <c r="A7" s="647" t="inlineStr">
        <is>
          <t>GBS</t>
        </is>
      </c>
      <c r="B7" s="491" t="inlineStr">
        <is>
          <t>GBS H2R DPS</t>
        </is>
      </c>
      <c r="C7" s="1022" t="n">
        <v>498500</v>
      </c>
      <c r="D7" s="1007" t="n">
        <v>525000</v>
      </c>
      <c r="E7" s="1022" t="n">
        <v>498500</v>
      </c>
      <c r="F7" s="1006" t="n">
        <v>503800</v>
      </c>
      <c r="G7" s="488" t="n">
        <v>0.05</v>
      </c>
      <c r="H7" s="1006">
        <f>SUM(F7*G7)</f>
        <v/>
      </c>
      <c r="I7" s="1008">
        <f>SUM(F7+H7)</f>
        <v/>
      </c>
      <c r="J7" s="1007" t="n">
        <v>530000</v>
      </c>
      <c r="K7" s="1018" t="n">
        <v>512500</v>
      </c>
      <c r="L7" s="488" t="n">
        <v>0.05</v>
      </c>
      <c r="M7" s="1006">
        <f>SUM(K7*L7)</f>
        <v/>
      </c>
      <c r="N7" s="1008">
        <f>SUM(K7+M7)</f>
        <v/>
      </c>
      <c r="O7" s="1010" t="n">
        <v>538125</v>
      </c>
      <c r="P7" s="1023" t="n">
        <v>509000</v>
      </c>
      <c r="Q7" s="488" t="n">
        <v>0.05</v>
      </c>
      <c r="R7" s="1006">
        <f>SUM(P7*Q7)</f>
        <v/>
      </c>
      <c r="S7" s="1006">
        <f>SUM(P7+R7)</f>
        <v/>
      </c>
      <c r="T7" s="1012" t="n">
        <v>535000</v>
      </c>
      <c r="U7" s="1018" t="n">
        <v>516735</v>
      </c>
      <c r="V7" s="637" t="n">
        <v>0.05</v>
      </c>
      <c r="W7" s="1007">
        <f>SUM(U7*V7)</f>
        <v/>
      </c>
      <c r="X7" s="1007">
        <f>SUM(U7+W7)</f>
        <v/>
      </c>
      <c r="Y7" s="1020" t="n">
        <v>542500</v>
      </c>
      <c r="Z7" s="1016" t="n"/>
      <c r="AA7" s="1024">
        <f>Project!R23+Project!R89</f>
        <v/>
      </c>
      <c r="AB7" s="488" t="n">
        <v>0.05</v>
      </c>
      <c r="AC7" s="1006">
        <f>SUM(AA7*AB7)</f>
        <v/>
      </c>
      <c r="AD7" s="1006">
        <f>SUM(AA7+AC7)</f>
        <v/>
      </c>
      <c r="AE7" s="1017" t="n">
        <v>521000</v>
      </c>
      <c r="AG7" s="1024">
        <f>Project!X23+Project!X89</f>
        <v/>
      </c>
      <c r="AH7" s="488" t="n">
        <v>0.05</v>
      </c>
      <c r="AI7" s="1006">
        <f>SUM(AG7*AH7)</f>
        <v/>
      </c>
      <c r="AJ7" s="1006">
        <f>SUM(AG7+AI7)</f>
        <v/>
      </c>
      <c r="AK7" s="1017" t="n">
        <v>521000</v>
      </c>
      <c r="AM7" s="493" t="n">
        <v>496121</v>
      </c>
    </row>
    <row r="8" ht="16.25" customHeight="1">
      <c r="A8" s="647" t="inlineStr">
        <is>
          <t>TCYS</t>
        </is>
      </c>
      <c r="B8" s="491" t="inlineStr">
        <is>
          <t>T (CYS &amp; Access.)</t>
        </is>
      </c>
      <c r="C8" s="1022" t="n">
        <v>10000</v>
      </c>
      <c r="D8" s="1007" t="n">
        <v>10500</v>
      </c>
      <c r="E8" s="1022" t="n">
        <v>10000</v>
      </c>
      <c r="F8" s="1025" t="n">
        <v>10000</v>
      </c>
      <c r="G8" s="488" t="n">
        <v>0.05</v>
      </c>
      <c r="H8" s="1006">
        <f>SUM(F8*G8)</f>
        <v/>
      </c>
      <c r="I8" s="1008">
        <f>SUM(E8+H8)</f>
        <v/>
      </c>
      <c r="J8" s="1007" t="n">
        <v>10500</v>
      </c>
      <c r="K8" s="1018" t="n">
        <v>10000</v>
      </c>
      <c r="L8" s="488" t="n">
        <v>0.05</v>
      </c>
      <c r="M8" s="1006">
        <f>SUM(K8*L8)</f>
        <v/>
      </c>
      <c r="N8" s="1008">
        <f>SUM(K8+M8)</f>
        <v/>
      </c>
      <c r="O8" s="1010" t="n">
        <v>10500</v>
      </c>
      <c r="P8" s="1023" t="n">
        <v>10000</v>
      </c>
      <c r="Q8" s="488" t="n">
        <v>0.05</v>
      </c>
      <c r="R8" s="1006">
        <f>SUM(P8*Q8)</f>
        <v/>
      </c>
      <c r="S8" s="1006">
        <f>SUM(P8+R8)</f>
        <v/>
      </c>
      <c r="T8" s="1020" t="n">
        <v>10500</v>
      </c>
      <c r="U8" s="1018" t="n">
        <v>10000</v>
      </c>
      <c r="V8" s="637" t="n">
        <v>0.05</v>
      </c>
      <c r="W8" s="1007">
        <f>SUM(U8*V8)</f>
        <v/>
      </c>
      <c r="X8" s="1007">
        <f>SUM(U8+W8)</f>
        <v/>
      </c>
      <c r="Y8" s="1020" t="n">
        <v>10500</v>
      </c>
      <c r="Z8" s="1016" t="n"/>
      <c r="AA8" s="1024">
        <f>Project!R93</f>
        <v/>
      </c>
      <c r="AB8" s="488" t="n">
        <v>0.05</v>
      </c>
      <c r="AC8" s="1006">
        <f>SUM(AA8*AB8)</f>
        <v/>
      </c>
      <c r="AD8" s="1006">
        <f>SUM(AA8+AC8)</f>
        <v/>
      </c>
      <c r="AE8" s="1017" t="n">
        <v>10500</v>
      </c>
      <c r="AG8" s="1024">
        <f>Project!X93</f>
        <v/>
      </c>
      <c r="AH8" s="488" t="n">
        <v>0.05</v>
      </c>
      <c r="AI8" s="1006">
        <f>SUM(AG8*AH8)</f>
        <v/>
      </c>
      <c r="AJ8" s="1006">
        <f>SUM(AG8+AI8)</f>
        <v/>
      </c>
      <c r="AK8" s="1017" t="n">
        <v>10500</v>
      </c>
      <c r="AM8" t="n">
        <v>10000</v>
      </c>
    </row>
    <row r="9">
      <c r="A9" s="560" t="inlineStr">
        <is>
          <t>Trv</t>
        </is>
      </c>
      <c r="B9" s="491" t="inlineStr">
        <is>
          <t>Travel costs</t>
        </is>
      </c>
      <c r="C9" s="1022" t="n">
        <v>50000</v>
      </c>
      <c r="D9" s="1007" t="n">
        <v>52500</v>
      </c>
      <c r="E9" s="1022" t="n">
        <v>50000</v>
      </c>
      <c r="F9" s="1025" t="n">
        <v>50000</v>
      </c>
      <c r="G9" s="488" t="n">
        <v>0.05</v>
      </c>
      <c r="H9" s="1006">
        <f>SUM(F9*G9)</f>
        <v/>
      </c>
      <c r="I9" s="1008">
        <f>SUM(E9+H9)</f>
        <v/>
      </c>
      <c r="J9" s="1007" t="n">
        <v>52500</v>
      </c>
      <c r="K9" s="1018" t="n">
        <v>50000</v>
      </c>
      <c r="L9" s="488" t="n">
        <v>0.05</v>
      </c>
      <c r="M9" s="1006">
        <f>SUM(K9*L9)</f>
        <v/>
      </c>
      <c r="N9" s="1008">
        <f>SUM(K9+M9)</f>
        <v/>
      </c>
      <c r="O9" s="1010" t="n">
        <v>52500</v>
      </c>
      <c r="P9" s="1023" t="n">
        <v>50000</v>
      </c>
      <c r="Q9" s="488" t="n">
        <v>0.05</v>
      </c>
      <c r="R9" s="1006">
        <f>SUM(P9*Q9)</f>
        <v/>
      </c>
      <c r="S9" s="1006">
        <f>SUM(P9+R9)</f>
        <v/>
      </c>
      <c r="T9" s="1012" t="n">
        <v>52500</v>
      </c>
      <c r="U9" s="1018" t="n">
        <v>25000</v>
      </c>
      <c r="V9" s="637" t="n">
        <v>0.05</v>
      </c>
      <c r="W9" s="1007">
        <f>SUM(U9*V9)</f>
        <v/>
      </c>
      <c r="X9" s="1007">
        <f>SUM(U9+W9)</f>
        <v/>
      </c>
      <c r="Y9" s="1020" t="n">
        <v>26000</v>
      </c>
      <c r="Z9" s="1016" t="n"/>
      <c r="AA9" s="1024">
        <f>Project!R95+Project!R96+Project!R97</f>
        <v/>
      </c>
      <c r="AB9" s="488" t="n">
        <v>0.05</v>
      </c>
      <c r="AC9" s="1006">
        <f>SUM(AA9*AB9)</f>
        <v/>
      </c>
      <c r="AD9" s="1006">
        <f>SUM(AA9+AC9)</f>
        <v/>
      </c>
      <c r="AE9" s="1017" t="n">
        <v>26000</v>
      </c>
      <c r="AG9" s="1024">
        <f>Project!X95+Project!X96+Project!X97</f>
        <v/>
      </c>
      <c r="AH9" s="488" t="n">
        <v>0.05</v>
      </c>
      <c r="AI9" s="1006">
        <f>SUM(AG9*AH9)</f>
        <v/>
      </c>
      <c r="AJ9" s="1006">
        <f>SUM(AG9+AI9)</f>
        <v/>
      </c>
      <c r="AK9" s="1017" t="n">
        <v>26000</v>
      </c>
      <c r="AM9" t="n">
        <v>25000</v>
      </c>
    </row>
    <row r="10" ht="12" customHeight="1">
      <c r="A10" s="560" t="n"/>
      <c r="B10" s="494" t="inlineStr">
        <is>
          <t>Total</t>
        </is>
      </c>
      <c r="C10" s="1026">
        <f>SUM(C5:C9)</f>
        <v/>
      </c>
      <c r="D10" s="1027">
        <f>SUM(D5:D9)</f>
        <v/>
      </c>
      <c r="E10" s="1028">
        <f>SUM(E5:E9)</f>
        <v/>
      </c>
      <c r="F10" s="1028">
        <f>SUM(F5:F9)</f>
        <v/>
      </c>
      <c r="G10" s="1028" t="n"/>
      <c r="H10" s="1028">
        <f>SUM(H5:H9)</f>
        <v/>
      </c>
      <c r="I10" s="1027">
        <f>SUM(I5:I9)</f>
        <v/>
      </c>
      <c r="J10" s="1027">
        <f>SUM(J5:J9)</f>
        <v/>
      </c>
      <c r="K10" s="1027">
        <f>SUM(K5:K9)</f>
        <v/>
      </c>
      <c r="L10" s="1028" t="n"/>
      <c r="M10" s="1028">
        <f>SUM(M5:M9)</f>
        <v/>
      </c>
      <c r="N10" s="1027">
        <f>SUM(N5:N9)</f>
        <v/>
      </c>
      <c r="O10" s="1027">
        <f>SUM(O5:O9)</f>
        <v/>
      </c>
      <c r="P10" s="1029">
        <f>SUM(P5:P9)</f>
        <v/>
      </c>
      <c r="Q10" s="1028" t="n"/>
      <c r="R10" s="1028">
        <f>SUM(R5:R9)</f>
        <v/>
      </c>
      <c r="S10" s="1026">
        <f>SUM(S5:S9)</f>
        <v/>
      </c>
      <c r="T10" s="1030">
        <f>SUM(T5:T9)</f>
        <v/>
      </c>
      <c r="U10" s="1031">
        <f>SUM(U5:U9)</f>
        <v/>
      </c>
      <c r="V10" s="1028" t="n"/>
      <c r="W10" s="1028">
        <f>SUM(W5:W9)</f>
        <v/>
      </c>
      <c r="X10" s="1026">
        <f>SUM(X5:X9)</f>
        <v/>
      </c>
      <c r="Y10" s="1030">
        <f>SUM(Y5:Y9)</f>
        <v/>
      </c>
      <c r="Z10" s="1032" t="n"/>
      <c r="AA10" s="1031">
        <f>SUM(AA5:AA9)</f>
        <v/>
      </c>
      <c r="AB10" s="1028" t="n"/>
      <c r="AC10" s="1028">
        <f>SUM(AC5:AC9)</f>
        <v/>
      </c>
      <c r="AD10" s="1026">
        <f>SUM(AD5:AD9)</f>
        <v/>
      </c>
      <c r="AE10" s="1033">
        <f>SUM(AE5:AE9)</f>
        <v/>
      </c>
      <c r="AG10" s="1034">
        <f>SUM(AG5:AG9)</f>
        <v/>
      </c>
      <c r="AH10" s="1035" t="n"/>
      <c r="AI10" s="1035">
        <f>SUM(AI5:AI9)</f>
        <v/>
      </c>
      <c r="AJ10" s="1026">
        <f>SUM(AJ5:AJ9)</f>
        <v/>
      </c>
      <c r="AK10" s="1033">
        <f>SUM(AK5:AK9)</f>
        <v/>
      </c>
    </row>
    <row r="11" ht="12" customHeight="1">
      <c r="A11" s="560" t="n"/>
      <c r="B11" s="498" t="inlineStr">
        <is>
          <t>Project Avature Crew</t>
        </is>
      </c>
      <c r="C11" s="499" t="n"/>
      <c r="D11" s="513" t="n"/>
      <c r="E11" s="499" t="n"/>
      <c r="F11" s="499" t="n"/>
      <c r="G11" s="499" t="n"/>
      <c r="H11" s="500" t="n"/>
      <c r="I11" s="520" t="n"/>
      <c r="J11" s="520" t="n"/>
      <c r="K11" s="520" t="n"/>
      <c r="L11" s="499" t="n"/>
      <c r="M11" s="500" t="n"/>
      <c r="N11" s="520" t="n"/>
      <c r="O11" s="520" t="n"/>
      <c r="P11" s="533" t="n"/>
      <c r="Q11" s="499" t="n"/>
      <c r="R11" s="500" t="n"/>
      <c r="S11" s="500" t="n"/>
      <c r="T11" s="680" t="n"/>
      <c r="U11" s="821" t="n"/>
      <c r="V11" s="590" t="n"/>
      <c r="W11" s="513" t="n"/>
      <c r="X11" s="513" t="n"/>
      <c r="Y11" s="678" t="n"/>
      <c r="Z11" s="689" t="n"/>
      <c r="AA11" s="499" t="n"/>
      <c r="AB11" s="499" t="n"/>
      <c r="AC11" s="500" t="n"/>
      <c r="AD11" s="500" t="n"/>
      <c r="AE11" s="585" t="n"/>
      <c r="AG11" s="499" t="n"/>
      <c r="AH11" s="499" t="n"/>
      <c r="AI11" s="500" t="n"/>
      <c r="AJ11" s="500" t="n"/>
      <c r="AK11" s="585" t="n"/>
    </row>
    <row r="12" ht="12" customHeight="1">
      <c r="A12" s="560" t="inlineStr">
        <is>
          <t>AV</t>
        </is>
      </c>
      <c r="B12" s="491" t="inlineStr">
        <is>
          <t>Avature SOW + CRs</t>
        </is>
      </c>
      <c r="C12" s="1007" t="n">
        <v>578500</v>
      </c>
      <c r="D12" s="1007" t="n">
        <v>610000</v>
      </c>
      <c r="E12" s="1007" t="n">
        <v>578500</v>
      </c>
      <c r="F12" s="1006" t="n">
        <v>1001280</v>
      </c>
      <c r="G12" s="488" t="n">
        <v>0.05</v>
      </c>
      <c r="H12" s="1007">
        <f>SUM(F12*G12)</f>
        <v/>
      </c>
      <c r="I12" s="1010">
        <f>SUM(F12+H12)</f>
        <v/>
      </c>
      <c r="J12" s="1007" t="n">
        <v>1052000</v>
      </c>
      <c r="K12" s="1018" t="n">
        <v>1013000</v>
      </c>
      <c r="L12" s="488" t="n">
        <v>0.05</v>
      </c>
      <c r="M12" s="1007">
        <f>SUM(K12*L12)</f>
        <v/>
      </c>
      <c r="N12" s="1010">
        <f>SUM(K12+M12)</f>
        <v/>
      </c>
      <c r="O12" s="1010" t="n">
        <v>1071000</v>
      </c>
      <c r="P12" s="1036" t="n">
        <v>1016000</v>
      </c>
      <c r="Q12" s="488" t="n">
        <v>0.05</v>
      </c>
      <c r="R12" s="1007">
        <f>SUM(P12*Q12)</f>
        <v/>
      </c>
      <c r="S12" s="1007">
        <f>SUM(P12+R12)</f>
        <v/>
      </c>
      <c r="T12" s="1020" t="n">
        <v>1071000</v>
      </c>
      <c r="U12" s="1037" t="n">
        <v>992655</v>
      </c>
      <c r="V12" s="589" t="n">
        <v>0.05</v>
      </c>
      <c r="W12" s="1007">
        <f>SUM(U12*V12)</f>
        <v/>
      </c>
      <c r="X12" s="1007">
        <f>SUM(U12+W12)</f>
        <v/>
      </c>
      <c r="Y12" s="1020" t="n">
        <v>1042300</v>
      </c>
      <c r="Z12" s="1016" t="n"/>
      <c r="AA12" s="1018">
        <f>Project!R58+Project!R60+Project!R59+Project!R122</f>
        <v/>
      </c>
      <c r="AB12" s="488" t="n">
        <v>0.05</v>
      </c>
      <c r="AC12" s="1007">
        <f>SUM(AA12*AB12)</f>
        <v/>
      </c>
      <c r="AD12" s="1007">
        <f>SUM(AA12+AC12)</f>
        <v/>
      </c>
      <c r="AE12" s="1021" t="n">
        <v>1002000</v>
      </c>
      <c r="AG12" s="1018">
        <f>Project!X58+Project!X60+Project!X59+Project!X122</f>
        <v/>
      </c>
      <c r="AH12" s="488" t="n">
        <v>0.05</v>
      </c>
      <c r="AI12" s="1007">
        <f>SUM(AG12*AH12)</f>
        <v/>
      </c>
      <c r="AJ12" s="1007">
        <f>SUM(AG12+AI12)</f>
        <v/>
      </c>
      <c r="AK12" s="1021" t="n">
        <v>1002000</v>
      </c>
      <c r="AM12" t="n">
        <v>953940</v>
      </c>
    </row>
    <row r="13" ht="14" customHeight="1">
      <c r="A13" s="560" t="inlineStr">
        <is>
          <t>8F</t>
        </is>
      </c>
      <c r="B13" s="491" t="inlineStr">
        <is>
          <t>Eightfold</t>
        </is>
      </c>
      <c r="C13" s="1038" t="n">
        <v>150000</v>
      </c>
      <c r="D13" s="1007" t="n">
        <v>160000</v>
      </c>
      <c r="E13" s="1038" t="n">
        <v>0</v>
      </c>
      <c r="F13" s="1039" t="n">
        <v>0</v>
      </c>
      <c r="G13" s="488" t="n">
        <v>0.05</v>
      </c>
      <c r="H13" s="1007">
        <f>SUM(F13*G13)</f>
        <v/>
      </c>
      <c r="I13" s="1010">
        <f>SUM(F13+H13)</f>
        <v/>
      </c>
      <c r="J13" s="1007" t="n"/>
      <c r="K13" s="1018" t="n">
        <v>0</v>
      </c>
      <c r="L13" s="488" t="n">
        <v>0.05</v>
      </c>
      <c r="M13" s="1007">
        <f>SUM(K13*L13)</f>
        <v/>
      </c>
      <c r="N13" s="1010">
        <f>SUM(K13+M13)</f>
        <v/>
      </c>
      <c r="O13" s="1010" t="n"/>
      <c r="P13" s="1040" t="n">
        <v>0</v>
      </c>
      <c r="Q13" s="488" t="n">
        <v>0.05</v>
      </c>
      <c r="R13" s="1007">
        <f>SUM(P13*Q13)</f>
        <v/>
      </c>
      <c r="S13" s="1007">
        <f>SUM(P13+R13)</f>
        <v/>
      </c>
      <c r="T13" s="1020" t="n">
        <v>0</v>
      </c>
      <c r="U13" s="1037" t="n">
        <v>0</v>
      </c>
      <c r="V13" s="589" t="n">
        <v>0.05</v>
      </c>
      <c r="W13" s="1007">
        <f>SUM(U13*V13)</f>
        <v/>
      </c>
      <c r="X13" s="1007">
        <f>SUM(U13+W13)</f>
        <v/>
      </c>
      <c r="Y13" s="1020" t="n">
        <v>0</v>
      </c>
      <c r="Z13" s="1016" t="n"/>
      <c r="AA13" s="1041" t="n">
        <v>0</v>
      </c>
      <c r="AB13" s="488" t="n">
        <v>0.05</v>
      </c>
      <c r="AC13" s="1007">
        <f>SUM(AA13*AB13)</f>
        <v/>
      </c>
      <c r="AD13" s="1007">
        <f>SUM(AA13+AC13)</f>
        <v/>
      </c>
      <c r="AE13" s="1021" t="n"/>
      <c r="AG13" s="1042" t="n">
        <v>0</v>
      </c>
      <c r="AH13" s="488" t="n">
        <v>0.05</v>
      </c>
      <c r="AI13" s="1007">
        <f>SUM(AG13*AH13)</f>
        <v/>
      </c>
      <c r="AJ13" s="1007">
        <f>SUM(AG13+AI13)</f>
        <v/>
      </c>
      <c r="AK13" s="1021" t="n"/>
      <c r="AM13" t="n">
        <v>0</v>
      </c>
    </row>
    <row r="14" ht="14" customHeight="1">
      <c r="A14" s="560" t="inlineStr">
        <is>
          <t>TuP</t>
        </is>
      </c>
      <c r="B14" s="491" t="inlineStr">
        <is>
          <t>Tupu</t>
        </is>
      </c>
      <c r="C14" s="1022" t="n">
        <v>30000</v>
      </c>
      <c r="D14" s="1007" t="n">
        <v>31500</v>
      </c>
      <c r="E14" s="1022" t="n">
        <v>30000</v>
      </c>
      <c r="F14" s="1006" t="n">
        <v>30000</v>
      </c>
      <c r="G14" s="488" t="n">
        <v>0.05</v>
      </c>
      <c r="H14" s="1007">
        <f>SUM(F14*G14)</f>
        <v/>
      </c>
      <c r="I14" s="1010">
        <f>SUM(F14+H14)</f>
        <v/>
      </c>
      <c r="J14" s="1007" t="n">
        <v>31500</v>
      </c>
      <c r="K14" s="1018" t="n">
        <v>30000</v>
      </c>
      <c r="L14" s="488" t="n">
        <v>0.05</v>
      </c>
      <c r="M14" s="1007">
        <f>SUM(K14*L14)</f>
        <v/>
      </c>
      <c r="N14" s="1010">
        <f>SUM(K14+M14)</f>
        <v/>
      </c>
      <c r="O14" s="1010" t="n">
        <v>31500</v>
      </c>
      <c r="P14" s="1023" t="n">
        <v>30000</v>
      </c>
      <c r="Q14" s="488" t="n">
        <v>0.05</v>
      </c>
      <c r="R14" s="1007">
        <f>SUM(P14*Q14)</f>
        <v/>
      </c>
      <c r="S14" s="1007">
        <f>SUM(P14+R14)</f>
        <v/>
      </c>
      <c r="T14" s="1020" t="n">
        <v>31500</v>
      </c>
      <c r="U14" s="1037" t="n">
        <v>9500</v>
      </c>
      <c r="V14" s="589" t="n">
        <v>0.05</v>
      </c>
      <c r="W14" s="1007">
        <f>SUM(U14*V14)</f>
        <v/>
      </c>
      <c r="X14" s="1007">
        <f>SUM(U14+W14)</f>
        <v/>
      </c>
      <c r="Y14" s="1020" t="n">
        <v>10000</v>
      </c>
      <c r="Z14" s="1016" t="n"/>
      <c r="AA14" s="1024">
        <f>Project!R56</f>
        <v/>
      </c>
      <c r="AB14" s="488" t="n">
        <v>0.05</v>
      </c>
      <c r="AC14" s="1007">
        <f>SUM(AA14*AB14)</f>
        <v/>
      </c>
      <c r="AD14" s="1007">
        <f>SUM(AA14+AC14)</f>
        <v/>
      </c>
      <c r="AE14" s="1021" t="n">
        <v>10000</v>
      </c>
      <c r="AG14" s="1024">
        <f>Project!X56</f>
        <v/>
      </c>
      <c r="AH14" s="488" t="n">
        <v>0.05</v>
      </c>
      <c r="AI14" s="1007">
        <f>SUM(AG14*AH14)</f>
        <v/>
      </c>
      <c r="AJ14" s="1007">
        <f>SUM(AG14+AI14)</f>
        <v/>
      </c>
      <c r="AK14" s="1021" t="n">
        <v>10000</v>
      </c>
      <c r="AM14" t="n">
        <v>9500</v>
      </c>
    </row>
    <row r="15" ht="12" customHeight="1">
      <c r="A15" s="560" t="inlineStr">
        <is>
          <t>Oth</t>
        </is>
      </c>
      <c r="B15" s="491" t="inlineStr">
        <is>
          <t>Other ext. providers</t>
        </is>
      </c>
      <c r="C15" s="1006" t="n">
        <v>0</v>
      </c>
      <c r="D15" s="1007" t="n">
        <v>0</v>
      </c>
      <c r="E15" s="1022" t="n">
        <v>0</v>
      </c>
      <c r="F15" s="1025" t="n"/>
      <c r="G15" s="488" t="n"/>
      <c r="H15" s="1007">
        <f>SUM(F15*G15)</f>
        <v/>
      </c>
      <c r="I15" s="1010">
        <f>SUM(F15+H15)</f>
        <v/>
      </c>
      <c r="J15" s="1007" t="n"/>
      <c r="K15" s="1018" t="n">
        <v>0</v>
      </c>
      <c r="L15" s="488" t="n"/>
      <c r="M15" s="1007">
        <f>SUM(K15*L15)</f>
        <v/>
      </c>
      <c r="N15" s="1010">
        <f>SUM(K15+M15)</f>
        <v/>
      </c>
      <c r="O15" s="1010" t="n"/>
      <c r="P15" s="1023" t="n">
        <v>0</v>
      </c>
      <c r="Q15" s="488" t="n"/>
      <c r="R15" s="1007">
        <f>SUM(P15*Q15)</f>
        <v/>
      </c>
      <c r="S15" s="1007">
        <f>SUM(P15+R15)</f>
        <v/>
      </c>
      <c r="T15" s="1020" t="n">
        <v>0</v>
      </c>
      <c r="U15" s="1037" t="n">
        <v>0</v>
      </c>
      <c r="V15" s="589" t="n"/>
      <c r="W15" s="1007">
        <f>SUM(U15*V15)</f>
        <v/>
      </c>
      <c r="X15" s="1007">
        <f>SUM(U15+W15)</f>
        <v/>
      </c>
      <c r="Y15" s="1020" t="n">
        <v>0</v>
      </c>
      <c r="Z15" s="1016" t="n"/>
      <c r="AA15" s="1024" t="n">
        <v>0</v>
      </c>
      <c r="AB15" s="488" t="n"/>
      <c r="AC15" s="1007">
        <f>SUM(AA15*AB15)</f>
        <v/>
      </c>
      <c r="AD15" s="1007">
        <f>SUM(AA15+AC15)</f>
        <v/>
      </c>
      <c r="AE15" s="1021" t="n"/>
      <c r="AG15" s="1024" t="n">
        <v>0</v>
      </c>
      <c r="AH15" s="488" t="n"/>
      <c r="AI15" s="1007">
        <f>SUM(AG15*AH15)</f>
        <v/>
      </c>
      <c r="AJ15" s="1007">
        <f>SUM(AG15+AI15)</f>
        <v/>
      </c>
      <c r="AK15" s="1021" t="n"/>
      <c r="AM15" t="n">
        <v>0</v>
      </c>
    </row>
    <row r="16" ht="14" customHeight="1">
      <c r="A16" s="647" t="inlineStr">
        <is>
          <t>GBS</t>
        </is>
      </c>
      <c r="B16" s="491" t="inlineStr">
        <is>
          <t>GBS H2R DPS</t>
        </is>
      </c>
      <c r="C16" s="1007" t="n">
        <v>337000</v>
      </c>
      <c r="D16" s="1007" t="n">
        <v>355000</v>
      </c>
      <c r="E16" s="1007" t="n">
        <v>337000</v>
      </c>
      <c r="F16" s="1006" t="n">
        <v>342500</v>
      </c>
      <c r="G16" s="488" t="n">
        <v>0.05</v>
      </c>
      <c r="H16" s="1007">
        <f>SUM(F16*G16)</f>
        <v/>
      </c>
      <c r="I16" s="1010">
        <f>SUM(F16+H16)</f>
        <v/>
      </c>
      <c r="J16" s="1007" t="n">
        <v>359000</v>
      </c>
      <c r="K16" s="1018" t="n">
        <v>355000</v>
      </c>
      <c r="L16" s="488" t="n">
        <v>0.05</v>
      </c>
      <c r="M16" s="1007">
        <f>SUM(K16*L16)</f>
        <v/>
      </c>
      <c r="N16" s="1010">
        <f>SUM(K16+M16)</f>
        <v/>
      </c>
      <c r="O16" s="1010" t="n">
        <v>365000</v>
      </c>
      <c r="P16" s="1036" t="n">
        <v>343500</v>
      </c>
      <c r="Q16" s="488" t="n">
        <v>0.05</v>
      </c>
      <c r="R16" s="1007">
        <f>SUM(P16*Q16)</f>
        <v/>
      </c>
      <c r="S16" s="1007">
        <f>SUM(P16+R16)</f>
        <v/>
      </c>
      <c r="T16" s="1020" t="n">
        <v>360500</v>
      </c>
      <c r="U16" s="1037" t="n">
        <v>395768</v>
      </c>
      <c r="V16" s="589" t="n">
        <v>0.05</v>
      </c>
      <c r="W16" s="1007">
        <f>SUM(U16*V16)</f>
        <v/>
      </c>
      <c r="X16" s="1007">
        <f>SUM(U16+W16)</f>
        <v/>
      </c>
      <c r="Y16" s="1020" t="n">
        <v>416000</v>
      </c>
      <c r="Z16" s="1016" t="n"/>
      <c r="AA16" s="1018">
        <f>Project!R55+Project!R121</f>
        <v/>
      </c>
      <c r="AB16" s="488" t="n">
        <v>0.05</v>
      </c>
      <c r="AC16" s="1007">
        <f>SUM(AA16*AB16)</f>
        <v/>
      </c>
      <c r="AD16" s="1007">
        <f>SUM(AA16+AC16)</f>
        <v/>
      </c>
      <c r="AE16" s="1021" t="n">
        <v>383000</v>
      </c>
      <c r="AG16" s="1018">
        <f>Project!X55+Project!X121</f>
        <v/>
      </c>
      <c r="AH16" s="488" t="n">
        <v>0.05</v>
      </c>
      <c r="AI16" s="1007">
        <f>SUM(AG16*AH16)</f>
        <v/>
      </c>
      <c r="AJ16" s="1007">
        <f>SUM(AG16+AI16)</f>
        <v/>
      </c>
      <c r="AK16" s="1021" t="n">
        <v>383000</v>
      </c>
      <c r="AM16" t="n">
        <v>364353</v>
      </c>
    </row>
    <row r="17" ht="13.25" customHeight="1">
      <c r="A17" s="647" t="inlineStr">
        <is>
          <t>TCYS</t>
        </is>
      </c>
      <c r="B17" s="491" t="inlineStr">
        <is>
          <t>T (CYS &amp; Access.)</t>
        </is>
      </c>
      <c r="C17" s="1038" t="n">
        <v>10000</v>
      </c>
      <c r="D17" s="1007" t="n">
        <v>10500</v>
      </c>
      <c r="E17" s="1038" t="n">
        <v>10000</v>
      </c>
      <c r="F17" s="1039" t="n">
        <v>10000</v>
      </c>
      <c r="G17" s="488" t="n">
        <v>0.05</v>
      </c>
      <c r="H17" s="1007">
        <f>SUM(F17*G17)</f>
        <v/>
      </c>
      <c r="I17" s="1010">
        <f>SUM(F17+H17)</f>
        <v/>
      </c>
      <c r="J17" s="1007" t="n">
        <v>10500</v>
      </c>
      <c r="K17" s="1018" t="n">
        <v>10000</v>
      </c>
      <c r="L17" s="488" t="n">
        <v>0.05</v>
      </c>
      <c r="M17" s="1007">
        <f>SUM(K17*L17)</f>
        <v/>
      </c>
      <c r="N17" s="1010">
        <f>SUM(K17+M17)</f>
        <v/>
      </c>
      <c r="O17" s="1010" t="n">
        <v>10500</v>
      </c>
      <c r="P17" s="1040" t="n">
        <v>10000</v>
      </c>
      <c r="Q17" s="488" t="n">
        <v>0.05</v>
      </c>
      <c r="R17" s="1007">
        <f>SUM(P17*Q17)</f>
        <v/>
      </c>
      <c r="S17" s="1007">
        <f>SUM(P17+R17)</f>
        <v/>
      </c>
      <c r="T17" s="1020" t="n">
        <v>10500</v>
      </c>
      <c r="U17" s="1037" t="n">
        <v>10000</v>
      </c>
      <c r="V17" s="589" t="n">
        <v>0.05</v>
      </c>
      <c r="W17" s="1007">
        <f>SUM(U17*V17)</f>
        <v/>
      </c>
      <c r="X17" s="1007">
        <f>SUM(U17+W17)</f>
        <v/>
      </c>
      <c r="Y17" s="1020" t="n">
        <v>10500</v>
      </c>
      <c r="Z17" s="1016" t="n"/>
      <c r="AA17" s="1041">
        <f>Project!R63</f>
        <v/>
      </c>
      <c r="AB17" s="488" t="n">
        <v>0.05</v>
      </c>
      <c r="AC17" s="1007">
        <f>SUM(AA17*AB17)</f>
        <v/>
      </c>
      <c r="AD17" s="1007">
        <f>SUM(AA17+AC17)</f>
        <v/>
      </c>
      <c r="AE17" s="1021" t="n">
        <v>10500</v>
      </c>
      <c r="AG17" s="1042">
        <f>Project!X63</f>
        <v/>
      </c>
      <c r="AH17" s="488" t="n">
        <v>0.05</v>
      </c>
      <c r="AI17" s="1007">
        <f>SUM(AG17*AH17)</f>
        <v/>
      </c>
      <c r="AJ17" s="1007">
        <f>SUM(AG17+AI17)</f>
        <v/>
      </c>
      <c r="AK17" s="1021" t="n">
        <v>10500</v>
      </c>
      <c r="AM17" t="n">
        <v>10000</v>
      </c>
    </row>
    <row r="18" ht="16.25" customHeight="1">
      <c r="A18" s="647" t="inlineStr">
        <is>
          <t>Trv</t>
        </is>
      </c>
      <c r="B18" s="491" t="inlineStr">
        <is>
          <t>Travel Costs</t>
        </is>
      </c>
      <c r="C18" s="1006" t="n"/>
      <c r="D18" s="1007" t="n"/>
      <c r="E18" s="1007" t="n"/>
      <c r="F18" s="1006" t="n"/>
      <c r="G18" s="488" t="n"/>
      <c r="H18" s="1007">
        <f>SUM(F18*G18)</f>
        <v/>
      </c>
      <c r="I18" s="1010">
        <f>SUM(F18+H18)</f>
        <v/>
      </c>
      <c r="J18" s="1007" t="n"/>
      <c r="K18" s="1018" t="n">
        <v>0</v>
      </c>
      <c r="L18" s="488" t="n"/>
      <c r="M18" s="1007">
        <f>SUM(K18*L18)</f>
        <v/>
      </c>
      <c r="N18" s="1010">
        <f>SUM(K18+M18)</f>
        <v/>
      </c>
      <c r="O18" s="1010" t="n"/>
      <c r="P18" s="1036" t="n">
        <v>0</v>
      </c>
      <c r="Q18" s="488" t="n"/>
      <c r="R18" s="1007" t="n"/>
      <c r="S18" s="1007">
        <f>SUM(P18+R18)</f>
        <v/>
      </c>
      <c r="T18" s="1020" t="n">
        <v>0</v>
      </c>
      <c r="U18" s="1037" t="n">
        <v>0</v>
      </c>
      <c r="V18" s="589" t="n"/>
      <c r="W18" s="1007">
        <f>SUM(U18*V18)</f>
        <v/>
      </c>
      <c r="X18" s="1007">
        <f>SUM(U18+W18)</f>
        <v/>
      </c>
      <c r="Y18" s="1020" t="n">
        <v>0</v>
      </c>
      <c r="Z18" s="1016" t="n"/>
      <c r="AA18" s="1018" t="n">
        <v>0</v>
      </c>
      <c r="AB18" s="488" t="n"/>
      <c r="AC18" s="1007">
        <f>SUM(AA18*AB18)</f>
        <v/>
      </c>
      <c r="AD18" s="1007">
        <f>SUM(AA18+AC18)</f>
        <v/>
      </c>
      <c r="AE18" s="1021" t="n"/>
      <c r="AG18" s="1018" t="n">
        <v>0</v>
      </c>
      <c r="AH18" s="488" t="n"/>
      <c r="AI18" s="1007">
        <f>SUM(AG18*AH18)</f>
        <v/>
      </c>
      <c r="AJ18" s="1007">
        <f>SUM(AG18+AI18)</f>
        <v/>
      </c>
      <c r="AK18" s="1021" t="n"/>
      <c r="AM18" t="n">
        <v>0</v>
      </c>
    </row>
    <row r="19" ht="12" customHeight="1">
      <c r="A19" s="560" t="n"/>
      <c r="B19" s="494" t="inlineStr">
        <is>
          <t>Total</t>
        </is>
      </c>
      <c r="C19" s="1026">
        <f>SUM(C12:C18)</f>
        <v/>
      </c>
      <c r="D19" s="1027">
        <f>SUM(D12:D18)</f>
        <v/>
      </c>
      <c r="E19" s="1026">
        <f>SUM(E12:E18)</f>
        <v/>
      </c>
      <c r="F19" s="1028">
        <f>SUM(F12:F18)</f>
        <v/>
      </c>
      <c r="G19" s="1026" t="n"/>
      <c r="H19" s="1028">
        <f>SUM(H12:H18)</f>
        <v/>
      </c>
      <c r="I19" s="1027">
        <f>SUM(I12:I18)</f>
        <v/>
      </c>
      <c r="J19" s="1027">
        <f>SUM(J12:J18)</f>
        <v/>
      </c>
      <c r="K19" s="1027">
        <f>SUM(K12:K18)</f>
        <v/>
      </c>
      <c r="L19" s="1026" t="n"/>
      <c r="M19" s="1028">
        <f>SUM(M12:M18)</f>
        <v/>
      </c>
      <c r="N19" s="1027">
        <f>SUM(N12:N18)</f>
        <v/>
      </c>
      <c r="O19" s="1027">
        <f>SUM(O12:O18)</f>
        <v/>
      </c>
      <c r="P19" s="1029">
        <f>SUM(P12:P18)</f>
        <v/>
      </c>
      <c r="Q19" s="1026" t="n"/>
      <c r="R19" s="1028">
        <f>SUM(R12:R18)</f>
        <v/>
      </c>
      <c r="S19" s="1026">
        <f>SUM(S12:S18)</f>
        <v/>
      </c>
      <c r="T19" s="1030">
        <f>SUM(T12:T18)</f>
        <v/>
      </c>
      <c r="U19" s="1031">
        <f>SUM(U12:U18)</f>
        <v/>
      </c>
      <c r="V19" s="1026" t="n"/>
      <c r="W19" s="1028">
        <f>SUM(W12:W18)</f>
        <v/>
      </c>
      <c r="X19" s="1026">
        <f>SUM(X12:X18)</f>
        <v/>
      </c>
      <c r="Y19" s="1030">
        <f>SUM(Y12:Y18)</f>
        <v/>
      </c>
      <c r="Z19" s="1032" t="n"/>
      <c r="AA19" s="1031">
        <f>SUM(AA12:AA18)</f>
        <v/>
      </c>
      <c r="AB19" s="1026" t="n"/>
      <c r="AC19" s="1028">
        <f>SUM(AC12:AC18)</f>
        <v/>
      </c>
      <c r="AD19" s="1026">
        <f>SUM(AD12:AD18)</f>
        <v/>
      </c>
      <c r="AE19" s="1033">
        <f>SUM(AE12:AE18)</f>
        <v/>
      </c>
      <c r="AG19" s="1034">
        <f>SUM(AG12:AG18)</f>
        <v/>
      </c>
      <c r="AH19" s="1026" t="n"/>
      <c r="AI19" s="1035">
        <f>SUM(AI12:AI18)</f>
        <v/>
      </c>
      <c r="AJ19" s="1026">
        <f>SUM(AJ12:AJ18)</f>
        <v/>
      </c>
      <c r="AK19" s="1033">
        <f>SUM(AK12:AK18)</f>
        <v/>
      </c>
    </row>
    <row r="20" ht="16.25" customHeight="1">
      <c r="A20" s="560" t="n"/>
      <c r="B20" s="503" t="inlineStr">
        <is>
          <t>Total sum</t>
        </is>
      </c>
      <c r="C20" s="1043">
        <f>C19+C10</f>
        <v/>
      </c>
      <c r="D20" s="1044">
        <f>D19+D10</f>
        <v/>
      </c>
      <c r="E20" s="1045">
        <f>E19+E10</f>
        <v/>
      </c>
      <c r="F20" s="1043">
        <f>F19+F10</f>
        <v/>
      </c>
      <c r="G20" s="1045" t="n"/>
      <c r="H20" s="1043">
        <f>H19+H10</f>
        <v/>
      </c>
      <c r="I20" s="1044">
        <f>I19+I10</f>
        <v/>
      </c>
      <c r="J20" s="1044">
        <f>J19+J10</f>
        <v/>
      </c>
      <c r="K20" s="1044">
        <f>K19+K10</f>
        <v/>
      </c>
      <c r="L20" s="1045" t="n"/>
      <c r="M20" s="1043">
        <f>M19+M10</f>
        <v/>
      </c>
      <c r="N20" s="1044">
        <f>N19+N10</f>
        <v/>
      </c>
      <c r="O20" s="1044">
        <f>O19+O10</f>
        <v/>
      </c>
      <c r="P20" s="1046">
        <f>P19+P10</f>
        <v/>
      </c>
      <c r="Q20" s="1045" t="n"/>
      <c r="R20" s="1043">
        <f>R19+R10</f>
        <v/>
      </c>
      <c r="S20" s="1045">
        <f>S19+S10</f>
        <v/>
      </c>
      <c r="T20" s="1047">
        <f>T19+T10</f>
        <v/>
      </c>
      <c r="U20" s="1048">
        <f>U19+U10</f>
        <v/>
      </c>
      <c r="V20" s="1045" t="n"/>
      <c r="W20" s="1045">
        <f>W19+W10</f>
        <v/>
      </c>
      <c r="X20" s="1045">
        <f>X19+X10</f>
        <v/>
      </c>
      <c r="Y20" s="1047">
        <f>Y19+Y10</f>
        <v/>
      </c>
      <c r="Z20" s="1049" t="n"/>
      <c r="AA20" s="1048">
        <f>AA19+AA10</f>
        <v/>
      </c>
      <c r="AB20" s="1045" t="n"/>
      <c r="AC20" s="1045">
        <f>AC19+AC10</f>
        <v/>
      </c>
      <c r="AD20" s="1045">
        <f>AD19+AD10</f>
        <v/>
      </c>
      <c r="AE20" s="1050">
        <f>AE19+AE10</f>
        <v/>
      </c>
      <c r="AG20" s="1048">
        <f>AG19+AG10</f>
        <v/>
      </c>
      <c r="AH20" s="1045" t="n"/>
      <c r="AI20" s="1045">
        <f>AI19+AI10</f>
        <v/>
      </c>
      <c r="AJ20" s="1045">
        <f>AJ19+AJ10</f>
        <v/>
      </c>
      <c r="AK20" s="1050">
        <f>AK19+AK10</f>
        <v/>
      </c>
    </row>
    <row r="21" ht="14" customHeight="1">
      <c r="B21" s="540" t="n"/>
      <c r="C21" s="1051" t="n"/>
      <c r="D21" s="1052" t="n"/>
      <c r="E21" s="1052" t="n"/>
      <c r="F21" s="1051" t="n"/>
      <c r="G21" s="1052" t="n"/>
      <c r="H21" s="1051" t="n"/>
      <c r="I21" s="1052" t="n"/>
      <c r="J21" s="1052" t="n"/>
      <c r="K21" s="1052" t="n"/>
      <c r="L21" s="1052" t="n"/>
      <c r="M21" s="1051" t="n"/>
      <c r="N21" s="1052" t="n"/>
      <c r="O21" s="1052" t="n"/>
      <c r="P21" s="1051" t="n"/>
      <c r="Q21" s="1052" t="n"/>
      <c r="R21" s="1051" t="n"/>
      <c r="S21" s="1052" t="n"/>
      <c r="T21" s="681" t="n"/>
      <c r="Y21" s="688" t="inlineStr">
        <is>
          <t xml:space="preserve">Target 2'1 </t>
        </is>
      </c>
      <c r="Z21" s="693" t="n"/>
      <c r="AE21" s="583" t="inlineStr">
        <is>
          <t xml:space="preserve">Target 2'1 </t>
        </is>
      </c>
      <c r="AK21" s="796" t="inlineStr">
        <is>
          <t xml:space="preserve">Target 2'1 </t>
        </is>
      </c>
    </row>
    <row r="22">
      <c r="T22" s="681" t="n"/>
      <c r="Y22" s="681" t="n"/>
      <c r="Z22" s="693" t="n"/>
      <c r="AE22" s="583" t="n"/>
      <c r="AK22" s="796" t="n"/>
    </row>
    <row r="23" ht="12" customHeight="1">
      <c r="B23" s="827" t="inlineStr">
        <is>
          <t>TA/TM Product - Service Mgmt &amp; Operations</t>
        </is>
      </c>
      <c r="C23" s="829" t="n"/>
      <c r="D23" s="829" t="n"/>
      <c r="E23" s="829" t="n"/>
      <c r="F23" s="829" t="n"/>
      <c r="G23" s="829" t="n"/>
      <c r="H23" s="830" t="n"/>
      <c r="L23" s="510" t="n"/>
      <c r="M23" s="511" t="n"/>
      <c r="T23" s="681" t="n"/>
      <c r="Y23" s="681" t="n"/>
      <c r="Z23" s="693" t="n"/>
      <c r="AE23" s="583" t="n"/>
      <c r="AK23" s="796" t="n"/>
    </row>
    <row r="24" ht="12" customHeight="1">
      <c r="B24" s="543" t="inlineStr">
        <is>
          <t>Subscription Fee + Addons</t>
        </is>
      </c>
      <c r="C24" s="821" t="n"/>
      <c r="D24" s="513" t="n"/>
      <c r="E24" s="821" t="n"/>
      <c r="F24" s="821" t="n"/>
      <c r="G24" s="821" t="n"/>
      <c r="H24" s="500" t="n"/>
      <c r="I24" s="520" t="n"/>
      <c r="J24" s="500" t="n"/>
      <c r="K24" s="500" t="n"/>
      <c r="L24" s="821" t="n"/>
      <c r="M24" s="500" t="n"/>
      <c r="N24" s="520" t="n"/>
      <c r="O24" s="544" t="n"/>
      <c r="P24" s="821" t="n"/>
      <c r="Q24" s="821" t="n"/>
      <c r="R24" s="500" t="n"/>
      <c r="S24" s="500" t="n"/>
      <c r="T24" s="680" t="n"/>
      <c r="U24" s="821" t="n"/>
      <c r="V24" s="821" t="n"/>
      <c r="W24" s="500" t="n"/>
      <c r="X24" s="500" t="n"/>
      <c r="Y24" s="680" t="n"/>
      <c r="Z24" s="689" t="n"/>
      <c r="AA24" s="821" t="n"/>
      <c r="AB24" s="821" t="n"/>
      <c r="AC24" s="500" t="n"/>
      <c r="AD24" s="500" t="n"/>
      <c r="AE24" s="585" t="n"/>
      <c r="AG24" s="821" t="n"/>
      <c r="AH24" s="821" t="n"/>
      <c r="AI24" s="500" t="n"/>
      <c r="AJ24" s="500" t="n"/>
      <c r="AK24" s="585" t="n"/>
    </row>
    <row r="25" ht="12" customHeight="1">
      <c r="A25" s="560" t="inlineStr">
        <is>
          <t>AV</t>
        </is>
      </c>
      <c r="B25" s="486" t="inlineStr">
        <is>
          <t xml:space="preserve">AVATURE </t>
        </is>
      </c>
      <c r="C25" s="1039" t="n">
        <v>1771000</v>
      </c>
      <c r="D25" s="1053" t="n">
        <v>1771000</v>
      </c>
      <c r="E25" s="1039" t="n">
        <v>0</v>
      </c>
      <c r="F25" s="1039" t="n">
        <v>0</v>
      </c>
      <c r="G25" s="546" t="n">
        <v>0</v>
      </c>
      <c r="H25" s="1054">
        <f>SUM(E25*G25)</f>
        <v/>
      </c>
      <c r="I25" s="1055">
        <f>SUM(E25+H25)</f>
        <v/>
      </c>
      <c r="J25" s="1053" t="n"/>
      <c r="K25" s="1056" t="n"/>
      <c r="L25" s="546" t="n">
        <v>0</v>
      </c>
      <c r="M25" s="1054">
        <f>SUM(J25*L25)</f>
        <v/>
      </c>
      <c r="N25" s="1055">
        <f>SUM(J25+M25)</f>
        <v/>
      </c>
      <c r="O25" s="1057" t="n"/>
      <c r="P25" s="1058" t="n"/>
      <c r="Q25" s="546" t="n">
        <v>0</v>
      </c>
      <c r="R25" s="1054">
        <f>SUM(P25*Q25)</f>
        <v/>
      </c>
      <c r="S25" s="1054">
        <f>SUM(P25+R25)</f>
        <v/>
      </c>
      <c r="T25" s="1059" t="n">
        <v>372000</v>
      </c>
      <c r="U25" s="1058" t="n"/>
      <c r="V25" s="488" t="n">
        <v>0</v>
      </c>
      <c r="W25" s="1054">
        <f>SUM(U25*V25)</f>
        <v/>
      </c>
      <c r="X25" s="1054">
        <f>SUM(U25+W25)</f>
        <v/>
      </c>
      <c r="Y25" s="1059" t="n">
        <v>372000</v>
      </c>
      <c r="Z25" s="1060" t="n"/>
      <c r="AA25" s="1058" t="n"/>
      <c r="AB25" s="488" t="n">
        <v>0</v>
      </c>
      <c r="AC25" s="1054">
        <f>SUM(AA25*AB25)</f>
        <v/>
      </c>
      <c r="AD25" s="1054">
        <f>SUM(AA25+AC25)</f>
        <v/>
      </c>
      <c r="AE25" s="1061" t="n">
        <v>372000</v>
      </c>
      <c r="AG25" s="1062" t="n"/>
      <c r="AH25" s="488" t="n">
        <v>0</v>
      </c>
      <c r="AI25" s="1054">
        <f>SUM(AG25*AH25)</f>
        <v/>
      </c>
      <c r="AJ25" s="1054">
        <f>SUM(AG25+AI25)</f>
        <v/>
      </c>
      <c r="AK25" s="1063" t="n">
        <v>372000</v>
      </c>
    </row>
    <row r="26" ht="12" customHeight="1">
      <c r="A26" s="560" t="inlineStr">
        <is>
          <t>8F</t>
        </is>
      </c>
      <c r="B26" s="491" t="inlineStr">
        <is>
          <t xml:space="preserve">Eightfold </t>
        </is>
      </c>
      <c r="C26" s="1007" t="n">
        <v>840000</v>
      </c>
      <c r="D26" s="1053" t="n">
        <v>840000</v>
      </c>
      <c r="E26" s="1007" t="n">
        <v>0</v>
      </c>
      <c r="F26" s="1006" t="n">
        <v>0</v>
      </c>
      <c r="G26" s="488" t="n">
        <v>0</v>
      </c>
      <c r="H26" s="1054">
        <f>SUM(E26*G26)</f>
        <v/>
      </c>
      <c r="I26" s="1055">
        <f>SUM(E26+H26)</f>
        <v/>
      </c>
      <c r="J26" s="1053" t="n"/>
      <c r="K26" s="1064" t="n"/>
      <c r="L26" s="488" t="n">
        <v>0</v>
      </c>
      <c r="M26" s="1054">
        <f>SUM(J26*L26)</f>
        <v/>
      </c>
      <c r="N26" s="1055">
        <f>SUM(J26+M26)</f>
        <v/>
      </c>
      <c r="O26" s="1057" t="n"/>
      <c r="P26" s="1018" t="n"/>
      <c r="Q26" s="488" t="n">
        <v>0</v>
      </c>
      <c r="R26" s="1054">
        <f>SUM(P26*Q26)</f>
        <v/>
      </c>
      <c r="S26" s="1054">
        <f>SUM(P26+R26)</f>
        <v/>
      </c>
      <c r="T26" s="1065" t="n"/>
      <c r="U26" s="1018" t="n"/>
      <c r="V26" s="488" t="n">
        <v>0</v>
      </c>
      <c r="W26" s="1054">
        <f>SUM(U26*V26)</f>
        <v/>
      </c>
      <c r="X26" s="1054">
        <f>SUM(U26+W26)</f>
        <v/>
      </c>
      <c r="Y26" s="1065" t="n"/>
      <c r="Z26" s="1060" t="n"/>
      <c r="AA26" s="1018" t="n"/>
      <c r="AB26" s="488" t="n">
        <v>0</v>
      </c>
      <c r="AC26" s="1054">
        <f>SUM(AA26*AB26)</f>
        <v/>
      </c>
      <c r="AD26" s="1054">
        <f>SUM(AA26+AC26)</f>
        <v/>
      </c>
      <c r="AE26" s="1066" t="n"/>
      <c r="AG26" s="1018" t="n"/>
      <c r="AH26" s="488" t="n">
        <v>0</v>
      </c>
      <c r="AI26" s="1054">
        <f>SUM(AG26*AH26)</f>
        <v/>
      </c>
      <c r="AJ26" s="1054">
        <f>SUM(AG26+AI26)</f>
        <v/>
      </c>
      <c r="AK26" s="1066" t="n"/>
    </row>
    <row r="27" ht="14.4" customHeight="1">
      <c r="A27" s="560" t="inlineStr">
        <is>
          <t>Adob</t>
        </is>
      </c>
      <c r="B27" s="491" t="inlineStr">
        <is>
          <t xml:space="preserve">Addons - Adobe Sign </t>
        </is>
      </c>
      <c r="C27" s="1067" t="n">
        <v>350400</v>
      </c>
      <c r="D27" s="1053" t="n">
        <v>53000</v>
      </c>
      <c r="E27" s="1007" t="n">
        <v>50600</v>
      </c>
      <c r="F27" s="1006" t="n">
        <v>50600</v>
      </c>
      <c r="G27" s="488" t="n">
        <v>0.05</v>
      </c>
      <c r="H27" s="1054">
        <f>SUM(F27*G27)</f>
        <v/>
      </c>
      <c r="I27" s="1055">
        <f>SUM(F27+H27)</f>
        <v/>
      </c>
      <c r="J27" s="1055" t="n">
        <v>53130</v>
      </c>
      <c r="K27" s="1055" t="n">
        <v>50600</v>
      </c>
      <c r="L27" s="488" t="n">
        <v>0.05</v>
      </c>
      <c r="M27" s="1054">
        <f>SUM(K27*L27)</f>
        <v/>
      </c>
      <c r="N27" s="1055">
        <f>SUM(K27+M27)</f>
        <v/>
      </c>
      <c r="O27" s="1068" t="n">
        <v>53130</v>
      </c>
      <c r="P27" s="1018" t="n">
        <v>50600</v>
      </c>
      <c r="Q27" s="488" t="n">
        <v>0.05</v>
      </c>
      <c r="R27" s="1054">
        <f>SUM(P27*Q27)</f>
        <v/>
      </c>
      <c r="S27" s="1054">
        <f>SUM(P27+R27)</f>
        <v/>
      </c>
      <c r="T27" s="1065" t="n"/>
      <c r="U27" s="1069" t="n">
        <v>75921</v>
      </c>
      <c r="V27" s="488" t="n">
        <v>0.05</v>
      </c>
      <c r="W27" s="1054">
        <f>SUM(U27*V27)</f>
        <v/>
      </c>
      <c r="X27" s="1054">
        <f>SUM(U27+W27)</f>
        <v/>
      </c>
      <c r="Y27" s="1065" t="n"/>
      <c r="Z27" s="1060" t="n"/>
      <c r="AA27" s="1018">
        <f>Operations!R47</f>
        <v/>
      </c>
      <c r="AB27" s="488" t="n">
        <v>0.05</v>
      </c>
      <c r="AC27" s="1054">
        <f>SUM(AA27*AB27)</f>
        <v/>
      </c>
      <c r="AD27" s="1054">
        <f>SUM(AA27+AC27)</f>
        <v/>
      </c>
      <c r="AE27" s="1066" t="n"/>
      <c r="AG27" s="1018">
        <f>Operations!X47</f>
        <v/>
      </c>
      <c r="AH27" s="488" t="n">
        <v>0.05</v>
      </c>
      <c r="AI27" s="1054">
        <f>SUM(AG27*AH27)</f>
        <v/>
      </c>
      <c r="AJ27" s="1054">
        <f>SUM(AG27+AI27)</f>
        <v/>
      </c>
      <c r="AK27" s="1066" t="n"/>
    </row>
    <row r="28" ht="12" customHeight="1">
      <c r="A28" s="647" t="inlineStr">
        <is>
          <t>eQ</t>
        </is>
      </c>
      <c r="B28" s="491" t="inlineStr">
        <is>
          <t xml:space="preserve">Addons - eQuest </t>
        </is>
      </c>
      <c r="C28" s="1070" t="n"/>
      <c r="D28" s="1053" t="n">
        <v>115000</v>
      </c>
      <c r="E28" s="1007" t="n">
        <v>109000</v>
      </c>
      <c r="F28" s="1006" t="n">
        <v>109000</v>
      </c>
      <c r="G28" s="488" t="n">
        <v>0.05</v>
      </c>
      <c r="H28" s="1054">
        <f>SUM(F28*G28)</f>
        <v/>
      </c>
      <c r="I28" s="1055">
        <f>SUM(F28+H28)</f>
        <v/>
      </c>
      <c r="J28" s="1055" t="n">
        <v>114450</v>
      </c>
      <c r="K28" s="1055" t="n">
        <v>109000</v>
      </c>
      <c r="L28" s="488" t="n">
        <v>0.05</v>
      </c>
      <c r="M28" s="1054">
        <f>SUM(K28*L28)</f>
        <v/>
      </c>
      <c r="N28" s="1055">
        <f>SUM(K28+M28)</f>
        <v/>
      </c>
      <c r="O28" s="1068" t="n">
        <v>114450</v>
      </c>
      <c r="P28" s="1018" t="n">
        <v>109000</v>
      </c>
      <c r="Q28" s="488" t="n">
        <v>0.05</v>
      </c>
      <c r="R28" s="1054">
        <f>SUM(P28*Q28)</f>
        <v/>
      </c>
      <c r="S28" s="1054">
        <f>SUM(P28+R28)</f>
        <v/>
      </c>
      <c r="T28" s="1065" t="n"/>
      <c r="U28" s="1069" t="n">
        <v>109000</v>
      </c>
      <c r="V28" s="488" t="n">
        <v>0.05</v>
      </c>
      <c r="W28" s="1054">
        <f>SUM(U28*V28)</f>
        <v/>
      </c>
      <c r="X28" s="1054">
        <f>SUM(U28+W28)</f>
        <v/>
      </c>
      <c r="Y28" s="1065" t="n"/>
      <c r="Z28" s="1060" t="n"/>
      <c r="AA28" s="1018">
        <f>Operations!R45</f>
        <v/>
      </c>
      <c r="AB28" s="488" t="n">
        <v>0.05</v>
      </c>
      <c r="AC28" s="1054">
        <f>SUM(AA28*AB28)</f>
        <v/>
      </c>
      <c r="AD28" s="1054">
        <f>SUM(AA28+AC28)</f>
        <v/>
      </c>
      <c r="AE28" s="1066" t="n"/>
      <c r="AG28" s="1018">
        <f>Operations!X45</f>
        <v/>
      </c>
      <c r="AH28" s="488" t="n">
        <v>0.05</v>
      </c>
      <c r="AI28" s="1054">
        <f>SUM(AG28*AH28)</f>
        <v/>
      </c>
      <c r="AJ28" s="1054">
        <f>SUM(AG28+AI28)</f>
        <v/>
      </c>
      <c r="AK28" s="1066" t="n"/>
    </row>
    <row r="29" ht="12" customHeight="1">
      <c r="A29" s="647" t="inlineStr">
        <is>
          <t>TuP</t>
        </is>
      </c>
      <c r="B29" s="491" t="inlineStr">
        <is>
          <t xml:space="preserve">Addons - Tupu </t>
        </is>
      </c>
      <c r="C29" s="1070" t="n"/>
      <c r="D29" s="1053" t="n">
        <v>56000</v>
      </c>
      <c r="E29" s="1007" t="n">
        <v>54000</v>
      </c>
      <c r="F29" s="1006" t="n">
        <v>54000</v>
      </c>
      <c r="G29" s="488" t="n">
        <v>0.05</v>
      </c>
      <c r="H29" s="1054">
        <f>SUM(F29*G29)</f>
        <v/>
      </c>
      <c r="I29" s="1055">
        <f>SUM(F29+H29)</f>
        <v/>
      </c>
      <c r="J29" s="1055" t="n">
        <v>56700</v>
      </c>
      <c r="K29" s="1055" t="n">
        <v>43508</v>
      </c>
      <c r="L29" s="488" t="n"/>
      <c r="M29" s="1054">
        <f>56700-43508</f>
        <v/>
      </c>
      <c r="N29" s="1055" t="n">
        <v>56700</v>
      </c>
      <c r="O29" s="1068" t="n">
        <v>56700</v>
      </c>
      <c r="P29" s="1018" t="n">
        <v>43508</v>
      </c>
      <c r="Q29" s="488" t="n">
        <v>0.05</v>
      </c>
      <c r="R29" s="1054">
        <f>SUM(P29*Q29)</f>
        <v/>
      </c>
      <c r="S29" s="1054">
        <f>SUM(P29+R29)</f>
        <v/>
      </c>
      <c r="T29" s="1065" t="n"/>
      <c r="U29" s="1069" t="n">
        <v>43508</v>
      </c>
      <c r="V29" s="488" t="n">
        <v>0.05</v>
      </c>
      <c r="W29" s="1054">
        <f>SUM(U29*V29)</f>
        <v/>
      </c>
      <c r="X29" s="1054">
        <f>SUM(U29+W29)</f>
        <v/>
      </c>
      <c r="Y29" s="1065" t="n"/>
      <c r="Z29" s="1060" t="n"/>
      <c r="AA29" s="1018">
        <f>Operations!R42</f>
        <v/>
      </c>
      <c r="AB29" s="488" t="n">
        <v>0.05</v>
      </c>
      <c r="AC29" s="1054">
        <f>SUM(AA29*AB29)</f>
        <v/>
      </c>
      <c r="AD29" s="1054">
        <f>SUM(AA29+AC29)</f>
        <v/>
      </c>
      <c r="AE29" s="1066" t="n"/>
      <c r="AG29" s="1018">
        <f>Operations!X42</f>
        <v/>
      </c>
      <c r="AH29" s="488" t="n">
        <v>0.05</v>
      </c>
      <c r="AI29" s="1054">
        <f>SUM(AG29*AH29)</f>
        <v/>
      </c>
      <c r="AJ29" s="1054">
        <f>SUM(AG29+AI29)</f>
        <v/>
      </c>
      <c r="AK29" s="1066" t="n"/>
    </row>
    <row r="30" ht="12" customHeight="1">
      <c r="A30" s="647" t="inlineStr">
        <is>
          <t>Integr</t>
        </is>
      </c>
      <c r="B30" s="491" t="inlineStr">
        <is>
          <t>Addons - Siemens Integrations</t>
        </is>
      </c>
      <c r="C30" s="1071" t="n"/>
      <c r="D30" s="1053" t="n">
        <v>145000</v>
      </c>
      <c r="E30" s="1007" t="n">
        <v>140000</v>
      </c>
      <c r="F30" s="1006" t="n">
        <v>140000</v>
      </c>
      <c r="G30" s="488" t="n">
        <v>0.05</v>
      </c>
      <c r="H30" s="1054">
        <f>SUM(F30*G30)</f>
        <v/>
      </c>
      <c r="I30" s="1055">
        <f>SUM(F30+H30)</f>
        <v/>
      </c>
      <c r="J30" s="1055" t="n">
        <v>147000</v>
      </c>
      <c r="K30" s="1055" t="n">
        <v>140000</v>
      </c>
      <c r="L30" s="488" t="n">
        <v>0.05</v>
      </c>
      <c r="M30" s="1054">
        <f>SUM(K30*L30)</f>
        <v/>
      </c>
      <c r="N30" s="1055">
        <f>SUM(K30+M30)</f>
        <v/>
      </c>
      <c r="O30" s="1068" t="n">
        <v>147000</v>
      </c>
      <c r="P30" s="1018" t="n">
        <v>140000</v>
      </c>
      <c r="Q30" s="488" t="n">
        <v>0.05</v>
      </c>
      <c r="R30" s="1054">
        <f>SUM(P30*Q30)</f>
        <v/>
      </c>
      <c r="S30" s="1054">
        <f>SUM(P30+R30)</f>
        <v/>
      </c>
      <c r="T30" s="1072" t="n"/>
      <c r="U30" s="1069" t="n">
        <v>102578</v>
      </c>
      <c r="V30" s="488" t="n">
        <v>0.05</v>
      </c>
      <c r="W30" s="1054">
        <f>SUM(U30*V30)</f>
        <v/>
      </c>
      <c r="X30" s="1054">
        <f>SUM(U30+W30)</f>
        <v/>
      </c>
      <c r="Y30" s="1072" t="n"/>
      <c r="Z30" s="1060" t="n"/>
      <c r="AA30" s="1018">
        <f>Operations!R60</f>
        <v/>
      </c>
      <c r="AB30" s="488" t="n">
        <v>0.05</v>
      </c>
      <c r="AC30" s="1054">
        <f>SUM(AA30*AB30)</f>
        <v/>
      </c>
      <c r="AD30" s="1054">
        <f>SUM(AA30+AC30)</f>
        <v/>
      </c>
      <c r="AE30" s="1073" t="n"/>
      <c r="AG30" s="1018">
        <f>Operations!X60</f>
        <v/>
      </c>
      <c r="AH30" s="488" t="n">
        <v>0.05</v>
      </c>
      <c r="AI30" s="1054">
        <f>SUM(AG30*AH30)</f>
        <v/>
      </c>
      <c r="AJ30" s="1054">
        <f>SUM(AG30+AI30)</f>
        <v/>
      </c>
      <c r="AK30" s="1073" t="n"/>
    </row>
    <row r="31" hidden="1" ht="12" customHeight="1">
      <c r="A31" s="560" t="n"/>
      <c r="B31" s="491" t="inlineStr">
        <is>
          <t>JCC (SAG &amp; SE)</t>
        </is>
      </c>
      <c r="C31" s="1074" t="n">
        <v>0</v>
      </c>
      <c r="D31" s="555" t="n"/>
      <c r="E31" s="1074" t="n">
        <v>0</v>
      </c>
      <c r="F31" s="1074" t="n"/>
      <c r="G31" s="1074" t="n"/>
      <c r="H31" s="555" t="inlineStr">
        <is>
          <t>included in Addons</t>
        </is>
      </c>
      <c r="I31" s="556" t="inlineStr">
        <is>
          <t>included in Addons</t>
        </is>
      </c>
      <c r="J31" s="557" t="n"/>
      <c r="K31" s="557" t="n"/>
      <c r="L31" s="1074" t="n"/>
      <c r="M31" s="555" t="inlineStr">
        <is>
          <t>included in Addons</t>
        </is>
      </c>
      <c r="N31" s="556" t="inlineStr">
        <is>
          <t>included in Addons</t>
        </is>
      </c>
      <c r="O31" s="558" t="n"/>
      <c r="P31" s="1075" t="n">
        <v>0</v>
      </c>
      <c r="Q31" s="1074" t="n"/>
      <c r="R31" s="555" t="inlineStr">
        <is>
          <t>included in Addons</t>
        </is>
      </c>
      <c r="S31" s="555" t="inlineStr">
        <is>
          <t>included in Addons</t>
        </is>
      </c>
      <c r="T31" s="677" t="n"/>
      <c r="U31" s="1075" t="n">
        <v>0</v>
      </c>
      <c r="V31" s="1074" t="n"/>
      <c r="W31" s="555" t="inlineStr">
        <is>
          <t>included in Addons</t>
        </is>
      </c>
      <c r="X31" s="555" t="inlineStr">
        <is>
          <t>included in Addons</t>
        </is>
      </c>
      <c r="Y31" s="677" t="n"/>
      <c r="Z31" s="693" t="n"/>
      <c r="AA31" s="1075" t="n">
        <v>0</v>
      </c>
      <c r="AB31" s="1074" t="n"/>
      <c r="AC31" s="555" t="inlineStr">
        <is>
          <t>included in Addons</t>
        </is>
      </c>
      <c r="AD31" s="555" t="inlineStr">
        <is>
          <t>included in Addons</t>
        </is>
      </c>
      <c r="AE31" s="640" t="n"/>
      <c r="AG31" s="1075" t="n">
        <v>0</v>
      </c>
      <c r="AH31" s="1074" t="n"/>
      <c r="AI31" s="798" t="inlineStr">
        <is>
          <t>included in Addons</t>
        </is>
      </c>
      <c r="AJ31" s="798" t="inlineStr">
        <is>
          <t>included in Addons</t>
        </is>
      </c>
      <c r="AK31" s="799" t="n"/>
    </row>
    <row r="32" ht="12" customHeight="1">
      <c r="A32" s="560" t="n"/>
      <c r="B32" s="494" t="inlineStr">
        <is>
          <t>Total</t>
        </is>
      </c>
      <c r="C32" s="1026">
        <f>SUM(C25:C31)</f>
        <v/>
      </c>
      <c r="D32" s="1026">
        <f>SUM(D25:D30)</f>
        <v/>
      </c>
      <c r="E32" s="1026">
        <f>SUM(E25:E31)</f>
        <v/>
      </c>
      <c r="F32" s="1026">
        <f>SUM(F25:F31)</f>
        <v/>
      </c>
      <c r="G32" s="1026" t="n"/>
      <c r="H32" s="1026">
        <f>SUM(H25:H31)</f>
        <v/>
      </c>
      <c r="I32" s="1027">
        <f>SUM(I25:I30)</f>
        <v/>
      </c>
      <c r="J32" s="1027">
        <f>SUM(J25:J30)</f>
        <v/>
      </c>
      <c r="K32" s="1027">
        <f>SUM(K25:K30)</f>
        <v/>
      </c>
      <c r="L32" s="1026" t="n"/>
      <c r="M32" s="1026">
        <f>SUM(M25:M31)</f>
        <v/>
      </c>
      <c r="N32" s="1027">
        <f>SUM(N25:N30)</f>
        <v/>
      </c>
      <c r="O32" s="1076">
        <f>SUM(O25:O30)</f>
        <v/>
      </c>
      <c r="P32" s="1077">
        <f>SUM(P25:P31)</f>
        <v/>
      </c>
      <c r="Q32" s="1026" t="n"/>
      <c r="R32" s="1026">
        <f>SUM(R25:R31)</f>
        <v/>
      </c>
      <c r="S32" s="1026">
        <f>SUM(S25:S30)</f>
        <v/>
      </c>
      <c r="T32" s="1030">
        <f>SUM(T25:T30)</f>
        <v/>
      </c>
      <c r="U32" s="1077">
        <f>SUM(U25:U31)</f>
        <v/>
      </c>
      <c r="V32" s="1026" t="n"/>
      <c r="W32" s="1026">
        <f>SUM(W25:W31)</f>
        <v/>
      </c>
      <c r="X32" s="1026">
        <f>SUM(X25:X30)</f>
        <v/>
      </c>
      <c r="Y32" s="1030">
        <f>SUM(Y25:Y30)</f>
        <v/>
      </c>
      <c r="Z32" s="1032" t="n"/>
      <c r="AA32" s="1077">
        <f>SUM(AA25:AA31)</f>
        <v/>
      </c>
      <c r="AB32" s="1026" t="n"/>
      <c r="AC32" s="1026">
        <f>SUM(AC25:AC31)</f>
        <v/>
      </c>
      <c r="AD32" s="1026">
        <f>SUM(AD25:AD30)</f>
        <v/>
      </c>
      <c r="AE32" s="1033">
        <f>SUM(AE25:AE30)</f>
        <v/>
      </c>
      <c r="AG32" s="1077">
        <f>SUM(AG25:AG31)</f>
        <v/>
      </c>
      <c r="AH32" s="1026" t="n"/>
      <c r="AI32" s="1026">
        <f>SUM(AI25:AI31)</f>
        <v/>
      </c>
      <c r="AJ32" s="1026">
        <f>SUM(AJ25:AJ30)</f>
        <v/>
      </c>
      <c r="AK32" s="1033">
        <f>SUM(AK25:AK30)</f>
        <v/>
      </c>
    </row>
    <row r="33" ht="12" customHeight="1">
      <c r="A33" s="560" t="n"/>
      <c r="B33" s="543" t="inlineStr">
        <is>
          <t>GBS H2R GBS</t>
        </is>
      </c>
      <c r="C33" s="563" t="n"/>
      <c r="D33" s="513" t="n"/>
      <c r="E33" s="1078" t="n"/>
      <c r="F33" s="1078" t="n"/>
      <c r="G33" s="1078" t="n"/>
      <c r="H33" s="513" t="n"/>
      <c r="I33" s="483" t="n"/>
      <c r="J33" s="513" t="n"/>
      <c r="K33" s="500" t="n"/>
      <c r="L33" s="1078" t="n"/>
      <c r="M33" s="513" t="n"/>
      <c r="N33" s="483" t="n"/>
      <c r="O33" s="565" t="n"/>
      <c r="P33" s="1079" t="n"/>
      <c r="Q33" s="1078" t="n"/>
      <c r="R33" s="513" t="n"/>
      <c r="S33" s="513" t="n"/>
      <c r="T33" s="678" t="n"/>
      <c r="U33" s="1079" t="n"/>
      <c r="V33" s="1078" t="n"/>
      <c r="W33" s="513" t="n"/>
      <c r="X33" s="513" t="n"/>
      <c r="Y33" s="678" t="n"/>
      <c r="Z33" s="689" t="n"/>
      <c r="AA33" s="1079" t="n"/>
      <c r="AB33" s="1078" t="n"/>
      <c r="AC33" s="513" t="n"/>
      <c r="AD33" s="513" t="n"/>
      <c r="AE33" s="588" t="n"/>
      <c r="AG33" s="1079" t="n"/>
      <c r="AH33" s="1078" t="n"/>
      <c r="AI33" s="513" t="n"/>
      <c r="AJ33" s="513" t="n"/>
      <c r="AK33" s="588" t="n"/>
    </row>
    <row r="34" ht="12" customHeight="1">
      <c r="A34" s="560" t="inlineStr">
        <is>
          <t>GBS</t>
        </is>
      </c>
      <c r="B34" s="486" t="inlineStr">
        <is>
          <t>GBS H2R DPS SM</t>
        </is>
      </c>
      <c r="C34" s="1067" t="n">
        <v>1279600</v>
      </c>
      <c r="D34" s="1080" t="n">
        <v>600000</v>
      </c>
      <c r="E34" s="1007" t="n">
        <v>530000</v>
      </c>
      <c r="F34" s="1006" t="n">
        <v>541000</v>
      </c>
      <c r="G34" s="488" t="n">
        <v>0.05</v>
      </c>
      <c r="H34" s="1081">
        <f>SUM(F34*G34)</f>
        <v/>
      </c>
      <c r="I34" s="1082">
        <f>SUM(F34+H34)</f>
        <v/>
      </c>
      <c r="J34" s="1080" t="n">
        <v>568050</v>
      </c>
      <c r="K34" s="1006" t="n">
        <v>541000</v>
      </c>
      <c r="L34" s="488" t="n">
        <v>0.05</v>
      </c>
      <c r="M34" s="1081">
        <f>SUM(K34*L34)</f>
        <v/>
      </c>
      <c r="N34" s="1082">
        <f>SUM(K34+M34)</f>
        <v/>
      </c>
      <c r="O34" s="1083" t="n">
        <v>568050</v>
      </c>
      <c r="P34" s="1018" t="n">
        <v>541000</v>
      </c>
      <c r="Q34" s="488" t="n">
        <v>0.05</v>
      </c>
      <c r="R34" s="1081">
        <f>SUM(P34*Q34)</f>
        <v/>
      </c>
      <c r="S34" s="1054">
        <f>SUM(P34+R34)</f>
        <v/>
      </c>
      <c r="T34" s="1059" t="n">
        <v>1279500</v>
      </c>
      <c r="U34" s="1069" t="n">
        <v>433104</v>
      </c>
      <c r="V34" s="488" t="n">
        <v>0.05</v>
      </c>
      <c r="W34" s="1081">
        <f>SUM(U34*V34)</f>
        <v/>
      </c>
      <c r="X34" s="1054">
        <f>SUM(U34+W34)</f>
        <v/>
      </c>
      <c r="Y34" s="1084" t="n">
        <v>1279500</v>
      </c>
      <c r="Z34" s="1060" t="n"/>
      <c r="AA34" s="1018">
        <f>Operations!R36+Operations!R41+Operations!R67</f>
        <v/>
      </c>
      <c r="AB34" s="488" t="n">
        <v>0.05</v>
      </c>
      <c r="AC34" s="1081">
        <f>SUM(AA34*AB34)</f>
        <v/>
      </c>
      <c r="AD34" s="1054">
        <f>SUM(AA34+AC34)</f>
        <v/>
      </c>
      <c r="AE34" s="1061" t="n">
        <v>1279500</v>
      </c>
      <c r="AG34" s="1018">
        <f>Operations!X36+Operations!X41+Operations!X67</f>
        <v/>
      </c>
      <c r="AH34" s="488" t="n">
        <v>0.05</v>
      </c>
      <c r="AI34" s="1085">
        <f>SUM(AG34*AH34)</f>
        <v/>
      </c>
      <c r="AJ34" s="1054">
        <f>SUM(AG34+AI34)</f>
        <v/>
      </c>
      <c r="AK34" s="1063" t="n">
        <v>1279500</v>
      </c>
    </row>
    <row r="35" ht="12" customHeight="1">
      <c r="A35" s="560" t="inlineStr">
        <is>
          <t>Test</t>
        </is>
      </c>
      <c r="B35" s="491" t="inlineStr">
        <is>
          <t>Test</t>
        </is>
      </c>
      <c r="C35" s="1070" t="n"/>
      <c r="D35" s="1080" t="n">
        <v>185000</v>
      </c>
      <c r="E35" s="1007" t="n">
        <v>132000</v>
      </c>
      <c r="F35" s="1006" t="n">
        <v>132000</v>
      </c>
      <c r="G35" s="488" t="n">
        <v>0.05</v>
      </c>
      <c r="H35" s="1081">
        <f>SUM(F35*G35)</f>
        <v/>
      </c>
      <c r="I35" s="1082">
        <f>SUM(F35+H35)</f>
        <v/>
      </c>
      <c r="J35" s="1080" t="n">
        <v>138600</v>
      </c>
      <c r="K35" s="1006" t="n">
        <v>132000</v>
      </c>
      <c r="L35" s="488" t="n">
        <v>0.05</v>
      </c>
      <c r="M35" s="1081">
        <f>SUM(K35*L35)</f>
        <v/>
      </c>
      <c r="N35" s="1082">
        <f>SUM(K35+M35)</f>
        <v/>
      </c>
      <c r="O35" s="1083" t="n">
        <v>138600</v>
      </c>
      <c r="P35" s="1018" t="n">
        <v>132000</v>
      </c>
      <c r="Q35" s="488" t="n">
        <v>0.05</v>
      </c>
      <c r="R35" s="1081">
        <f>SUM(P35*Q35)</f>
        <v/>
      </c>
      <c r="S35" s="1054">
        <f>SUM(P35+R35)</f>
        <v/>
      </c>
      <c r="T35" s="1065" t="n"/>
      <c r="U35" s="1069" t="n">
        <v>120533</v>
      </c>
      <c r="V35" s="488" t="n">
        <v>0.05</v>
      </c>
      <c r="W35" s="1081">
        <f>SUM(U35*V35)</f>
        <v/>
      </c>
      <c r="X35" s="1054">
        <f>SUM(U35+W35)</f>
        <v/>
      </c>
      <c r="Y35" s="1065" t="n"/>
      <c r="Z35" s="1060" t="n"/>
      <c r="AA35" s="1018">
        <f>Operations!R25</f>
        <v/>
      </c>
      <c r="AB35" s="488" t="n">
        <v>0.05</v>
      </c>
      <c r="AC35" s="1081">
        <f>SUM(AA35*AB35)</f>
        <v/>
      </c>
      <c r="AD35" s="1054">
        <f>SUM(AA35+AC35)</f>
        <v/>
      </c>
      <c r="AE35" s="1066" t="n"/>
      <c r="AG35" s="1018">
        <f>Operations!X25</f>
        <v/>
      </c>
      <c r="AH35" s="488" t="n">
        <v>0.05</v>
      </c>
      <c r="AI35" s="1085">
        <f>SUM(AG35*AH35)</f>
        <v/>
      </c>
      <c r="AJ35" s="1054">
        <f>SUM(AG35+AI35)</f>
        <v/>
      </c>
      <c r="AK35" s="1066" t="n"/>
    </row>
    <row r="36" ht="12" customHeight="1">
      <c r="A36" s="560" t="inlineStr">
        <is>
          <t>ExpCZ</t>
        </is>
      </c>
      <c r="B36" s="491" t="inlineStr">
        <is>
          <t>Support/TMS Experts CZ</t>
        </is>
      </c>
      <c r="C36" s="1070" t="n"/>
      <c r="D36" s="1080" t="n">
        <v>280000</v>
      </c>
      <c r="E36" s="1007" t="n">
        <v>289195</v>
      </c>
      <c r="F36" s="1006" t="n">
        <v>289195</v>
      </c>
      <c r="G36" s="488" t="n">
        <v>0.05</v>
      </c>
      <c r="H36" s="1081" t="n">
        <v>6580</v>
      </c>
      <c r="I36" s="1082">
        <f>SUM(F36+H36)</f>
        <v/>
      </c>
      <c r="J36" s="1080" t="n">
        <v>295775</v>
      </c>
      <c r="K36" s="1006" t="n">
        <v>289195</v>
      </c>
      <c r="L36" s="488" t="n">
        <v>0.05</v>
      </c>
      <c r="M36" s="1081" t="n">
        <v>6580</v>
      </c>
      <c r="N36" s="1082">
        <f>SUM(K36+M36)</f>
        <v/>
      </c>
      <c r="O36" s="1083" t="n">
        <v>295775</v>
      </c>
      <c r="P36" s="1018" t="n">
        <v>289195</v>
      </c>
      <c r="Q36" s="488" t="n">
        <v>0.05</v>
      </c>
      <c r="R36" s="1081">
        <f>SUM(P36*Q36)</f>
        <v/>
      </c>
      <c r="S36" s="1054">
        <f>SUM(P36+R36)</f>
        <v/>
      </c>
      <c r="T36" s="1065" t="n"/>
      <c r="U36" s="1069" t="n">
        <v>213821</v>
      </c>
      <c r="V36" s="488" t="n">
        <v>0.05</v>
      </c>
      <c r="W36" s="1081">
        <f>SUM(U36*V36)</f>
        <v/>
      </c>
      <c r="X36" s="1054">
        <f>SUM(U36+W36)</f>
        <v/>
      </c>
      <c r="Y36" s="1065" t="n"/>
      <c r="Z36" s="1060" t="n"/>
      <c r="AA36" s="1018">
        <f>Operations!R12</f>
        <v/>
      </c>
      <c r="AB36" s="488" t="n">
        <v>0.05</v>
      </c>
      <c r="AC36" s="1081">
        <f>SUM(AA36*AB36)</f>
        <v/>
      </c>
      <c r="AD36" s="1054">
        <f>SUM(AA36+AC36)</f>
        <v/>
      </c>
      <c r="AE36" s="1066" t="n"/>
      <c r="AG36" s="1018">
        <f>Operations!X12</f>
        <v/>
      </c>
      <c r="AH36" s="488" t="n">
        <v>0.05</v>
      </c>
      <c r="AI36" s="1085">
        <f>SUM(AG36*AH36)</f>
        <v/>
      </c>
      <c r="AJ36" s="1054">
        <f>SUM(AG36+AI36)</f>
        <v/>
      </c>
      <c r="AK36" s="1066" t="n"/>
    </row>
    <row r="37" ht="12" customHeight="1">
      <c r="A37" s="647" t="inlineStr">
        <is>
          <t>ExpPT</t>
        </is>
      </c>
      <c r="B37" s="491" t="inlineStr">
        <is>
          <t>Support/TMS Experts PT</t>
        </is>
      </c>
      <c r="C37" s="1071" t="n"/>
      <c r="D37" s="1080" t="n">
        <v>285000</v>
      </c>
      <c r="E37" s="1007" t="n">
        <v>265200</v>
      </c>
      <c r="F37" s="1006" t="n">
        <v>265000</v>
      </c>
      <c r="G37" s="488" t="n">
        <v>0.05</v>
      </c>
      <c r="H37" s="1081">
        <f>SUM(F37*G37)</f>
        <v/>
      </c>
      <c r="I37" s="1082">
        <f>SUM(F37+H37)</f>
        <v/>
      </c>
      <c r="J37" s="1080" t="n">
        <v>278000</v>
      </c>
      <c r="K37" s="1006" t="n">
        <v>265000</v>
      </c>
      <c r="L37" s="488" t="n">
        <v>0.05</v>
      </c>
      <c r="M37" s="1081">
        <f>SUM(K37*L37)</f>
        <v/>
      </c>
      <c r="N37" s="1082">
        <f>SUM(K37+M37)</f>
        <v/>
      </c>
      <c r="O37" s="1083" t="n">
        <v>278000</v>
      </c>
      <c r="P37" s="1018" t="n">
        <v>265000</v>
      </c>
      <c r="Q37" s="488" t="n">
        <v>0.05</v>
      </c>
      <c r="R37" s="1081">
        <f>SUM(P37*Q37)</f>
        <v/>
      </c>
      <c r="S37" s="1054">
        <f>SUM(P37+R37)</f>
        <v/>
      </c>
      <c r="T37" s="1072" t="n"/>
      <c r="U37" s="1069" t="n">
        <v>227171</v>
      </c>
      <c r="V37" s="488" t="n">
        <v>0.05</v>
      </c>
      <c r="W37" s="1081">
        <f>SUM(U37*V37)</f>
        <v/>
      </c>
      <c r="X37" s="1054">
        <f>SUM(U37+W37)</f>
        <v/>
      </c>
      <c r="Y37" s="1065" t="n"/>
      <c r="Z37" s="1060" t="n"/>
      <c r="AA37" s="1018">
        <f>Operations!R18</f>
        <v/>
      </c>
      <c r="AB37" s="488" t="n">
        <v>0.05</v>
      </c>
      <c r="AC37" s="1081">
        <f>SUM(AA37*AB37)</f>
        <v/>
      </c>
      <c r="AD37" s="1054">
        <f>SUM(AA37+AC37)</f>
        <v/>
      </c>
      <c r="AE37" s="1073" t="n"/>
      <c r="AG37" s="1018">
        <f>Operations!X18</f>
        <v/>
      </c>
      <c r="AH37" s="488" t="n">
        <v>0.05</v>
      </c>
      <c r="AI37" s="1085">
        <f>SUM(AG37*AH37)</f>
        <v/>
      </c>
      <c r="AJ37" s="1054">
        <f>SUM(AG37+AI37)</f>
        <v/>
      </c>
      <c r="AK37" s="1073" t="n"/>
    </row>
    <row r="38" ht="17.4" customHeight="1">
      <c r="B38" s="494" t="inlineStr">
        <is>
          <t>Total</t>
        </is>
      </c>
      <c r="C38" s="1026">
        <f>SUM(C34:C36)</f>
        <v/>
      </c>
      <c r="D38" s="1026">
        <f>SUM(D34:D37)</f>
        <v/>
      </c>
      <c r="E38" s="1026">
        <f>SUM(E34:E37)</f>
        <v/>
      </c>
      <c r="F38" s="1028">
        <f>SUM(F34:F37)</f>
        <v/>
      </c>
      <c r="G38" s="1028" t="n"/>
      <c r="H38" s="1028">
        <f>SUM(H34:H37)</f>
        <v/>
      </c>
      <c r="I38" s="1026">
        <f>SUM(I34:I37)</f>
        <v/>
      </c>
      <c r="J38" s="1026">
        <f>SUM(J34:J37)</f>
        <v/>
      </c>
      <c r="K38" s="1026">
        <f>SUM(K34:K37)</f>
        <v/>
      </c>
      <c r="L38" s="1028" t="n"/>
      <c r="M38" s="1028">
        <f>SUM(M34:M37)</f>
        <v/>
      </c>
      <c r="N38" s="1026">
        <f>SUM(N34:N37)</f>
        <v/>
      </c>
      <c r="O38" s="1076">
        <f>SUM(O34:O37)</f>
        <v/>
      </c>
      <c r="P38" s="1031">
        <f>SUM(P34:P37)</f>
        <v/>
      </c>
      <c r="Q38" s="1028" t="n"/>
      <c r="R38" s="1028">
        <f>SUM(R34:R37)</f>
        <v/>
      </c>
      <c r="S38" s="1026">
        <f>SUM(S34:S37)</f>
        <v/>
      </c>
      <c r="T38" s="1030">
        <f>SUM(T34:T37)</f>
        <v/>
      </c>
      <c r="U38" s="1031">
        <f>SUM(U34:U37)</f>
        <v/>
      </c>
      <c r="V38" s="1028" t="n"/>
      <c r="W38" s="1028">
        <f>SUM(W34:W37)</f>
        <v/>
      </c>
      <c r="X38" s="1026">
        <f>SUM(X34:X37)</f>
        <v/>
      </c>
      <c r="Y38" s="1030">
        <f>SUM(Y34:Y37)</f>
        <v/>
      </c>
      <c r="Z38" s="1032" t="n"/>
      <c r="AA38" s="1031">
        <f>SUM(AA34:AA37)</f>
        <v/>
      </c>
      <c r="AB38" s="1028" t="n"/>
      <c r="AC38" s="1028">
        <f>SUM(AC34:AC37)</f>
        <v/>
      </c>
      <c r="AD38" s="1026">
        <f>SUM(AD34:AD37)</f>
        <v/>
      </c>
      <c r="AE38" s="1033">
        <f>SUM(AE34:AE37)</f>
        <v/>
      </c>
      <c r="AG38" s="1034">
        <f>SUM(AG34:AG37)</f>
        <v/>
      </c>
      <c r="AH38" s="1035" t="n"/>
      <c r="AI38" s="1035">
        <f>SUM(AI34:AI37)</f>
        <v/>
      </c>
      <c r="AJ38" s="1026">
        <f>SUM(AJ34:AJ37)</f>
        <v/>
      </c>
      <c r="AK38" s="1033">
        <f>SUM(AK34:AK37)</f>
        <v/>
      </c>
    </row>
    <row r="39" ht="18" customHeight="1">
      <c r="B39" s="503" t="inlineStr">
        <is>
          <t xml:space="preserve">Service Mgmt. &amp; Operations Total </t>
        </is>
      </c>
      <c r="C39" s="1045">
        <f>C38+C32</f>
        <v/>
      </c>
      <c r="D39" s="1045">
        <f>SUM(D32+D38)</f>
        <v/>
      </c>
      <c r="E39" s="1045">
        <f>E38+E32</f>
        <v/>
      </c>
      <c r="F39" s="1045">
        <f>F38+F32</f>
        <v/>
      </c>
      <c r="G39" s="1045" t="n"/>
      <c r="H39" s="1045">
        <f>SUM(H32+H38)</f>
        <v/>
      </c>
      <c r="I39" s="1045">
        <f>SUM(I32+I38)</f>
        <v/>
      </c>
      <c r="J39" s="1045">
        <f>SUM(J32+J38)</f>
        <v/>
      </c>
      <c r="K39" s="1045">
        <f>SUM(K32+K38)</f>
        <v/>
      </c>
      <c r="L39" s="1045" t="n"/>
      <c r="M39" s="1045">
        <f>SUM(M32+M38)</f>
        <v/>
      </c>
      <c r="N39" s="1045">
        <f>SUM(N32+N38)</f>
        <v/>
      </c>
      <c r="O39" s="1086">
        <f>SUM(O32+O38)</f>
        <v/>
      </c>
      <c r="P39" s="1048">
        <f>P38+P32</f>
        <v/>
      </c>
      <c r="Q39" s="1045" t="n"/>
      <c r="R39" s="1045" t="n"/>
      <c r="S39" s="1045">
        <f>SUM(S32+S38)</f>
        <v/>
      </c>
      <c r="T39" s="1047">
        <f>SUM(T32+T38)</f>
        <v/>
      </c>
      <c r="U39" s="1048">
        <f>U38+U32</f>
        <v/>
      </c>
      <c r="V39" s="1045" t="n"/>
      <c r="W39" s="1045" t="n"/>
      <c r="X39" s="1045">
        <f>SUM(X32+X38)</f>
        <v/>
      </c>
      <c r="Y39" s="1047">
        <f>SUM(Y32+Y38)</f>
        <v/>
      </c>
      <c r="Z39" s="1049" t="n"/>
      <c r="AA39" s="1048">
        <f>AA38+AA32</f>
        <v/>
      </c>
      <c r="AB39" s="1045" t="n"/>
      <c r="AC39" s="1045" t="n"/>
      <c r="AD39" s="1045">
        <f>SUM(AD32+AD38)</f>
        <v/>
      </c>
      <c r="AE39" s="1050">
        <f>SUM(AE32+AE38)</f>
        <v/>
      </c>
      <c r="AG39" s="1048">
        <f>AG38+AG32</f>
        <v/>
      </c>
      <c r="AH39" s="1045" t="n"/>
      <c r="AI39" s="1045" t="n"/>
      <c r="AJ39" s="1045">
        <f>SUM(AJ32+AJ38)</f>
        <v/>
      </c>
      <c r="AK39" s="1050">
        <f>SUM(AK32+AK38)</f>
        <v/>
      </c>
    </row>
    <row r="40" ht="17" customHeight="1">
      <c r="B40" s="573" t="inlineStr">
        <is>
          <t>Abgestimmtes Budget</t>
        </is>
      </c>
      <c r="C40" s="1087" t="n">
        <v>4005000</v>
      </c>
      <c r="D40" s="1087" t="n">
        <v>4330000</v>
      </c>
      <c r="E40" s="1087" t="n"/>
      <c r="F40" s="1087" t="n"/>
      <c r="G40" s="1087" t="n"/>
      <c r="H40" s="1087" t="n"/>
      <c r="I40" s="1087" t="n">
        <v>1650000</v>
      </c>
      <c r="J40" s="1087" t="n">
        <v>1650000</v>
      </c>
      <c r="K40" s="1087" t="n"/>
      <c r="L40" s="1087" t="n"/>
      <c r="M40" s="1087" t="n"/>
      <c r="N40" s="1087" t="n">
        <v>1650000</v>
      </c>
      <c r="O40" s="1088" t="n">
        <v>1650000</v>
      </c>
      <c r="P40" s="1089" t="n"/>
      <c r="Q40" s="1087" t="n"/>
      <c r="R40" s="1087" t="n"/>
      <c r="S40" s="1087" t="n">
        <v>1650000</v>
      </c>
      <c r="T40" s="1090" t="n">
        <v>1650000</v>
      </c>
      <c r="U40" s="1089" t="n"/>
      <c r="V40" s="1087" t="n"/>
      <c r="W40" s="1087" t="n"/>
      <c r="X40" s="1087" t="n">
        <v>1650000</v>
      </c>
      <c r="Y40" s="1090" t="n">
        <v>1650000</v>
      </c>
      <c r="Z40" s="1049" t="n"/>
      <c r="AA40" s="1089" t="n"/>
      <c r="AB40" s="1087" t="n"/>
      <c r="AC40" s="1087" t="n"/>
      <c r="AD40" s="1087" t="n">
        <v>1650000</v>
      </c>
      <c r="AE40" s="1091" t="n">
        <v>1650000</v>
      </c>
      <c r="AG40" s="1089" t="n"/>
      <c r="AH40" s="1087" t="n"/>
      <c r="AI40" s="1087" t="n"/>
      <c r="AJ40" s="1087" t="n">
        <v>1650000</v>
      </c>
      <c r="AK40" s="1091" t="n">
        <v>1650000</v>
      </c>
    </row>
    <row r="41" ht="14.4" customHeight="1" thickBot="1">
      <c r="B41" s="494" t="inlineStr">
        <is>
          <t>Total</t>
        </is>
      </c>
      <c r="C41" s="1026" t="n"/>
      <c r="D41" s="1026" t="n"/>
      <c r="E41" s="1026" t="n"/>
      <c r="F41" s="1026" t="n"/>
      <c r="G41" s="1026" t="n"/>
      <c r="H41" s="1026" t="n"/>
      <c r="I41" s="1026" t="n"/>
      <c r="J41" s="1026" t="n"/>
      <c r="K41" s="1026" t="n"/>
      <c r="L41" s="1026" t="n"/>
      <c r="M41" s="1026" t="n"/>
      <c r="N41" s="1026" t="n"/>
      <c r="O41" s="1076" t="n"/>
      <c r="P41" s="1077" t="n"/>
      <c r="Q41" s="1026" t="n"/>
      <c r="R41" s="1026" t="n"/>
      <c r="S41" s="1026" t="n"/>
      <c r="T41" s="1030" t="n"/>
      <c r="U41" s="1092" t="n"/>
      <c r="V41" s="1093" t="n"/>
      <c r="W41" s="1093" t="n"/>
      <c r="X41" s="1093" t="n"/>
      <c r="Y41" s="1094" t="n"/>
      <c r="Z41" s="1032" t="n"/>
      <c r="AA41" s="1095" t="n"/>
      <c r="AB41" s="1096" t="n"/>
      <c r="AC41" s="1096" t="n"/>
      <c r="AD41" s="1096" t="n"/>
      <c r="AE41" s="1097" t="n"/>
      <c r="AG41" s="1095" t="n"/>
      <c r="AH41" s="1096" t="n"/>
      <c r="AI41" s="1096" t="n"/>
      <c r="AJ41" s="1096" t="n"/>
      <c r="AK41" s="1097" t="n"/>
    </row>
    <row r="42" ht="18.65" customHeight="1" thickTop="1">
      <c r="E42" s="1098" t="n"/>
      <c r="F42" s="1098" t="n"/>
      <c r="G42" s="1098" t="n"/>
      <c r="L42" s="1098" t="n"/>
      <c r="P42" s="1098" t="n"/>
      <c r="Q42" s="1098" t="n"/>
    </row>
    <row r="43" ht="12" customHeight="1">
      <c r="E43" s="1098" t="n"/>
      <c r="F43" s="1098" t="n"/>
      <c r="G43" s="1098" t="n"/>
      <c r="L43" s="1098" t="n"/>
      <c r="P43" s="1098" t="n"/>
      <c r="Q43" s="1098" t="n"/>
    </row>
    <row r="44" ht="12" customHeight="1">
      <c r="B44" s="506" t="n"/>
      <c r="C44" s="578" t="n"/>
    </row>
  </sheetData>
  <autoFilter ref="A3:AE21">
    <filterColumn colId="6" hiddenButton="0" showButton="0"/>
    <filterColumn colId="11" hiddenButton="0" showButton="0"/>
    <filterColumn colId="16" hiddenButton="0" showButton="0"/>
    <filterColumn colId="21" hiddenButton="0" showButton="0"/>
    <filterColumn colId="27" hiddenButton="0" showButton="0"/>
  </autoFilter>
  <mergeCells count="16">
    <mergeCell ref="L3:M3"/>
    <mergeCell ref="Y25:Y30"/>
    <mergeCell ref="AH3:AI3"/>
    <mergeCell ref="Q3:R3"/>
    <mergeCell ref="C27:C30"/>
    <mergeCell ref="C34:C37"/>
    <mergeCell ref="T34:T37"/>
    <mergeCell ref="T25:T30"/>
    <mergeCell ref="AK34:AK37"/>
    <mergeCell ref="Y34:Y37"/>
    <mergeCell ref="AE34:AE37"/>
    <mergeCell ref="AE25:AE30"/>
    <mergeCell ref="G3:H3"/>
    <mergeCell ref="V3:W3"/>
    <mergeCell ref="AB3:AC3"/>
    <mergeCell ref="AK25:AK30"/>
  </mergeCells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A1:N40"/>
  <sheetViews>
    <sheetView zoomScale="83" zoomScaleNormal="83" workbookViewId="0">
      <selection activeCell="M16" sqref="M6:M16"/>
    </sheetView>
  </sheetViews>
  <sheetFormatPr baseColWidth="8" defaultColWidth="11.54296875" defaultRowHeight="12.5"/>
  <cols>
    <col width="41" customWidth="1" style="493" min="1" max="1"/>
    <col width="16.90625" customWidth="1" style="493" min="2" max="2"/>
    <col width="17.453125" customWidth="1" style="52" min="3" max="3"/>
    <col hidden="1" width="17.36328125" customWidth="1" style="493" min="4" max="5"/>
    <col hidden="1" width="15.90625" customWidth="1" style="493" min="6" max="6"/>
    <col width="16.6328125" customWidth="1" style="493" min="7" max="8"/>
    <col width="13.36328125" customWidth="1" style="493" min="9" max="9"/>
    <col width="15.6328125" customWidth="1" style="493" min="10" max="10"/>
    <col width="60" customWidth="1" style="612" min="11" max="11"/>
    <col width="11.54296875" customWidth="1" style="493" min="12" max="13"/>
    <col width="34" customWidth="1" style="493" min="14" max="14"/>
    <col width="11.54296875" customWidth="1" style="493" min="15" max="16384"/>
  </cols>
  <sheetData>
    <row r="1" ht="13" customHeight="1">
      <c r="A1" s="827" t="inlineStr">
        <is>
          <t>TMS</t>
        </is>
      </c>
      <c r="B1" s="1099" t="n"/>
      <c r="C1" s="1099" t="n"/>
      <c r="D1" s="1099" t="n"/>
      <c r="E1" s="1099" t="n"/>
      <c r="F1" s="1099" t="n"/>
      <c r="G1" s="1099" t="n"/>
      <c r="H1" s="1099" t="n"/>
      <c r="I1" s="1099" t="n"/>
      <c r="J1" s="1099" t="n"/>
      <c r="K1" s="1100" t="n"/>
    </row>
    <row r="2" ht="26" customHeight="1">
      <c r="A2" s="591" t="n"/>
      <c r="B2" s="592" t="n"/>
      <c r="C2" s="821" t="n"/>
      <c r="D2" s="590" t="inlineStr">
        <is>
          <t>Budget FY25
07.2024</t>
        </is>
      </c>
      <c r="E2" s="590" t="inlineStr">
        <is>
          <t>Budget FY25
07.11.2025</t>
        </is>
      </c>
      <c r="F2" s="590" t="inlineStr">
        <is>
          <t>FY25/Q1 FC
15.01.2025</t>
        </is>
      </c>
      <c r="G2" s="590" t="inlineStr">
        <is>
          <t>FY25/Q2 FC
11.03.2025</t>
        </is>
      </c>
      <c r="H2" s="590" t="inlineStr">
        <is>
          <t>FY25/Q3 FC
23.06.2025</t>
        </is>
      </c>
      <c r="I2" s="590" t="inlineStr">
        <is>
          <t>FY25/Q4 FC
12.08.2025</t>
        </is>
      </c>
      <c r="J2" s="590" t="inlineStr">
        <is>
          <t>FY26 Budget
Stand 03/2025</t>
        </is>
      </c>
      <c r="K2" s="593" t="inlineStr">
        <is>
          <t>Comments</t>
        </is>
      </c>
    </row>
    <row r="3" ht="26" customHeight="1">
      <c r="A3" s="498" t="inlineStr">
        <is>
          <t>Ext. Careers Portal Crew</t>
        </is>
      </c>
      <c r="B3" s="543" t="inlineStr">
        <is>
          <t>PCT-Elemente DPS</t>
        </is>
      </c>
      <c r="C3" s="590" t="inlineStr">
        <is>
          <t>PSP Elements P&amp;O ECO DIG</t>
        </is>
      </c>
      <c r="D3" s="590" t="inlineStr">
        <is>
          <t>SAG (incl. SMO, SHS)</t>
        </is>
      </c>
      <c r="E3" s="590" t="inlineStr">
        <is>
          <t>SAG (incl. SMO, SHS)</t>
        </is>
      </c>
      <c r="F3" s="590" t="n"/>
      <c r="G3" s="590" t="inlineStr">
        <is>
          <t>SAG (incl. SMO, SHS)</t>
        </is>
      </c>
      <c r="H3" s="590" t="inlineStr">
        <is>
          <t>SAG (incl. SMO, SHS)</t>
        </is>
      </c>
      <c r="I3" s="590" t="inlineStr">
        <is>
          <t>SAG (incl. SMO, SHS)</t>
        </is>
      </c>
      <c r="J3" s="590" t="inlineStr">
        <is>
          <t>SAG (incl. SMO, SHS)</t>
        </is>
      </c>
      <c r="K3" s="594" t="n"/>
    </row>
    <row r="4" ht="146.25" customHeight="1">
      <c r="A4" s="491" t="inlineStr">
        <is>
          <t>Avature</t>
        </is>
      </c>
      <c r="B4" s="560" t="n"/>
      <c r="C4" s="595" t="inlineStr">
        <is>
          <t>--</t>
        </is>
      </c>
      <c r="D4" s="1101" t="n">
        <v>162000</v>
      </c>
      <c r="E4" s="1102" t="n">
        <v>0</v>
      </c>
      <c r="F4" s="1103" t="n">
        <v>0</v>
      </c>
      <c r="G4" s="1103" t="n">
        <v>252000</v>
      </c>
      <c r="H4" s="1103" t="n">
        <v>319000</v>
      </c>
      <c r="I4" s="1103" t="n"/>
      <c r="J4" s="1103" t="inlineStr">
        <is>
          <t>tbd.</t>
        </is>
      </c>
      <c r="K4" s="704" t="inlineStr">
        <is>
          <t>FY26: 
Re-Launch Internal Careers
Re-Launch Hiring Manager Portal
Avature Copilot Functionalities
Integration to Preboarding
Sourcing integration (LinkedIn)
MS Teams Connectivity
Realising Health Check Measures
Design one “AI-first”-segment
(SPE Roll-Out, most probably not on ECOP DIG Budget)
(Workday Fit-Gap Analysis - Next Steps)</t>
        </is>
      </c>
      <c r="N4" s="186" t="n"/>
    </row>
    <row r="5">
      <c r="A5" s="491" t="inlineStr">
        <is>
          <t xml:space="preserve">Eightfold </t>
        </is>
      </c>
      <c r="B5" s="600" t="n"/>
      <c r="C5" s="1104" t="inlineStr">
        <is>
          <t>--</t>
        </is>
      </c>
      <c r="D5" s="1102" t="n">
        <v>315000</v>
      </c>
      <c r="E5" s="1102" t="n">
        <v>315000</v>
      </c>
      <c r="F5" s="1102" t="n">
        <v>105000</v>
      </c>
      <c r="G5" s="1101" t="n">
        <v>119700</v>
      </c>
      <c r="H5" s="1101" t="n">
        <v>120000</v>
      </c>
      <c r="I5" s="1101" t="n"/>
      <c r="J5" s="1103" t="inlineStr">
        <is>
          <t>tbd.</t>
        </is>
      </c>
      <c r="K5" s="602" t="inlineStr">
        <is>
          <t>no EF rampdown costs considered</t>
        </is>
      </c>
      <c r="N5" s="186" t="n"/>
    </row>
    <row r="6" ht="17" customHeight="1">
      <c r="A6" s="491" t="inlineStr">
        <is>
          <t>GBS H2R DPS</t>
        </is>
      </c>
      <c r="B6" s="600" t="n"/>
      <c r="C6" s="1105" t="inlineStr">
        <is>
          <t>IP-HOTSG-TMS-DPS</t>
        </is>
      </c>
      <c r="D6" s="1102" t="n">
        <v>699000</v>
      </c>
      <c r="E6" s="1102" t="n">
        <v>530000</v>
      </c>
      <c r="F6" s="1102" t="n">
        <v>535000</v>
      </c>
      <c r="G6" s="1102" t="n">
        <v>542500</v>
      </c>
      <c r="H6" s="1102" t="n">
        <v>521000</v>
      </c>
      <c r="I6" s="1102" t="n"/>
      <c r="J6" s="1103" t="inlineStr">
        <is>
          <t>tbd.</t>
        </is>
      </c>
      <c r="K6" s="1106" t="n"/>
      <c r="M6" s="1107" t="n"/>
    </row>
    <row r="7" ht="17" customHeight="1">
      <c r="A7" s="491" t="inlineStr">
        <is>
          <t>T (CYS &amp; Access.)</t>
        </is>
      </c>
      <c r="B7" s="600" t="n"/>
      <c r="C7" s="1105" t="inlineStr">
        <is>
          <t>IP-HOTSG-TMS-TCY</t>
        </is>
      </c>
      <c r="D7" s="1101" t="n">
        <v>55000</v>
      </c>
      <c r="E7" s="1101" t="n">
        <v>10500</v>
      </c>
      <c r="F7" s="1101" t="n">
        <v>10500</v>
      </c>
      <c r="G7" s="1101" t="n">
        <v>10500</v>
      </c>
      <c r="H7" s="1101" t="n">
        <v>10500</v>
      </c>
      <c r="I7" s="1101" t="n"/>
      <c r="J7" s="1103" t="inlineStr">
        <is>
          <t>tbd.</t>
        </is>
      </c>
      <c r="K7" s="1108" t="n"/>
    </row>
    <row r="8" ht="17" customHeight="1">
      <c r="A8" s="491" t="inlineStr">
        <is>
          <t>Travel Costs</t>
        </is>
      </c>
      <c r="B8" s="600" t="n"/>
      <c r="C8" s="1105" t="inlineStr">
        <is>
          <t>IP-HOTSG-TMS-TRV</t>
        </is>
      </c>
      <c r="D8" s="1102" t="n">
        <v>55000</v>
      </c>
      <c r="E8" s="1102" t="n">
        <v>52500</v>
      </c>
      <c r="F8" s="1102" t="n">
        <v>52500</v>
      </c>
      <c r="G8" s="1102" t="n">
        <v>26000</v>
      </c>
      <c r="H8" s="1102" t="n">
        <v>26000</v>
      </c>
      <c r="I8" s="1102" t="n"/>
      <c r="J8" s="1103" t="inlineStr">
        <is>
          <t>tbd.</t>
        </is>
      </c>
      <c r="K8" s="1106" t="n"/>
    </row>
    <row r="9" ht="13" customHeight="1">
      <c r="A9" s="494" t="inlineStr">
        <is>
          <t>Total</t>
        </is>
      </c>
      <c r="B9" s="494" t="n"/>
      <c r="C9" s="1109" t="n"/>
      <c r="D9" s="1110">
        <f>SUM(D4:D8)</f>
        <v/>
      </c>
      <c r="E9" s="1110">
        <f>SUM(E4:E8)</f>
        <v/>
      </c>
      <c r="F9" s="1110">
        <f>SUM(F4:F8)</f>
        <v/>
      </c>
      <c r="G9" s="1110">
        <f>SUM(G4:G8)</f>
        <v/>
      </c>
      <c r="H9" s="1110">
        <f>SUM(H4:H8)</f>
        <v/>
      </c>
      <c r="I9" s="1110">
        <f>SUM(I4:I8)</f>
        <v/>
      </c>
      <c r="J9" s="1110">
        <f>SUM(J4:J8)</f>
        <v/>
      </c>
      <c r="K9" s="1111" t="n"/>
    </row>
    <row r="10" ht="26" customHeight="1">
      <c r="A10" s="543" t="inlineStr">
        <is>
          <t>Avature Crew</t>
        </is>
      </c>
      <c r="B10" s="543" t="inlineStr">
        <is>
          <t>PCT-Elemente DPS</t>
        </is>
      </c>
      <c r="C10" s="590" t="inlineStr">
        <is>
          <t>PSP Elements P&amp;O ECO DIG</t>
        </is>
      </c>
      <c r="D10" s="1112" t="n"/>
      <c r="E10" s="1112" t="n"/>
      <c r="F10" s="1112" t="n"/>
      <c r="G10" s="1112" t="n"/>
      <c r="H10" s="1112" t="n"/>
      <c r="I10" s="1112" t="n"/>
      <c r="J10" s="1112" t="n"/>
      <c r="K10" s="1113" t="n"/>
    </row>
    <row r="11" ht="87.5" customHeight="1">
      <c r="A11" s="491" t="inlineStr">
        <is>
          <t>Avature</t>
        </is>
      </c>
      <c r="B11" s="600" t="n"/>
      <c r="C11" s="1105" t="inlineStr">
        <is>
          <t>IP-HOTSG-TMS-AVA</t>
        </is>
      </c>
      <c r="D11" s="1101">
        <f>1100000-D4</f>
        <v/>
      </c>
      <c r="E11" s="1101" t="n">
        <v>1052000</v>
      </c>
      <c r="F11" s="1101" t="n">
        <v>1071000</v>
      </c>
      <c r="G11" s="1101" t="n">
        <v>1042300</v>
      </c>
      <c r="H11" s="1101" t="n">
        <v>1002000</v>
      </c>
      <c r="I11" s="1101" t="n"/>
      <c r="J11" s="1103" t="inlineStr">
        <is>
          <t>tbd.</t>
        </is>
      </c>
      <c r="K11" s="705" t="inlineStr">
        <is>
          <t>FY25: incl. Avature Healthcheck
FY26:
additional recurring fees to consider:
- ext. Careers portal (372 T€)
- LinkedIn CRM (?)
- XML feeds (10 T€)
- Sherlock, Junction, Compound Objects, … (100 T€)</t>
        </is>
      </c>
    </row>
    <row r="12" ht="14.4" customHeight="1">
      <c r="A12" s="491" t="inlineStr">
        <is>
          <t>Tupu</t>
        </is>
      </c>
      <c r="B12" s="600" t="n"/>
      <c r="C12" s="1105" t="inlineStr">
        <is>
          <t>IP-HOTSG-TMS-TUP</t>
        </is>
      </c>
      <c r="D12" s="1114" t="n">
        <v>33000</v>
      </c>
      <c r="E12" s="1114" t="n">
        <v>31500</v>
      </c>
      <c r="F12" s="1114" t="n">
        <v>31500</v>
      </c>
      <c r="G12" s="1102" t="n">
        <v>10000</v>
      </c>
      <c r="H12" s="1114" t="n">
        <v>10000</v>
      </c>
      <c r="I12" s="1114" t="n"/>
      <c r="J12" s="1103" t="inlineStr">
        <is>
          <t>tbd.</t>
        </is>
      </c>
      <c r="K12" s="1115" t="n"/>
    </row>
    <row r="13" ht="14.4" customHeight="1">
      <c r="A13" s="491" t="inlineStr">
        <is>
          <t>Other ext. providers</t>
        </is>
      </c>
      <c r="B13" s="491" t="n"/>
      <c r="C13" s="1105" t="inlineStr">
        <is>
          <t>wird bei Bedarf angelegt</t>
        </is>
      </c>
      <c r="D13" s="1116" t="n">
        <v>0</v>
      </c>
      <c r="E13" s="1116" t="n">
        <v>0</v>
      </c>
      <c r="F13" s="1116" t="n">
        <v>0</v>
      </c>
      <c r="G13" s="1116" t="n"/>
      <c r="H13" s="1116" t="n"/>
      <c r="I13" s="1116" t="n"/>
      <c r="J13" s="1103" t="inlineStr">
        <is>
          <t>tbd.</t>
        </is>
      </c>
      <c r="K13" s="1117" t="n"/>
    </row>
    <row r="14" ht="14.4" customHeight="1">
      <c r="A14" s="491" t="inlineStr">
        <is>
          <t>GBS H2R DPS</t>
        </is>
      </c>
      <c r="B14" s="600" t="n"/>
      <c r="C14" s="1105" t="inlineStr">
        <is>
          <t>IP-HOTSG-TMS-DPS</t>
        </is>
      </c>
      <c r="D14" s="1114" t="n">
        <v>196000</v>
      </c>
      <c r="E14" s="1114" t="n">
        <v>359000</v>
      </c>
      <c r="F14" s="1102" t="n">
        <v>360500</v>
      </c>
      <c r="G14" s="1114" t="n">
        <v>416000</v>
      </c>
      <c r="H14" s="1114" t="n">
        <v>383000</v>
      </c>
      <c r="I14" s="1114" t="n"/>
      <c r="J14" s="1103" t="inlineStr">
        <is>
          <t>tbd.</t>
        </is>
      </c>
      <c r="K14" s="1115" t="n"/>
      <c r="M14" s="1107" t="n"/>
    </row>
    <row r="15" ht="14.4" customHeight="1">
      <c r="A15" s="491" t="inlineStr">
        <is>
          <t>T (CYS &amp; Access.)</t>
        </is>
      </c>
      <c r="B15" s="491" t="n"/>
      <c r="C15" s="1105" t="inlineStr">
        <is>
          <t>IP-HOTSG-TMS-TCY</t>
        </is>
      </c>
      <c r="D15" s="1114" t="n">
        <v>10500</v>
      </c>
      <c r="E15" s="1114" t="n">
        <v>10500</v>
      </c>
      <c r="F15" s="1114" t="n">
        <v>10500</v>
      </c>
      <c r="G15" s="1114" t="n">
        <v>10500</v>
      </c>
      <c r="H15" s="1114" t="n">
        <v>10500</v>
      </c>
      <c r="I15" s="1114" t="n"/>
      <c r="J15" s="1103" t="inlineStr">
        <is>
          <t>tbd.</t>
        </is>
      </c>
      <c r="K15" s="1115" t="n"/>
    </row>
    <row r="16">
      <c r="A16" s="493" t="inlineStr">
        <is>
          <t>Travel Costs</t>
        </is>
      </c>
      <c r="B16" s="491" t="n"/>
      <c r="C16" s="1105" t="n"/>
      <c r="D16" s="1114" t="n"/>
      <c r="E16" s="1114" t="n"/>
      <c r="F16" s="1114" t="n"/>
      <c r="G16" s="1114" t="n"/>
      <c r="H16" s="1114" t="n"/>
      <c r="I16" s="1114" t="n"/>
      <c r="J16" s="1103" t="inlineStr">
        <is>
          <t>tbd.</t>
        </is>
      </c>
      <c r="K16" s="1115" t="n"/>
    </row>
    <row r="17" ht="13" customHeight="1">
      <c r="A17" s="494" t="inlineStr">
        <is>
          <t>Total</t>
        </is>
      </c>
      <c r="B17" s="494" t="n"/>
      <c r="C17" s="1109" t="n"/>
      <c r="D17" s="1110">
        <f>SUM(D11:D15)</f>
        <v/>
      </c>
      <c r="E17" s="1110">
        <f>SUM(E11:E15)</f>
        <v/>
      </c>
      <c r="F17" s="1110">
        <f>SUM(F11:F15)</f>
        <v/>
      </c>
      <c r="G17" s="1110">
        <f>SUM(G11:G16)</f>
        <v/>
      </c>
      <c r="H17" s="1110">
        <f>SUM(H11:H16)</f>
        <v/>
      </c>
      <c r="I17" s="1110">
        <f>SUM(I11:I16)</f>
        <v/>
      </c>
      <c r="J17" s="1110">
        <f>SUM(J11:J16)</f>
        <v/>
      </c>
      <c r="K17" s="1111" t="n"/>
    </row>
    <row r="18" ht="26" customFormat="1" customHeight="1" s="710">
      <c r="A18" s="706" t="inlineStr">
        <is>
          <t>Project - total</t>
        </is>
      </c>
      <c r="B18" s="706" t="n"/>
      <c r="C18" s="707" t="n"/>
      <c r="D18" s="1118">
        <f>D9+D17</f>
        <v/>
      </c>
      <c r="E18" s="1118">
        <f>E9+E17</f>
        <v/>
      </c>
      <c r="F18" s="1118">
        <f>F9+F17</f>
        <v/>
      </c>
      <c r="G18" s="1118">
        <f>G9+G17</f>
        <v/>
      </c>
      <c r="H18" s="1118">
        <f>H9+H17</f>
        <v/>
      </c>
      <c r="I18" s="1118">
        <f>I9+I17</f>
        <v/>
      </c>
      <c r="J18" s="1118">
        <f>J9+J17</f>
        <v/>
      </c>
      <c r="K18" s="1119" t="inlineStr">
        <is>
          <t>FY25 confirmed by P&amp;O ECO DIG: 2'1 €
 FY26 confirmed by P&amp;O ECO DIG: tbd.</t>
        </is>
      </c>
    </row>
    <row r="19" ht="13" customHeight="1">
      <c r="A19" s="540" t="n"/>
      <c r="B19" s="540" t="n"/>
      <c r="C19" s="617" t="n"/>
      <c r="D19" s="1120" t="n"/>
      <c r="E19" s="1120" t="n"/>
      <c r="F19" s="1120" t="n"/>
      <c r="G19" s="1120" t="n"/>
      <c r="H19" s="1120" t="n"/>
      <c r="I19" s="1120" t="n"/>
      <c r="J19" s="1120" t="n"/>
      <c r="K19" s="1121" t="n"/>
    </row>
    <row r="20" ht="13" customHeight="1">
      <c r="A20" s="491" t="inlineStr">
        <is>
          <t>Workday Recruiting / Gap analysis</t>
        </is>
      </c>
      <c r="B20" s="540" t="n"/>
      <c r="C20" s="617" t="n"/>
      <c r="D20" s="1120" t="n"/>
      <c r="E20" s="1120" t="n"/>
      <c r="F20" s="1122" t="n"/>
      <c r="G20" s="1114" t="n">
        <v>165000</v>
      </c>
      <c r="H20" s="1122" t="n"/>
      <c r="I20" s="1122" t="n"/>
      <c r="J20" s="1122" t="n"/>
      <c r="K20" s="1108" t="inlineStr">
        <is>
          <t>handled by P&amp;O ECO DIG</t>
        </is>
      </c>
    </row>
    <row r="21">
      <c r="A21" s="491" t="inlineStr">
        <is>
          <t>Scrum Master</t>
        </is>
      </c>
      <c r="B21" s="491" t="n"/>
      <c r="C21" s="491" t="n"/>
      <c r="D21" s="491" t="n"/>
      <c r="E21" s="491" t="n"/>
      <c r="F21" s="491" t="n"/>
      <c r="G21" s="1114" t="n">
        <v>55000</v>
      </c>
      <c r="H21" s="491" t="n"/>
      <c r="I21" s="491" t="n"/>
      <c r="J21" s="1114" t="n">
        <v>135000</v>
      </c>
      <c r="K21" s="1108" t="inlineStr">
        <is>
          <t>handled by P&amp;O ECO DIG</t>
        </is>
      </c>
    </row>
    <row r="22">
      <c r="C22" s="493" t="n"/>
      <c r="D22" s="892" t="n"/>
      <c r="E22" s="892" t="n"/>
      <c r="F22" s="892" t="n"/>
      <c r="G22" s="892" t="n"/>
      <c r="H22" s="892" t="n"/>
      <c r="I22" s="892" t="n"/>
      <c r="J22" s="892" t="n"/>
      <c r="K22" s="1123" t="n"/>
    </row>
    <row r="23" ht="26" customHeight="1">
      <c r="A23" s="543" t="inlineStr">
        <is>
          <t>Subscription Fees + Siemens Integrations</t>
        </is>
      </c>
      <c r="B23" s="543" t="inlineStr">
        <is>
          <t>PCT-Elemente DPS</t>
        </is>
      </c>
      <c r="C23" s="590" t="inlineStr">
        <is>
          <t>PSP Elements P&amp;O ECO DIG</t>
        </is>
      </c>
      <c r="D23" s="1124" t="n"/>
      <c r="E23" s="1112" t="n"/>
      <c r="F23" s="1112" t="n"/>
      <c r="G23" s="1112" t="n"/>
      <c r="H23" s="1112" t="n"/>
      <c r="I23" s="1112" t="n"/>
      <c r="J23" s="1112" t="n"/>
      <c r="K23" s="1113" t="n"/>
    </row>
    <row r="24">
      <c r="A24" s="486" t="inlineStr">
        <is>
          <t>Avature</t>
        </is>
      </c>
      <c r="B24" s="600" t="inlineStr">
        <is>
          <t>non GBS</t>
        </is>
      </c>
      <c r="C24" s="1125" t="n"/>
      <c r="D24" s="1126" t="n">
        <v>1771000</v>
      </c>
      <c r="E24" s="1102" t="n">
        <v>0</v>
      </c>
      <c r="F24" s="1101" t="n">
        <v>0</v>
      </c>
      <c r="G24" s="1101" t="n"/>
      <c r="H24" s="1101" t="n"/>
      <c r="I24" s="1101" t="n"/>
      <c r="J24" s="1101" t="n"/>
      <c r="K24" s="1108" t="inlineStr">
        <is>
          <t>handled by P&amp;O ECO DIG</t>
        </is>
      </c>
    </row>
    <row r="25">
      <c r="A25" s="491" t="inlineStr">
        <is>
          <t>Eightfold</t>
        </is>
      </c>
      <c r="B25" s="600" t="inlineStr">
        <is>
          <t>non GBS</t>
        </is>
      </c>
      <c r="C25" s="1127" t="n"/>
      <c r="D25" s="1102" t="n">
        <v>888000</v>
      </c>
      <c r="E25" s="1128" t="n">
        <v>0</v>
      </c>
      <c r="F25" s="1128" t="n">
        <v>0</v>
      </c>
      <c r="G25" s="1128" t="n"/>
      <c r="H25" s="1128" t="n"/>
      <c r="I25" s="1128" t="n"/>
      <c r="J25" s="1128" t="n"/>
      <c r="K25" s="1108" t="inlineStr">
        <is>
          <t>handled by P&amp;O ECO DIG</t>
        </is>
      </c>
    </row>
    <row r="26">
      <c r="A26" s="491" t="inlineStr">
        <is>
          <t>Adobe Sign</t>
        </is>
      </c>
      <c r="B26" s="600" t="n"/>
      <c r="C26" s="1129" t="inlineStr">
        <is>
          <t>IP-HOTSO-4SX-JIL</t>
        </is>
      </c>
      <c r="D26" s="1130" t="n">
        <v>378000</v>
      </c>
      <c r="E26" s="1102" t="n">
        <v>372000</v>
      </c>
      <c r="F26" s="1102" t="n">
        <v>372000</v>
      </c>
      <c r="G26" s="1102" t="n">
        <v>372000</v>
      </c>
      <c r="H26" s="1102" t="n">
        <v>372000</v>
      </c>
      <c r="I26" s="1102" t="n"/>
      <c r="J26" s="1130" t="inlineStr">
        <is>
          <t>tbd.</t>
        </is>
      </c>
      <c r="K26" s="1106" t="n"/>
    </row>
    <row r="27">
      <c r="A27" s="491" t="inlineStr">
        <is>
          <t xml:space="preserve">eQuest </t>
        </is>
      </c>
      <c r="B27" s="600" t="n"/>
      <c r="C27" s="1070" t="n"/>
      <c r="D27" s="1131" t="n"/>
      <c r="E27" s="1070" t="n"/>
      <c r="F27" s="1070" t="n"/>
      <c r="G27" s="1070" t="n"/>
      <c r="H27" s="1070" t="n"/>
      <c r="I27" s="1070" t="n"/>
      <c r="J27" s="1131" t="n"/>
      <c r="K27" s="1070" t="n"/>
    </row>
    <row r="28">
      <c r="A28" s="491" t="inlineStr">
        <is>
          <t>Tupu</t>
        </is>
      </c>
      <c r="B28" s="600" t="n"/>
      <c r="C28" s="1070" t="n"/>
      <c r="D28" s="1131" t="n"/>
      <c r="E28" s="1070" t="n"/>
      <c r="F28" s="1070" t="n"/>
      <c r="G28" s="1070" t="n"/>
      <c r="H28" s="1070" t="n"/>
      <c r="I28" s="1070" t="n"/>
      <c r="J28" s="1131" t="n"/>
      <c r="K28" s="1070" t="n"/>
    </row>
    <row r="29">
      <c r="A29" s="491" t="inlineStr">
        <is>
          <t>Siemens Integrations</t>
        </is>
      </c>
      <c r="B29" s="600" t="n"/>
      <c r="C29" s="1071" t="n"/>
      <c r="D29" s="1132" t="n"/>
      <c r="E29" s="1071" t="n"/>
      <c r="F29" s="1071" t="n"/>
      <c r="G29" s="1071" t="n"/>
      <c r="H29" s="1071" t="n"/>
      <c r="I29" s="1071" t="n"/>
      <c r="J29" s="1132" t="n"/>
      <c r="K29" s="1071" t="n"/>
    </row>
    <row r="30" ht="13" customHeight="1">
      <c r="A30" s="494" t="inlineStr">
        <is>
          <t>Total</t>
        </is>
      </c>
      <c r="B30" s="494" t="n"/>
      <c r="C30" s="1109" t="n"/>
      <c r="D30" s="1110">
        <f>SUM(D24:D29)</f>
        <v/>
      </c>
      <c r="E30" s="1110">
        <f>SUM(E24:E29)</f>
        <v/>
      </c>
      <c r="F30" s="1110">
        <f>SUM(F24:F29)</f>
        <v/>
      </c>
      <c r="G30" s="1110">
        <f>SUM(G24:G29)</f>
        <v/>
      </c>
      <c r="H30" s="1110">
        <f>SUM(H24:H29)</f>
        <v/>
      </c>
      <c r="I30" s="1110">
        <f>SUM(I24:I29)</f>
        <v/>
      </c>
      <c r="J30" s="1110">
        <f>SUM(J24:J29)</f>
        <v/>
      </c>
      <c r="K30" s="1111" t="n"/>
    </row>
    <row r="31" ht="13" customHeight="1">
      <c r="A31" s="543" t="inlineStr">
        <is>
          <t>GBS H2R DPS</t>
        </is>
      </c>
      <c r="B31" s="543" t="n"/>
      <c r="C31" s="627" t="n"/>
      <c r="D31" s="1112" t="n"/>
      <c r="E31" s="1112" t="n"/>
      <c r="F31" s="1112" t="n"/>
      <c r="G31" s="1112" t="n"/>
      <c r="H31" s="1112" t="n"/>
      <c r="I31" s="1112" t="n"/>
      <c r="J31" s="1112" t="n"/>
      <c r="K31" s="1113" t="n"/>
    </row>
    <row r="32">
      <c r="A32" s="486" t="inlineStr">
        <is>
          <t>Service Management</t>
        </is>
      </c>
      <c r="B32" s="600" t="n"/>
      <c r="C32" s="831" t="inlineStr">
        <is>
          <t>IP-HOTSO-4CX-GSI</t>
        </is>
      </c>
      <c r="D32" s="1128" t="n">
        <v>1113000</v>
      </c>
      <c r="E32" s="1128" t="n">
        <v>1279500</v>
      </c>
      <c r="F32" s="1128" t="n">
        <v>1279500</v>
      </c>
      <c r="G32" s="1128" t="n">
        <v>1279500</v>
      </c>
      <c r="H32" s="1128" t="n">
        <v>1279500</v>
      </c>
      <c r="I32" s="1128" t="n"/>
      <c r="J32" s="1128" t="inlineStr">
        <is>
          <t>tbd.</t>
        </is>
      </c>
      <c r="K32" s="1133" t="n"/>
    </row>
    <row r="33">
      <c r="A33" s="491" t="inlineStr">
        <is>
          <t>Test</t>
        </is>
      </c>
      <c r="B33" s="600" t="n"/>
      <c r="C33" s="1070" t="n"/>
      <c r="D33" s="1070" t="n"/>
      <c r="E33" s="1070" t="n"/>
      <c r="F33" s="1070" t="n"/>
      <c r="G33" s="1070" t="n"/>
      <c r="H33" s="1070" t="n"/>
      <c r="I33" s="1070" t="n"/>
      <c r="J33" s="1070" t="n"/>
      <c r="K33" s="1070" t="n"/>
    </row>
    <row r="34">
      <c r="A34" s="491" t="inlineStr">
        <is>
          <t>Support/TMS Experts CZ/PT</t>
        </is>
      </c>
      <c r="B34" s="600" t="n"/>
      <c r="C34" s="1070" t="n"/>
      <c r="D34" s="1070" t="n"/>
      <c r="E34" s="1070" t="n"/>
      <c r="F34" s="1070" t="n"/>
      <c r="G34" s="1070" t="n"/>
      <c r="H34" s="1070" t="n"/>
      <c r="I34" s="1070" t="n"/>
      <c r="J34" s="1070" t="n"/>
      <c r="K34" s="1070" t="n"/>
    </row>
    <row r="35" ht="13" customHeight="1">
      <c r="A35" s="494" t="inlineStr">
        <is>
          <t>Total</t>
        </is>
      </c>
      <c r="B35" s="494" t="n"/>
      <c r="C35" s="1109" t="n"/>
      <c r="D35" s="1110">
        <f>SUM(D32:D34)</f>
        <v/>
      </c>
      <c r="E35" s="1110">
        <f>SUM(E32:E34)</f>
        <v/>
      </c>
      <c r="F35" s="1110">
        <f>SUM(F32:F34)</f>
        <v/>
      </c>
      <c r="G35" s="1110">
        <f>SUM(G32:G34)</f>
        <v/>
      </c>
      <c r="H35" s="1110">
        <f>SUM(H32:H34)</f>
        <v/>
      </c>
      <c r="I35" s="1110">
        <f>SUM(I32:I34)</f>
        <v/>
      </c>
      <c r="J35" s="1110">
        <f>SUM(J32:J34)</f>
        <v/>
      </c>
      <c r="K35" s="1111" t="n"/>
    </row>
    <row r="36" ht="26" customFormat="1" customHeight="1" s="710">
      <c r="A36" s="711" t="inlineStr">
        <is>
          <t xml:space="preserve">Operations - total </t>
        </is>
      </c>
      <c r="B36" s="711" t="n"/>
      <c r="C36" s="712" t="n"/>
      <c r="D36" s="1134">
        <f>D35+D30</f>
        <v/>
      </c>
      <c r="E36" s="1134">
        <f>E35+E30</f>
        <v/>
      </c>
      <c r="F36" s="1134">
        <f>F35+F30</f>
        <v/>
      </c>
      <c r="G36" s="1134">
        <f>G35+G30</f>
        <v/>
      </c>
      <c r="H36" s="1134">
        <f>H35+H30</f>
        <v/>
      </c>
      <c r="I36" s="1134">
        <f>I35+I30</f>
        <v/>
      </c>
      <c r="J36" s="1134">
        <f>J35+J30</f>
        <v/>
      </c>
      <c r="K36" s="1135" t="inlineStr">
        <is>
          <t>FY25 confirmed by P&amp;O ECO DIG: 1'650
 FY26 confirmed by P&amp;O ECO DIG: tbd.</t>
        </is>
      </c>
    </row>
    <row r="37" ht="13" customHeight="1">
      <c r="A37" s="628" t="inlineStr">
        <is>
          <t>Project &amp; Operations - total DPS</t>
        </is>
      </c>
      <c r="B37" s="628" t="n"/>
      <c r="C37" s="629" t="n"/>
      <c r="D37" s="1136">
        <f>D17+D9+D30+D35</f>
        <v/>
      </c>
      <c r="E37" s="1136" t="n">
        <v>1650000</v>
      </c>
      <c r="F37" s="1136">
        <f>F18+F36</f>
        <v/>
      </c>
      <c r="G37" s="1136">
        <f>G18+G36</f>
        <v/>
      </c>
      <c r="H37" s="1136">
        <f>H18+H36</f>
        <v/>
      </c>
      <c r="I37" s="1136">
        <f>I18+I36</f>
        <v/>
      </c>
      <c r="J37" s="1136">
        <f>J18+J36</f>
        <v/>
      </c>
      <c r="K37" s="1137" t="n"/>
    </row>
    <row r="38" ht="13" customHeight="1">
      <c r="A38" s="1" t="n"/>
      <c r="B38" s="1" t="n"/>
      <c r="C38" s="632" t="n"/>
      <c r="D38" s="919">
        <f>SUM(D37:D37)</f>
        <v/>
      </c>
      <c r="E38" s="919" t="n"/>
    </row>
    <row r="39">
      <c r="D39" s="1098" t="n"/>
      <c r="E39" s="1098" t="n"/>
    </row>
    <row r="40" ht="25" customHeight="1">
      <c r="C40" s="1105" t="inlineStr">
        <is>
          <t>IP-HOTSG-TMS-W2P</t>
        </is>
      </c>
      <c r="D40" s="892" t="n"/>
      <c r="E40" s="892" t="n"/>
    </row>
  </sheetData>
  <mergeCells count="19">
    <mergeCell ref="J32:J34"/>
    <mergeCell ref="H26:H29"/>
    <mergeCell ref="I26:I29"/>
    <mergeCell ref="K26:K29"/>
    <mergeCell ref="C26:C29"/>
    <mergeCell ref="C32:C34"/>
    <mergeCell ref="E32:E34"/>
    <mergeCell ref="A1:K1"/>
    <mergeCell ref="G32:G34"/>
    <mergeCell ref="F26:F29"/>
    <mergeCell ref="J26:J29"/>
    <mergeCell ref="G26:G29"/>
    <mergeCell ref="I32:I34"/>
    <mergeCell ref="K32:K34"/>
    <mergeCell ref="E26:E29"/>
    <mergeCell ref="D26:D29"/>
    <mergeCell ref="D32:D34"/>
    <mergeCell ref="F32:F34"/>
    <mergeCell ref="H32:H34"/>
  </mergeCell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dea64348</dc:creator>
  <dcterms:created xsi:type="dcterms:W3CDTF">2018-10-16T07:52:18Z</dcterms:created>
  <dcterms:modified xsi:type="dcterms:W3CDTF">2025-07-10T14:40:34Z</dcterms:modified>
  <cp:lastModifiedBy>Morsy, Abdelrahman Ashraf Mahmoud Adel (GBS H2R DPS TM</cp:lastModifiedBy>
  <cp:keywords>C_Confidential</cp:keywords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Document Confidentiality" fmtid="{D5CDD505-2E9C-101B-9397-08002B2CF9AE}" pid="2">
    <vt:lpwstr>Confidential</vt:lpwstr>
  </property>
  <property name="sodocoClasLang" fmtid="{D5CDD505-2E9C-101B-9397-08002B2CF9AE}" pid="3">
    <vt:lpwstr>Vertraulich</vt:lpwstr>
  </property>
  <property name="sodocoClasLangId" fmtid="{D5CDD505-2E9C-101B-9397-08002B2CF9AE}" pid="4">
    <vt:i4>0</vt:i4>
  </property>
  <property name="sodocoClasId" fmtid="{D5CDD505-2E9C-101B-9397-08002B2CF9AE}" pid="5">
    <vt:i4>2</vt:i4>
  </property>
  <property name="ContentTypeId" fmtid="{D5CDD505-2E9C-101B-9397-08002B2CF9AE}" pid="6">
    <vt:lpwstr>0x0101002EDEDCC6B7305942B115500582DD2B53</vt:lpwstr>
  </property>
  <property name="MSIP_Label_707c3c3c-9479-4e9e-ace6-d736970bf3b0_Enabled" fmtid="{D5CDD505-2E9C-101B-9397-08002B2CF9AE}" pid="7">
    <vt:lpwstr>true</vt:lpwstr>
  </property>
  <property name="MSIP_Label_707c3c3c-9479-4e9e-ace6-d736970bf3b0_SetDate" fmtid="{D5CDD505-2E9C-101B-9397-08002B2CF9AE}" pid="8">
    <vt:lpwstr>2023-04-19T14:39:46Z</vt:lpwstr>
  </property>
  <property name="MSIP_Label_707c3c3c-9479-4e9e-ace6-d736970bf3b0_Method" fmtid="{D5CDD505-2E9C-101B-9397-08002B2CF9AE}" pid="9">
    <vt:lpwstr>Standard</vt:lpwstr>
  </property>
  <property name="MSIP_Label_707c3c3c-9479-4e9e-ace6-d736970bf3b0_Name" fmtid="{D5CDD505-2E9C-101B-9397-08002B2CF9AE}" pid="10">
    <vt:lpwstr>confidential-default</vt:lpwstr>
  </property>
  <property name="MSIP_Label_707c3c3c-9479-4e9e-ace6-d736970bf3b0_SiteId" fmtid="{D5CDD505-2E9C-101B-9397-08002B2CF9AE}" pid="11">
    <vt:lpwstr>38ae3bcd-9579-4fd4-adda-b42e1495d55a</vt:lpwstr>
  </property>
  <property name="MSIP_Label_707c3c3c-9479-4e9e-ace6-d736970bf3b0_ActionId" fmtid="{D5CDD505-2E9C-101B-9397-08002B2CF9AE}" pid="12">
    <vt:lpwstr>93070bce-4400-45d0-90a6-a9a034e9a818</vt:lpwstr>
  </property>
  <property name="MSIP_Label_707c3c3c-9479-4e9e-ace6-d736970bf3b0_ContentBits" fmtid="{D5CDD505-2E9C-101B-9397-08002B2CF9AE}" pid="13">
    <vt:lpwstr>0</vt:lpwstr>
  </property>
  <property name="Document_Confidentiality" fmtid="{D5CDD505-2E9C-101B-9397-08002B2CF9AE}" pid="14">
    <vt:lpwstr>Confidential</vt:lpwstr>
  </property>
  <property name="MediaServiceImageTags" fmtid="{D5CDD505-2E9C-101B-9397-08002B2CF9AE}" pid="15">
    <vt:lpwstr/>
  </property>
</Properties>
</file>