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yameaama/Documents/A-OneSpace/Converse-Engine/Nozzle-CC/"/>
    </mc:Choice>
  </mc:AlternateContent>
  <xr:revisionPtr revIDLastSave="0" documentId="13_ncr:1_{AB613860-E2EA-EC42-A215-794F477F2B3D}" xr6:coauthVersionLast="46" xr6:coauthVersionMax="46" xr10:uidLastSave="{00000000-0000-0000-0000-000000000000}"/>
  <bookViews>
    <workbookView xWindow="14520" yWindow="0" windowWidth="14280" windowHeight="18000" xr2:uid="{58A74F8A-5DEE-8C4B-BFEA-6BA890D7EECF}"/>
  </bookViews>
  <sheets>
    <sheet name="Design" sheetId="1" r:id="rId1"/>
    <sheet name="Printable Results" sheetId="2" r:id="rId2"/>
    <sheet name="Fabrication Stuff" sheetId="4" r:id="rId3"/>
    <sheet name="Enthalpy Stuff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" i="3"/>
  <c r="B5" i="3" s="1"/>
  <c r="B8" i="3"/>
  <c r="B4" i="3" s="1"/>
  <c r="D2" i="3" s="1"/>
  <c r="D4" i="3" s="1"/>
  <c r="B7" i="3"/>
  <c r="B2" i="1" l="1"/>
  <c r="E12" i="1" s="1"/>
  <c r="B8" i="1"/>
  <c r="B7" i="1" s="1"/>
  <c r="H12" i="1" s="1"/>
  <c r="E21" i="1"/>
  <c r="C21" i="1"/>
  <c r="D21" i="1" s="1"/>
  <c r="C20" i="1"/>
  <c r="D20" i="1" s="1"/>
  <c r="K12" i="1"/>
  <c r="N12" i="1" l="1"/>
  <c r="P12" i="1" s="1"/>
  <c r="R12" i="1" s="1"/>
  <c r="B12" i="1" s="1"/>
  <c r="B5" i="1"/>
  <c r="B4" i="1" s="1"/>
  <c r="B28" i="1" l="1"/>
  <c r="B26" i="1"/>
  <c r="B16" i="1"/>
  <c r="C16" i="1" s="1"/>
  <c r="B23" i="1" s="1"/>
  <c r="B18" i="1"/>
  <c r="B19" i="1" s="1"/>
  <c r="C19" i="1" s="1"/>
  <c r="B24" i="1" s="1"/>
  <c r="B5" i="2" s="1"/>
  <c r="B29" i="1" l="1"/>
  <c r="B2" i="2"/>
  <c r="B27" i="1"/>
  <c r="B32" i="1" s="1"/>
  <c r="B3" i="2" s="1"/>
  <c r="B30" i="1"/>
  <c r="B1" i="2" s="1"/>
  <c r="B31" i="1"/>
  <c r="B4" i="2" s="1"/>
  <c r="B3" i="4"/>
  <c r="B22" i="1"/>
  <c r="B7" i="2" s="1"/>
  <c r="B6" i="2"/>
  <c r="B2" i="4" l="1"/>
  <c r="B1" i="4" s="1"/>
  <c r="B8" i="4" s="1"/>
  <c r="B6" i="4" s="1"/>
</calcChain>
</file>

<file path=xl/sharedStrings.xml><?xml version="1.0" encoding="utf-8"?>
<sst xmlns="http://schemas.openxmlformats.org/spreadsheetml/2006/main" count="112" uniqueCount="96">
  <si>
    <t>F</t>
  </si>
  <si>
    <r>
      <t>ω</t>
    </r>
    <r>
      <rPr>
        <vertAlign val="subscript"/>
        <sz val="18"/>
        <color theme="1"/>
        <rFont val="Calibri (Body)"/>
      </rPr>
      <t>t</t>
    </r>
  </si>
  <si>
    <r>
      <t>I</t>
    </r>
    <r>
      <rPr>
        <vertAlign val="subscript"/>
        <sz val="18"/>
        <color theme="1"/>
        <rFont val="Calibri (Body)"/>
      </rPr>
      <t>sp</t>
    </r>
  </si>
  <si>
    <r>
      <t>ω</t>
    </r>
    <r>
      <rPr>
        <vertAlign val="subscript"/>
        <sz val="18"/>
        <color theme="1"/>
        <rFont val="Calibri (Body)"/>
      </rPr>
      <t>o</t>
    </r>
  </si>
  <si>
    <r>
      <t>ω</t>
    </r>
    <r>
      <rPr>
        <vertAlign val="subscript"/>
        <sz val="18"/>
        <color theme="1"/>
        <rFont val="Calibri (Body)"/>
      </rPr>
      <t>f</t>
    </r>
  </si>
  <si>
    <t>r</t>
  </si>
  <si>
    <r>
      <t>T</t>
    </r>
    <r>
      <rPr>
        <vertAlign val="subscript"/>
        <sz val="18"/>
        <color theme="1"/>
        <rFont val="Calibri (Body)"/>
      </rPr>
      <t>t</t>
    </r>
  </si>
  <si>
    <r>
      <t>T</t>
    </r>
    <r>
      <rPr>
        <vertAlign val="subscript"/>
        <sz val="18"/>
        <color theme="1"/>
        <rFont val="Calibri (Body)"/>
      </rPr>
      <t>c</t>
    </r>
  </si>
  <si>
    <t>ºF</t>
  </si>
  <si>
    <r>
      <t>P</t>
    </r>
    <r>
      <rPr>
        <vertAlign val="subscript"/>
        <sz val="18"/>
        <color theme="1"/>
        <rFont val="Calibri (Body)"/>
      </rPr>
      <t>t</t>
    </r>
  </si>
  <si>
    <r>
      <t>P</t>
    </r>
    <r>
      <rPr>
        <vertAlign val="subscript"/>
        <sz val="18"/>
        <color theme="1"/>
        <rFont val="Calibri (Body)"/>
      </rPr>
      <t>c</t>
    </r>
  </si>
  <si>
    <r>
      <t>A</t>
    </r>
    <r>
      <rPr>
        <vertAlign val="subscript"/>
        <sz val="18"/>
        <color theme="1"/>
        <rFont val="Calibri (Body)"/>
      </rPr>
      <t>t</t>
    </r>
  </si>
  <si>
    <t>R</t>
  </si>
  <si>
    <t>γ</t>
  </si>
  <si>
    <t>g</t>
  </si>
  <si>
    <r>
      <t>D</t>
    </r>
    <r>
      <rPr>
        <vertAlign val="subscript"/>
        <sz val="18"/>
        <color theme="1"/>
        <rFont val="Calibri (Body)"/>
      </rPr>
      <t>t</t>
    </r>
  </si>
  <si>
    <t>π</t>
  </si>
  <si>
    <t>At01</t>
  </si>
  <si>
    <t>At02</t>
  </si>
  <si>
    <t>At03</t>
  </si>
  <si>
    <t>At04</t>
  </si>
  <si>
    <t>At05</t>
  </si>
  <si>
    <t>At06</t>
  </si>
  <si>
    <r>
      <t>A</t>
    </r>
    <r>
      <rPr>
        <vertAlign val="subscript"/>
        <sz val="18"/>
        <color theme="1"/>
        <rFont val="Calibri (Body)"/>
      </rPr>
      <t>e</t>
    </r>
  </si>
  <si>
    <r>
      <t>D</t>
    </r>
    <r>
      <rPr>
        <vertAlign val="subscript"/>
        <sz val="18"/>
        <color theme="1"/>
        <rFont val="Calibri (Body)"/>
      </rPr>
      <t>e</t>
    </r>
  </si>
  <si>
    <t>β</t>
  </si>
  <si>
    <t>α</t>
  </si>
  <si>
    <r>
      <t>L</t>
    </r>
    <r>
      <rPr>
        <vertAlign val="subscript"/>
        <sz val="18"/>
        <color theme="1"/>
        <rFont val="Calibri (Body)"/>
      </rPr>
      <t>convergent</t>
    </r>
  </si>
  <si>
    <r>
      <t>L</t>
    </r>
    <r>
      <rPr>
        <vertAlign val="subscript"/>
        <sz val="18"/>
        <color theme="1"/>
        <rFont val="Calibri (Body)"/>
      </rPr>
      <t>divergent</t>
    </r>
  </si>
  <si>
    <r>
      <t>L</t>
    </r>
    <r>
      <rPr>
        <vertAlign val="subscript"/>
        <sz val="18"/>
        <color theme="1"/>
        <rFont val="Calibri (Body)"/>
      </rPr>
      <t>nozzle</t>
    </r>
  </si>
  <si>
    <t>L*</t>
  </si>
  <si>
    <r>
      <t>V</t>
    </r>
    <r>
      <rPr>
        <vertAlign val="subscript"/>
        <sz val="18"/>
        <color theme="1"/>
        <rFont val="Calibri (Body)"/>
      </rPr>
      <t>c</t>
    </r>
  </si>
  <si>
    <r>
      <t>D</t>
    </r>
    <r>
      <rPr>
        <vertAlign val="subscript"/>
        <sz val="18"/>
        <color theme="1"/>
        <rFont val="Calibri (Body)"/>
      </rPr>
      <t>c</t>
    </r>
  </si>
  <si>
    <r>
      <t>A</t>
    </r>
    <r>
      <rPr>
        <vertAlign val="subscript"/>
        <sz val="18"/>
        <color theme="1"/>
        <rFont val="Calibri (Body)"/>
      </rPr>
      <t>c</t>
    </r>
  </si>
  <si>
    <r>
      <t>L</t>
    </r>
    <r>
      <rPr>
        <vertAlign val="subscript"/>
        <sz val="18"/>
        <color theme="1"/>
        <rFont val="Calibri (Body)"/>
      </rPr>
      <t>c</t>
    </r>
  </si>
  <si>
    <r>
      <t>D</t>
    </r>
    <r>
      <rPr>
        <vertAlign val="subscript"/>
        <sz val="18"/>
        <color theme="1"/>
        <rFont val="Calibri (Body)"/>
      </rPr>
      <t>t</t>
    </r>
    <r>
      <rPr>
        <sz val="18"/>
        <color theme="1"/>
        <rFont val="Calibri"/>
        <family val="2"/>
        <scheme val="minor"/>
      </rPr>
      <t>mm</t>
    </r>
  </si>
  <si>
    <r>
      <t>L</t>
    </r>
    <r>
      <rPr>
        <vertAlign val="subscript"/>
        <sz val="18"/>
        <color theme="1"/>
        <rFont val="Calibri (Body)"/>
      </rPr>
      <t>c</t>
    </r>
    <r>
      <rPr>
        <sz val="18"/>
        <color theme="1"/>
        <rFont val="Calibri"/>
        <family val="2"/>
        <scheme val="minor"/>
      </rPr>
      <t>mm</t>
    </r>
  </si>
  <si>
    <r>
      <t>D</t>
    </r>
    <r>
      <rPr>
        <vertAlign val="subscript"/>
        <sz val="18"/>
        <color theme="1"/>
        <rFont val="Calibri (Body)"/>
      </rPr>
      <t>c</t>
    </r>
    <r>
      <rPr>
        <sz val="18"/>
        <color theme="1"/>
        <rFont val="Calibri"/>
        <family val="2"/>
        <scheme val="minor"/>
      </rPr>
      <t>mm</t>
    </r>
  </si>
  <si>
    <t>Throat Diameter</t>
  </si>
  <si>
    <t>Exit Diameter</t>
  </si>
  <si>
    <t>Chamber Diamter</t>
  </si>
  <si>
    <t>Chamber Length</t>
  </si>
  <si>
    <t>Length Divergent</t>
  </si>
  <si>
    <t>Length Convergent</t>
  </si>
  <si>
    <t>Nozzle Length</t>
  </si>
  <si>
    <t>mm</t>
  </si>
  <si>
    <t>Q</t>
  </si>
  <si>
    <t>m</t>
  </si>
  <si>
    <t>P</t>
  </si>
  <si>
    <t>T initial</t>
  </si>
  <si>
    <t>T Final</t>
  </si>
  <si>
    <t>D</t>
  </si>
  <si>
    <t>V</t>
  </si>
  <si>
    <t>Max Burn Time Nozzle</t>
  </si>
  <si>
    <t>Max Burn Time both</t>
  </si>
  <si>
    <t>∆Hf Steel</t>
  </si>
  <si>
    <t>h</t>
  </si>
  <si>
    <t>pi</t>
  </si>
  <si>
    <t>V_initial</t>
  </si>
  <si>
    <t>in^3</t>
  </si>
  <si>
    <t>in</t>
  </si>
  <si>
    <t>V_new</t>
  </si>
  <si>
    <t>c</t>
  </si>
  <si>
    <t>∆t</t>
  </si>
  <si>
    <t>Max Burn time chamber</t>
  </si>
  <si>
    <t>seconds</t>
  </si>
  <si>
    <t>BROKEN IGNORE</t>
  </si>
  <si>
    <t>Throat Pressure</t>
  </si>
  <si>
    <t>Thrust, lbf</t>
  </si>
  <si>
    <t>Found in Flame Temps and Isp's</t>
  </si>
  <si>
    <t>Mixture Ratio, found in tables</t>
  </si>
  <si>
    <t>Throat Temperature</t>
  </si>
  <si>
    <t>Chamber Temperature</t>
  </si>
  <si>
    <t>Combustion Temperature, tables</t>
  </si>
  <si>
    <t>Chamber Pressure, Tables</t>
  </si>
  <si>
    <t>Throat Area</t>
  </si>
  <si>
    <t>Gas Constant</t>
  </si>
  <si>
    <t>Gamma</t>
  </si>
  <si>
    <t>gravity</t>
  </si>
  <si>
    <t>Throat Diameter, inches</t>
  </si>
  <si>
    <t>Exit area</t>
  </si>
  <si>
    <t>Exit Diameter, inches</t>
  </si>
  <si>
    <t>Nozzle Angles</t>
  </si>
  <si>
    <t>Nozzle Length, in</t>
  </si>
  <si>
    <t>Convergent length, in</t>
  </si>
  <si>
    <t>Divergent Length, in</t>
  </si>
  <si>
    <t>Don’t change</t>
  </si>
  <si>
    <t>Chamber Volume, in^3</t>
  </si>
  <si>
    <t>Chamber Diameter, in</t>
  </si>
  <si>
    <t>Chamber Area, in</t>
  </si>
  <si>
    <t>Chamber Length, in</t>
  </si>
  <si>
    <t>Metric conversions</t>
  </si>
  <si>
    <t>-</t>
  </si>
  <si>
    <t>Oxidizer flow rate, lbs/s</t>
  </si>
  <si>
    <t>Fuel flow rate, lbs/s</t>
  </si>
  <si>
    <t>Propellant flow rate, lbs/s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</si>
</sst>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vertAlign val="subscript"/>
      <sz val="18"/>
      <color theme="1"/>
      <name val="Calibri (Body)"/>
    </font>
    <font>
      <i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1"/>
      <name val="Cambria Math"/>
      <family val="1"/>
    </font>
    <font>
      <sz val="16"/>
      <color theme="1"/>
      <name val="Cambria Math"/>
      <family val="1"/>
    </font>
    <font>
      <sz val="48"/>
      <color theme="1"/>
      <name val="Cambria Math"/>
      <family val="1"/>
    </font>
    <font>
      <sz val="18"/>
      <color theme="1"/>
      <name val="Calibri (Body)_x0000_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A3A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Fill="1"/>
    <xf numFmtId="0" fontId="4" fillId="0" borderId="0" xfId="0" applyFont="1" applyFill="1"/>
    <xf numFmtId="0" fontId="1" fillId="2" borderId="1" xfId="0" applyFont="1" applyFill="1" applyBorder="1"/>
    <xf numFmtId="0" fontId="5" fillId="0" borderId="0" xfId="0" applyFont="1"/>
    <xf numFmtId="0" fontId="5" fillId="0" borderId="0" xfId="0" applyFont="1" applyFill="1"/>
    <xf numFmtId="0" fontId="5" fillId="3" borderId="1" xfId="0" applyFont="1" applyFill="1" applyBorder="1"/>
    <xf numFmtId="0" fontId="5" fillId="0" borderId="1" xfId="0" applyFont="1" applyBorder="1"/>
    <xf numFmtId="0" fontId="6" fillId="0" borderId="0" xfId="0" applyFont="1"/>
    <xf numFmtId="0" fontId="6" fillId="4" borderId="0" xfId="0" applyFont="1" applyFill="1"/>
    <xf numFmtId="0" fontId="6" fillId="0" borderId="0" xfId="0" applyFont="1" applyFill="1"/>
    <xf numFmtId="0" fontId="1" fillId="0" borderId="1" xfId="0" applyFont="1" applyFill="1" applyBorder="1"/>
    <xf numFmtId="0" fontId="1" fillId="5" borderId="1" xfId="0" applyFont="1" applyFill="1" applyBorder="1"/>
    <xf numFmtId="0" fontId="6" fillId="0" borderId="1" xfId="0" applyFont="1" applyBorder="1"/>
    <xf numFmtId="0" fontId="6" fillId="5" borderId="1" xfId="0" applyFont="1" applyFill="1" applyBorder="1"/>
    <xf numFmtId="0" fontId="3" fillId="2" borderId="1" xfId="0" applyFont="1" applyFill="1" applyBorder="1"/>
    <xf numFmtId="0" fontId="7" fillId="0" borderId="0" xfId="0" applyFont="1"/>
    <xf numFmtId="0" fontId="8" fillId="0" borderId="0" xfId="0" applyFont="1" applyFill="1"/>
    <xf numFmtId="0" fontId="5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3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647700</xdr:colOff>
      <xdr:row>1</xdr:row>
      <xdr:rowOff>50800</xdr:rowOff>
    </xdr:from>
    <xdr:ext cx="5056064" cy="57323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23C9E71-09AF-5140-8C56-D597CAE9AECF}"/>
            </a:ext>
          </a:extLst>
        </xdr:cNvPr>
        <xdr:cNvSpPr txBox="1"/>
      </xdr:nvSpPr>
      <xdr:spPr>
        <a:xfrm>
          <a:off x="5676900" y="355600"/>
          <a:ext cx="5056064" cy="573234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>
              <a:latin typeface="Cambria Math" panose="02040503050406030204" pitchFamily="18" charset="0"/>
              <a:ea typeface="Cambria Math" panose="02040503050406030204" pitchFamily="18" charset="0"/>
            </a:rPr>
            <a:t>Insert</a:t>
          </a:r>
          <a:r>
            <a:rPr lang="en-US" sz="1600" baseline="0">
              <a:latin typeface="Cambria Math" panose="02040503050406030204" pitchFamily="18" charset="0"/>
              <a:ea typeface="Cambria Math" panose="02040503050406030204" pitchFamily="18" charset="0"/>
            </a:rPr>
            <a:t> values for F, Isp, r, ºF, and Pc. </a:t>
          </a:r>
        </a:p>
        <a:p>
          <a:r>
            <a:rPr lang="en-US" sz="1600" baseline="0">
              <a:latin typeface="Cambria Math" panose="02040503050406030204" pitchFamily="18" charset="0"/>
              <a:ea typeface="Cambria Math" panose="02040503050406030204" pitchFamily="18" charset="0"/>
            </a:rPr>
            <a:t>Some values are found in the tables provided in the .zip.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141111</xdr:colOff>
      <xdr:row>0</xdr:row>
      <xdr:rowOff>256566</xdr:rowOff>
    </xdr:from>
    <xdr:ext cx="4521815" cy="159505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462C9A5-4A7B-8642-920D-D5EE823C0BFE}"/>
            </a:ext>
          </a:extLst>
        </xdr:cNvPr>
        <xdr:cNvSpPr txBox="1"/>
      </xdr:nvSpPr>
      <xdr:spPr>
        <a:xfrm>
          <a:off x="2617611" y="256566"/>
          <a:ext cx="4521815" cy="1595052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/>
            <a:t>Only use this</a:t>
          </a:r>
          <a:r>
            <a:rPr lang="en-US" sz="1600" baseline="0"/>
            <a:t> page to change the dimensions of</a:t>
          </a:r>
        </a:p>
        <a:p>
          <a:r>
            <a:rPr lang="en-US" sz="1600" baseline="0"/>
            <a:t> your chamber to something more readily available </a:t>
          </a:r>
        </a:p>
        <a:p>
          <a:r>
            <a:rPr lang="en-US" sz="1600" baseline="0"/>
            <a:t>in stores. The only value you should change is r, the </a:t>
          </a:r>
        </a:p>
        <a:p>
          <a:r>
            <a:rPr lang="en-US" sz="1600" baseline="0"/>
            <a:t>chamber </a:t>
          </a:r>
          <a:r>
            <a:rPr lang="en-US" sz="1600" b="1" baseline="0">
              <a:solidFill>
                <a:srgbClr val="FF0000"/>
              </a:solidFill>
            </a:rPr>
            <a:t>radius. Half the Diameter</a:t>
          </a:r>
          <a:r>
            <a:rPr lang="en-US" sz="1600" b="1" baseline="0"/>
            <a:t>.</a:t>
          </a:r>
          <a:r>
            <a:rPr lang="en-US" sz="1600" baseline="0"/>
            <a:t> </a:t>
          </a:r>
        </a:p>
        <a:p>
          <a:r>
            <a:rPr lang="en-US" sz="1600"/>
            <a:t>V_initial</a:t>
          </a:r>
          <a:r>
            <a:rPr lang="en-US" sz="1600" baseline="0"/>
            <a:t> and V_new should match, if they don't, set</a:t>
          </a:r>
        </a:p>
        <a:p>
          <a:r>
            <a:rPr lang="en-US" sz="1600" baseline="0"/>
            <a:t>V_new equal to V_initial.</a:t>
          </a:r>
          <a:endParaRPr lang="en-US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F7A60-B81D-764D-AFD2-4B78F887ECE4}">
  <dimension ref="A1:R32"/>
  <sheetViews>
    <sheetView tabSelected="1" topLeftCell="A6" zoomScaleNormal="100" workbookViewId="0">
      <selection activeCell="B23" sqref="B23"/>
    </sheetView>
  </sheetViews>
  <sheetFormatPr baseColWidth="10" defaultRowHeight="24"/>
  <cols>
    <col min="1" max="1" width="10.83203125" style="1"/>
    <col min="2" max="2" width="12" style="1" bestFit="1" customWidth="1"/>
    <col min="3" max="3" width="10.6640625" style="1" customWidth="1"/>
    <col min="4" max="4" width="9.33203125" style="1" customWidth="1"/>
    <col min="5" max="5" width="9.5" style="1" customWidth="1"/>
    <col min="6" max="6" width="41.83203125" style="1" customWidth="1"/>
    <col min="7" max="16384" width="10.83203125" style="1"/>
  </cols>
  <sheetData>
    <row r="1" spans="1:18">
      <c r="A1" s="3" t="s">
        <v>0</v>
      </c>
      <c r="B1" s="11">
        <v>23000</v>
      </c>
      <c r="F1" s="1" t="s">
        <v>68</v>
      </c>
    </row>
    <row r="2" spans="1:18" ht="26">
      <c r="A2" s="12" t="s">
        <v>1</v>
      </c>
      <c r="B2" s="12">
        <f>B1/B3</f>
        <v>63.553467808786962</v>
      </c>
      <c r="F2" s="1" t="s">
        <v>95</v>
      </c>
    </row>
    <row r="3" spans="1:18" ht="26">
      <c r="A3" s="15" t="s">
        <v>2</v>
      </c>
      <c r="B3" s="11">
        <v>361.9</v>
      </c>
      <c r="F3" s="1" t="s">
        <v>69</v>
      </c>
    </row>
    <row r="4" spans="1:18" ht="26">
      <c r="A4" s="12" t="s">
        <v>3</v>
      </c>
      <c r="B4" s="12">
        <f>B2-B5</f>
        <v>45.395334149133546</v>
      </c>
      <c r="F4" s="1" t="s">
        <v>93</v>
      </c>
    </row>
    <row r="5" spans="1:18" ht="26">
      <c r="A5" s="12" t="s">
        <v>4</v>
      </c>
      <c r="B5" s="12">
        <f>B2/(B6+1)</f>
        <v>18.158133659653419</v>
      </c>
      <c r="F5" s="1" t="s">
        <v>94</v>
      </c>
    </row>
    <row r="6" spans="1:18">
      <c r="A6" s="3" t="s">
        <v>5</v>
      </c>
      <c r="B6" s="11">
        <v>2.5</v>
      </c>
      <c r="F6" s="1" t="s">
        <v>70</v>
      </c>
    </row>
    <row r="7" spans="1:18" ht="26">
      <c r="A7" s="12" t="s">
        <v>6</v>
      </c>
      <c r="B7" s="12">
        <f>0.909*B8</f>
        <v>5547.0179699999999</v>
      </c>
      <c r="F7" s="1" t="s">
        <v>71</v>
      </c>
    </row>
    <row r="8" spans="1:18" ht="26">
      <c r="A8" s="12" t="s">
        <v>7</v>
      </c>
      <c r="B8" s="12">
        <f>B9+460</f>
        <v>6102.33</v>
      </c>
      <c r="F8" s="1" t="s">
        <v>72</v>
      </c>
    </row>
    <row r="9" spans="1:18">
      <c r="A9" s="3" t="s">
        <v>8</v>
      </c>
      <c r="B9" s="11">
        <v>5642.33</v>
      </c>
      <c r="C9" s="11"/>
      <c r="F9" s="1" t="s">
        <v>73</v>
      </c>
    </row>
    <row r="10" spans="1:18" ht="26">
      <c r="A10" s="12" t="s">
        <v>9</v>
      </c>
      <c r="B10" s="12">
        <f>0.564*B11</f>
        <v>169.2</v>
      </c>
      <c r="F10" s="1" t="s">
        <v>67</v>
      </c>
    </row>
    <row r="11" spans="1:18" ht="26">
      <c r="A11" s="3" t="s">
        <v>10</v>
      </c>
      <c r="B11" s="11">
        <v>300</v>
      </c>
      <c r="F11" s="1" t="s">
        <v>74</v>
      </c>
    </row>
    <row r="12" spans="1:18" ht="26">
      <c r="A12" s="12" t="s">
        <v>11</v>
      </c>
      <c r="B12" s="12">
        <f>R12</f>
        <v>36.283301703429565</v>
      </c>
      <c r="D12" s="17" t="s">
        <v>17</v>
      </c>
      <c r="E12" s="1">
        <f>B2/B10</f>
        <v>0.37561151187226338</v>
      </c>
      <c r="F12" s="1" t="s">
        <v>75</v>
      </c>
      <c r="G12" s="2" t="s">
        <v>18</v>
      </c>
      <c r="H12" s="2">
        <f>B13*B7</f>
        <v>360556.16804999998</v>
      </c>
      <c r="I12" s="2"/>
      <c r="J12" s="2" t="s">
        <v>19</v>
      </c>
      <c r="K12" s="2">
        <f>B14*B15</f>
        <v>38.64</v>
      </c>
      <c r="L12" s="2"/>
      <c r="M12" s="2" t="s">
        <v>20</v>
      </c>
      <c r="N12" s="2">
        <f>H12/K12</f>
        <v>9331.1637694099372</v>
      </c>
      <c r="O12" s="2" t="s">
        <v>21</v>
      </c>
      <c r="P12" s="2">
        <f>SQRT(N12)</f>
        <v>96.597949095257391</v>
      </c>
      <c r="Q12" s="2" t="s">
        <v>22</v>
      </c>
      <c r="R12" s="2">
        <f>E12*P12</f>
        <v>36.283301703429565</v>
      </c>
    </row>
    <row r="13" spans="1:18">
      <c r="A13" s="11" t="s">
        <v>12</v>
      </c>
      <c r="B13" s="11">
        <v>65</v>
      </c>
      <c r="F13" s="1" t="s">
        <v>76</v>
      </c>
    </row>
    <row r="14" spans="1:18">
      <c r="A14" s="12" t="s">
        <v>13</v>
      </c>
      <c r="B14" s="12">
        <v>1.2</v>
      </c>
      <c r="F14" s="1" t="s">
        <v>77</v>
      </c>
    </row>
    <row r="15" spans="1:18">
      <c r="A15" s="12" t="s">
        <v>14</v>
      </c>
      <c r="B15" s="12">
        <v>32.200000000000003</v>
      </c>
      <c r="F15" s="1" t="s">
        <v>78</v>
      </c>
    </row>
    <row r="16" spans="1:18" ht="26">
      <c r="A16" s="12" t="s">
        <v>15</v>
      </c>
      <c r="B16" s="12">
        <f>SQRT(4*B12/B17)</f>
        <v>6.7968621100007063</v>
      </c>
      <c r="C16" s="2">
        <f>B16/2</f>
        <v>3.3984310550003531</v>
      </c>
      <c r="F16" s="1" t="s">
        <v>79</v>
      </c>
    </row>
    <row r="17" spans="1:6">
      <c r="A17" s="12" t="s">
        <v>16</v>
      </c>
      <c r="B17" s="12">
        <v>3.14159265358979</v>
      </c>
      <c r="F17" s="1" t="s">
        <v>57</v>
      </c>
    </row>
    <row r="18" spans="1:6" ht="26">
      <c r="A18" s="12" t="s">
        <v>23</v>
      </c>
      <c r="B18" s="12">
        <f>3.65*B12</f>
        <v>132.43405121751792</v>
      </c>
      <c r="F18" s="1" t="s">
        <v>80</v>
      </c>
    </row>
    <row r="19" spans="1:6" ht="26">
      <c r="A19" s="12" t="s">
        <v>24</v>
      </c>
      <c r="B19" s="12">
        <f>SQRT(4*B18/B17)</f>
        <v>12.985386828262987</v>
      </c>
      <c r="C19" s="2">
        <f>B19/2</f>
        <v>6.4926934141314936</v>
      </c>
      <c r="F19" s="1" t="s">
        <v>81</v>
      </c>
    </row>
    <row r="20" spans="1:6">
      <c r="A20" s="11" t="s">
        <v>25</v>
      </c>
      <c r="B20" s="11">
        <v>60</v>
      </c>
      <c r="C20" s="2">
        <f>-B20-90+180</f>
        <v>30</v>
      </c>
      <c r="D20" s="1">
        <f>RADIANS(C20)</f>
        <v>0.52359877559829882</v>
      </c>
      <c r="F20" s="1" t="s">
        <v>82</v>
      </c>
    </row>
    <row r="21" spans="1:6">
      <c r="A21" s="11" t="s">
        <v>26</v>
      </c>
      <c r="B21" s="11">
        <v>15</v>
      </c>
      <c r="C21" s="2">
        <f>-B21-90+180</f>
        <v>75</v>
      </c>
      <c r="D21" s="1">
        <f>RADIANS(C21)</f>
        <v>1.3089969389957472</v>
      </c>
      <c r="E21" s="1">
        <f>RADIANS(B21)</f>
        <v>0.26179938779914941</v>
      </c>
    </row>
    <row r="22" spans="1:6" ht="26">
      <c r="A22" s="12" t="s">
        <v>29</v>
      </c>
      <c r="B22" s="12">
        <f>B23+B24</f>
        <v>33.728927366568918</v>
      </c>
      <c r="F22" s="1" t="s">
        <v>83</v>
      </c>
    </row>
    <row r="23" spans="1:6" ht="26">
      <c r="A23" s="12" t="s">
        <v>27</v>
      </c>
      <c r="B23" s="12">
        <f>(C16*SIN(D21))/SIN(E21)</f>
        <v>12.683117363281221</v>
      </c>
      <c r="F23" s="1" t="s">
        <v>84</v>
      </c>
    </row>
    <row r="24" spans="1:6" ht="26">
      <c r="A24" s="12" t="s">
        <v>28</v>
      </c>
      <c r="B24" s="12">
        <f>(C19*SIN(C20))/SIN(B20)</f>
        <v>21.045810003287695</v>
      </c>
      <c r="F24" s="1" t="s">
        <v>85</v>
      </c>
    </row>
    <row r="25" spans="1:6">
      <c r="A25" s="11" t="s">
        <v>30</v>
      </c>
      <c r="B25" s="11">
        <v>60</v>
      </c>
      <c r="F25" s="1" t="s">
        <v>86</v>
      </c>
    </row>
    <row r="26" spans="1:6" ht="26">
      <c r="A26" s="12" t="s">
        <v>31</v>
      </c>
      <c r="B26" s="12">
        <f>B25*B12</f>
        <v>2176.9981022057741</v>
      </c>
      <c r="F26" s="1" t="s">
        <v>87</v>
      </c>
    </row>
    <row r="27" spans="1:6" ht="26">
      <c r="A27" s="12" t="s">
        <v>32</v>
      </c>
      <c r="B27" s="12">
        <f>5*B16</f>
        <v>33.984310550003528</v>
      </c>
      <c r="F27" s="1" t="s">
        <v>88</v>
      </c>
    </row>
    <row r="28" spans="1:6" ht="26">
      <c r="A28" s="12" t="s">
        <v>33</v>
      </c>
      <c r="B28" s="12">
        <f>4*B12</f>
        <v>145.13320681371826</v>
      </c>
      <c r="F28" s="1" t="s">
        <v>89</v>
      </c>
    </row>
    <row r="29" spans="1:6" ht="26">
      <c r="A29" s="12" t="s">
        <v>34</v>
      </c>
      <c r="B29" s="12">
        <f>B26/1.1*B28</f>
        <v>287231.55981863884</v>
      </c>
      <c r="F29" s="1" t="s">
        <v>90</v>
      </c>
    </row>
    <row r="30" spans="1:6" ht="26">
      <c r="A30" s="12" t="s">
        <v>35</v>
      </c>
      <c r="B30" s="12">
        <f>25.4*B16</f>
        <v>172.64029759401794</v>
      </c>
      <c r="F30" s="1" t="s">
        <v>91</v>
      </c>
    </row>
    <row r="31" spans="1:6" ht="26">
      <c r="A31" s="12" t="s">
        <v>36</v>
      </c>
      <c r="B31" s="12">
        <f>25.4*B29</f>
        <v>7295681.619393426</v>
      </c>
      <c r="F31" s="1" t="s">
        <v>92</v>
      </c>
    </row>
    <row r="32" spans="1:6" ht="26">
      <c r="A32" s="12" t="s">
        <v>37</v>
      </c>
      <c r="B32" s="12">
        <f>25.4*B27</f>
        <v>863.2014879700896</v>
      </c>
      <c r="F32" s="1" t="s">
        <v>92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CC7A8-AC31-C74A-A2CD-10C6B9FE0F34}">
  <dimension ref="A1:H8"/>
  <sheetViews>
    <sheetView workbookViewId="0">
      <selection activeCell="F10" sqref="F10"/>
    </sheetView>
  </sheetViews>
  <sheetFormatPr baseColWidth="10" defaultColWidth="20.83203125" defaultRowHeight="33" customHeight="1"/>
  <cols>
    <col min="1" max="16384" width="20.83203125" style="4"/>
  </cols>
  <sheetData>
    <row r="1" spans="1:8" ht="33" customHeight="1">
      <c r="A1" s="6" t="s">
        <v>38</v>
      </c>
      <c r="B1" s="6">
        <f>Design!B30</f>
        <v>172.64029759401794</v>
      </c>
      <c r="C1" s="6" t="s">
        <v>45</v>
      </c>
      <c r="D1" s="5"/>
      <c r="F1" s="18"/>
      <c r="G1" s="18"/>
      <c r="H1" s="18"/>
    </row>
    <row r="2" spans="1:8" ht="33" customHeight="1">
      <c r="A2" s="7" t="s">
        <v>39</v>
      </c>
      <c r="B2" s="7">
        <f>Design!B19*25.4</f>
        <v>329.82882543787986</v>
      </c>
      <c r="C2" s="7" t="s">
        <v>45</v>
      </c>
      <c r="D2" s="5"/>
      <c r="F2" s="18"/>
      <c r="G2" s="18"/>
      <c r="H2" s="18"/>
    </row>
    <row r="3" spans="1:8" ht="33" customHeight="1">
      <c r="A3" s="6" t="s">
        <v>40</v>
      </c>
      <c r="B3" s="6">
        <f>Design!B32</f>
        <v>863.2014879700896</v>
      </c>
      <c r="C3" s="6" t="s">
        <v>45</v>
      </c>
      <c r="D3" s="5"/>
      <c r="F3" s="18"/>
      <c r="G3" s="18"/>
      <c r="H3" s="18"/>
    </row>
    <row r="4" spans="1:8" ht="33" customHeight="1">
      <c r="A4" s="7" t="s">
        <v>41</v>
      </c>
      <c r="B4" s="7">
        <f>Design!B31</f>
        <v>7295681.619393426</v>
      </c>
      <c r="C4" s="7" t="s">
        <v>45</v>
      </c>
      <c r="D4" s="5"/>
      <c r="F4" s="18"/>
      <c r="G4" s="18"/>
      <c r="H4" s="18"/>
    </row>
    <row r="5" spans="1:8" ht="33" customHeight="1">
      <c r="A5" s="6" t="s">
        <v>42</v>
      </c>
      <c r="B5" s="6">
        <f>Design!B24*25.4</f>
        <v>534.56357408350743</v>
      </c>
      <c r="C5" s="6" t="s">
        <v>45</v>
      </c>
      <c r="D5" s="5"/>
      <c r="F5" s="18"/>
      <c r="G5" s="18"/>
      <c r="H5" s="18"/>
    </row>
    <row r="6" spans="1:8" ht="33" customHeight="1">
      <c r="A6" s="7" t="s">
        <v>43</v>
      </c>
      <c r="B6" s="7">
        <f>Design!B23*25.4</f>
        <v>322.151181027343</v>
      </c>
      <c r="C6" s="7" t="s">
        <v>45</v>
      </c>
      <c r="D6" s="5"/>
      <c r="F6" s="18"/>
      <c r="G6" s="18"/>
      <c r="H6" s="18"/>
    </row>
    <row r="7" spans="1:8" ht="33" customHeight="1">
      <c r="A7" s="6" t="s">
        <v>44</v>
      </c>
      <c r="B7" s="6">
        <f>Design!B22*25.4</f>
        <v>856.71475511085043</v>
      </c>
      <c r="C7" s="6" t="s">
        <v>45</v>
      </c>
      <c r="D7" s="5"/>
      <c r="F7" s="18"/>
      <c r="G7" s="18"/>
      <c r="H7" s="18"/>
    </row>
    <row r="8" spans="1:8" ht="33" customHeight="1">
      <c r="F8" s="18"/>
      <c r="G8" s="18"/>
      <c r="H8" s="18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37E56-74DF-0B44-86AE-88AACC4A2EC8}">
  <dimension ref="A1:C8"/>
  <sheetViews>
    <sheetView workbookViewId="0">
      <selection activeCell="F14" sqref="F14"/>
    </sheetView>
  </sheetViews>
  <sheetFormatPr baseColWidth="10" defaultRowHeight="21"/>
  <cols>
    <col min="1" max="16384" width="10.83203125" style="8"/>
  </cols>
  <sheetData>
    <row r="1" spans="1:3">
      <c r="A1" s="13" t="s">
        <v>58</v>
      </c>
      <c r="B1" s="14">
        <f>B4*B3*(B2^2)</f>
        <v>260542733.59200537</v>
      </c>
      <c r="C1" s="13" t="s">
        <v>59</v>
      </c>
    </row>
    <row r="2" spans="1:3">
      <c r="A2" s="13" t="s">
        <v>5</v>
      </c>
      <c r="B2" s="14">
        <f>Design!B27/2</f>
        <v>16.992155275001764</v>
      </c>
      <c r="C2" s="13" t="s">
        <v>60</v>
      </c>
    </row>
    <row r="3" spans="1:3">
      <c r="A3" s="13" t="s">
        <v>56</v>
      </c>
      <c r="B3" s="14">
        <f>Design!B29</f>
        <v>287231.55981863884</v>
      </c>
      <c r="C3" s="13" t="s">
        <v>60</v>
      </c>
    </row>
    <row r="4" spans="1:3">
      <c r="A4" s="13" t="s">
        <v>57</v>
      </c>
      <c r="B4" s="14">
        <v>3.1415926536000001</v>
      </c>
      <c r="C4" s="13"/>
    </row>
    <row r="5" spans="1:3">
      <c r="A5" s="13"/>
      <c r="B5" s="13"/>
      <c r="C5" s="13"/>
    </row>
    <row r="6" spans="1:3">
      <c r="A6" s="13" t="s">
        <v>61</v>
      </c>
      <c r="B6" s="14">
        <f>B8*B4*(B7^2)</f>
        <v>260542733.59200537</v>
      </c>
      <c r="C6" s="13" t="s">
        <v>59</v>
      </c>
    </row>
    <row r="7" spans="1:3">
      <c r="A7" s="13" t="s">
        <v>5</v>
      </c>
      <c r="B7" s="13">
        <v>1.5</v>
      </c>
      <c r="C7" s="13" t="s">
        <v>60</v>
      </c>
    </row>
    <row r="8" spans="1:3">
      <c r="A8" s="13" t="s">
        <v>56</v>
      </c>
      <c r="B8" s="14">
        <f>B1/(B4*(B7)^2)</f>
        <v>36859256.833517991</v>
      </c>
      <c r="C8" s="13" t="s">
        <v>60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9758B-8A91-C340-B2B2-500892DE0BF6}">
  <dimension ref="A1:E17"/>
  <sheetViews>
    <sheetView workbookViewId="0">
      <selection activeCell="C18" sqref="C18"/>
    </sheetView>
  </sheetViews>
  <sheetFormatPr baseColWidth="10" defaultColWidth="28.6640625" defaultRowHeight="21"/>
  <cols>
    <col min="1" max="2" width="28.6640625" style="8"/>
    <col min="3" max="3" width="65" style="8" customWidth="1"/>
    <col min="4" max="16384" width="28.6640625" style="8"/>
  </cols>
  <sheetData>
    <row r="1" spans="1:5">
      <c r="A1" s="8" t="s">
        <v>46</v>
      </c>
      <c r="B1" s="9">
        <f>B2*B12</f>
        <v>195.93299999999999</v>
      </c>
      <c r="D1" s="8" t="s">
        <v>46</v>
      </c>
    </row>
    <row r="2" spans="1:5">
      <c r="A2" s="8" t="s">
        <v>47</v>
      </c>
      <c r="B2" s="9">
        <v>0.72299999999999998</v>
      </c>
      <c r="D2" s="8">
        <f>B2*B3*B4</f>
        <v>460.2726449999999</v>
      </c>
    </row>
    <row r="3" spans="1:5">
      <c r="A3" s="8" t="s">
        <v>62</v>
      </c>
      <c r="B3" s="8">
        <v>0.47</v>
      </c>
      <c r="D3" s="8" t="s">
        <v>64</v>
      </c>
    </row>
    <row r="4" spans="1:5">
      <c r="A4" s="8" t="s">
        <v>63</v>
      </c>
      <c r="B4" s="10">
        <f>B8-B7</f>
        <v>1354.5</v>
      </c>
      <c r="D4" s="8">
        <f>D2/B6</f>
        <v>1.2128396442687744E-2</v>
      </c>
      <c r="E4" s="8" t="s">
        <v>65</v>
      </c>
    </row>
    <row r="5" spans="1:5">
      <c r="A5" s="8" t="s">
        <v>54</v>
      </c>
      <c r="B5" s="9">
        <f>B1/B6</f>
        <v>5.1629249011857703E-3</v>
      </c>
    </row>
    <row r="6" spans="1:5" ht="11" customHeight="1">
      <c r="A6" s="8" t="s">
        <v>48</v>
      </c>
      <c r="B6" s="8">
        <v>37950</v>
      </c>
    </row>
    <row r="7" spans="1:5" hidden="1">
      <c r="A7" s="8" t="s">
        <v>49</v>
      </c>
      <c r="B7" s="9">
        <f>273.15+15.5</f>
        <v>288.64999999999998</v>
      </c>
    </row>
    <row r="8" spans="1:5" hidden="1">
      <c r="A8" s="8" t="s">
        <v>50</v>
      </c>
      <c r="B8" s="9">
        <f>1370+273.15</f>
        <v>1643.15</v>
      </c>
    </row>
    <row r="9" spans="1:5" hidden="1">
      <c r="A9" s="8" t="s">
        <v>51</v>
      </c>
      <c r="B9" s="8">
        <v>8050</v>
      </c>
    </row>
    <row r="10" spans="1:5" hidden="1">
      <c r="A10" s="8" t="s">
        <v>52</v>
      </c>
      <c r="B10" s="8">
        <v>0.72299999999999998</v>
      </c>
    </row>
    <row r="11" spans="1:5" hidden="1">
      <c r="A11" s="8" t="s">
        <v>53</v>
      </c>
    </row>
    <row r="12" spans="1:5" hidden="1">
      <c r="A12" s="8" t="s">
        <v>55</v>
      </c>
      <c r="B12" s="8">
        <v>271</v>
      </c>
    </row>
    <row r="13" spans="1:5" hidden="1"/>
    <row r="14" spans="1:5" hidden="1"/>
    <row r="15" spans="1:5" hidden="1"/>
    <row r="16" spans="1:5" hidden="1"/>
    <row r="17" spans="3:3" ht="146" customHeight="1">
      <c r="C17" s="16" t="s">
        <v>66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Design</vt:lpstr>
      <vt:lpstr>Printable Results</vt:lpstr>
      <vt:lpstr>Fabrication Stuff</vt:lpstr>
      <vt:lpstr>Enthalpy Stuff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2018-12-17T18:27:28Z</cp:lastPrinted>
  <dcterms:created xsi:type="dcterms:W3CDTF">2018-03-12T06:06:31Z</dcterms:created>
  <dcterms:modified xsi:type="dcterms:W3CDTF">2021-02-17T23:19:16Z</dcterms:modified>
</cp:coreProperties>
</file>