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wertz/Downloads/Downloads - Fourdozen/"/>
    </mc:Choice>
  </mc:AlternateContent>
  <xr:revisionPtr revIDLastSave="0" documentId="13_ncr:1_{29190C36-F0BF-F04F-9557-B1C81B33013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" i="1" l="1"/>
  <c r="R44" i="1"/>
  <c r="O43" i="1"/>
  <c r="N43" i="1"/>
  <c r="M43" i="1"/>
  <c r="L43" i="1"/>
  <c r="I43" i="1"/>
  <c r="T43" i="1" s="1"/>
  <c r="N42" i="1"/>
  <c r="M42" i="1"/>
  <c r="K42" i="1"/>
  <c r="J42" i="1"/>
  <c r="I42" i="1"/>
  <c r="H42" i="1"/>
  <c r="T42" i="1" s="1"/>
  <c r="N41" i="1"/>
  <c r="M41" i="1"/>
  <c r="L41" i="1"/>
  <c r="K41" i="1"/>
  <c r="J41" i="1"/>
  <c r="I41" i="1"/>
  <c r="H41" i="1"/>
  <c r="F41" i="1"/>
  <c r="E41" i="1"/>
  <c r="T41" i="1" s="1"/>
  <c r="Q40" i="1"/>
  <c r="M40" i="1"/>
  <c r="K40" i="1"/>
  <c r="I40" i="1"/>
  <c r="H40" i="1"/>
  <c r="G40" i="1"/>
  <c r="F40" i="1"/>
  <c r="E40" i="1"/>
  <c r="T40" i="1" s="1"/>
  <c r="O39" i="1"/>
  <c r="M39" i="1"/>
  <c r="L39" i="1"/>
  <c r="K39" i="1"/>
  <c r="J39" i="1"/>
  <c r="I39" i="1"/>
  <c r="H39" i="1"/>
  <c r="G39" i="1"/>
  <c r="F39" i="1"/>
  <c r="D39" i="1"/>
  <c r="T39" i="1" s="1"/>
  <c r="N38" i="1"/>
  <c r="M38" i="1"/>
  <c r="L38" i="1"/>
  <c r="K38" i="1"/>
  <c r="J38" i="1"/>
  <c r="I38" i="1"/>
  <c r="H38" i="1"/>
  <c r="G38" i="1"/>
  <c r="F38" i="1"/>
  <c r="E38" i="1"/>
  <c r="D38" i="1"/>
  <c r="C38" i="1"/>
  <c r="T38" i="1" s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T37" i="1" s="1"/>
  <c r="C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T36" i="1" s="1"/>
  <c r="K35" i="1"/>
  <c r="C35" i="1"/>
  <c r="T35" i="1" s="1"/>
  <c r="N34" i="1"/>
  <c r="M34" i="1"/>
  <c r="L34" i="1"/>
  <c r="K34" i="1"/>
  <c r="J34" i="1"/>
  <c r="I34" i="1"/>
  <c r="H34" i="1"/>
  <c r="G34" i="1"/>
  <c r="F34" i="1"/>
  <c r="E34" i="1"/>
  <c r="D34" i="1"/>
  <c r="C34" i="1"/>
  <c r="T34" i="1" s="1"/>
  <c r="N33" i="1"/>
  <c r="M33" i="1"/>
  <c r="L33" i="1"/>
  <c r="K33" i="1"/>
  <c r="J33" i="1"/>
  <c r="I33" i="1"/>
  <c r="H33" i="1"/>
  <c r="F33" i="1"/>
  <c r="E33" i="1"/>
  <c r="D33" i="1"/>
  <c r="T33" i="1" s="1"/>
  <c r="C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T32" i="1" s="1"/>
  <c r="O31" i="1"/>
  <c r="N31" i="1"/>
  <c r="M31" i="1"/>
  <c r="K31" i="1"/>
  <c r="J31" i="1"/>
  <c r="I31" i="1"/>
  <c r="H31" i="1"/>
  <c r="T31" i="1" s="1"/>
  <c r="G31" i="1"/>
  <c r="F31" i="1"/>
  <c r="E31" i="1"/>
  <c r="D31" i="1"/>
  <c r="P30" i="1"/>
  <c r="O30" i="1"/>
  <c r="N30" i="1"/>
  <c r="M30" i="1"/>
  <c r="L30" i="1"/>
  <c r="T30" i="1" s="1"/>
  <c r="K30" i="1"/>
  <c r="J30" i="1"/>
  <c r="I30" i="1"/>
  <c r="H30" i="1"/>
  <c r="F30" i="1"/>
  <c r="E30" i="1"/>
  <c r="D30" i="1"/>
  <c r="C30" i="1"/>
  <c r="B30" i="1"/>
  <c r="P29" i="1"/>
  <c r="N29" i="1"/>
  <c r="K29" i="1"/>
  <c r="J29" i="1"/>
  <c r="I29" i="1"/>
  <c r="H29" i="1"/>
  <c r="G29" i="1"/>
  <c r="F29" i="1"/>
  <c r="E29" i="1"/>
  <c r="T29" i="1" s="1"/>
  <c r="Q28" i="1"/>
  <c r="P28" i="1"/>
  <c r="N28" i="1"/>
  <c r="M28" i="1"/>
  <c r="K28" i="1"/>
  <c r="I28" i="1"/>
  <c r="G28" i="1"/>
  <c r="E28" i="1"/>
  <c r="T28" i="1" s="1"/>
  <c r="M27" i="1"/>
  <c r="L27" i="1"/>
  <c r="I27" i="1"/>
  <c r="T27" i="1" s="1"/>
  <c r="T26" i="1"/>
  <c r="F26" i="1"/>
  <c r="Q25" i="1"/>
  <c r="P25" i="1"/>
  <c r="O25" i="1"/>
  <c r="N25" i="1"/>
  <c r="M25" i="1"/>
  <c r="L25" i="1"/>
  <c r="K25" i="1"/>
  <c r="J25" i="1"/>
  <c r="I25" i="1"/>
  <c r="H25" i="1"/>
  <c r="G25" i="1"/>
  <c r="G44" i="1" s="1"/>
  <c r="F25" i="1"/>
  <c r="E25" i="1"/>
  <c r="D25" i="1"/>
  <c r="D44" i="1" s="1"/>
  <c r="C25" i="1"/>
  <c r="Q24" i="1"/>
  <c r="Q44" i="1" s="1"/>
  <c r="P24" i="1"/>
  <c r="P44" i="1" s="1"/>
  <c r="O24" i="1"/>
  <c r="O44" i="1" s="1"/>
  <c r="N24" i="1"/>
  <c r="N44" i="1" s="1"/>
  <c r="M24" i="1"/>
  <c r="M44" i="1" s="1"/>
  <c r="L24" i="1"/>
  <c r="L44" i="1" s="1"/>
  <c r="K24" i="1"/>
  <c r="K44" i="1" s="1"/>
  <c r="J24" i="1"/>
  <c r="J44" i="1" s="1"/>
  <c r="I24" i="1"/>
  <c r="I44" i="1" s="1"/>
  <c r="H24" i="1"/>
  <c r="H44" i="1" s="1"/>
  <c r="F24" i="1"/>
  <c r="F44" i="1" s="1"/>
  <c r="E24" i="1"/>
  <c r="E44" i="1" s="1"/>
  <c r="C24" i="1"/>
  <c r="C44" i="1" s="1"/>
  <c r="B24" i="1"/>
  <c r="B44" i="1" s="1"/>
  <c r="S21" i="1"/>
  <c r="H21" i="1"/>
  <c r="C21" i="1"/>
  <c r="S20" i="1"/>
  <c r="R20" i="1"/>
  <c r="R21" i="1" s="1"/>
  <c r="Q20" i="1"/>
  <c r="Q21" i="1" s="1"/>
  <c r="P20" i="1"/>
  <c r="P21" i="1" s="1"/>
  <c r="O20" i="1"/>
  <c r="O21" i="1" s="1"/>
  <c r="L20" i="1"/>
  <c r="L21" i="1" s="1"/>
  <c r="K20" i="1"/>
  <c r="K21" i="1" s="1"/>
  <c r="H20" i="1"/>
  <c r="G20" i="1"/>
  <c r="G21" i="1" s="1"/>
  <c r="F20" i="1"/>
  <c r="F21" i="1" s="1"/>
  <c r="C20" i="1"/>
  <c r="B20" i="1"/>
  <c r="B21" i="1" s="1"/>
  <c r="N19" i="1"/>
  <c r="N20" i="1" s="1"/>
  <c r="N21" i="1" s="1"/>
  <c r="M19" i="1"/>
  <c r="M20" i="1" s="1"/>
  <c r="M21" i="1" s="1"/>
  <c r="L19" i="1"/>
  <c r="K19" i="1"/>
  <c r="J19" i="1"/>
  <c r="J20" i="1" s="1"/>
  <c r="J21" i="1" s="1"/>
  <c r="I19" i="1"/>
  <c r="T19" i="1" s="1"/>
  <c r="H19" i="1"/>
  <c r="F19" i="1"/>
  <c r="E19" i="1"/>
  <c r="E20" i="1" s="1"/>
  <c r="E21" i="1" s="1"/>
  <c r="D19" i="1"/>
  <c r="D20" i="1" s="1"/>
  <c r="D21" i="1" s="1"/>
  <c r="T18" i="1"/>
  <c r="N18" i="1"/>
  <c r="M18" i="1"/>
  <c r="L18" i="1"/>
  <c r="M16" i="1"/>
  <c r="Q15" i="1"/>
  <c r="P15" i="1"/>
  <c r="N15" i="1"/>
  <c r="T15" i="1" s="1"/>
  <c r="T14" i="1"/>
  <c r="N14" i="1"/>
  <c r="M14" i="1"/>
  <c r="K14" i="1"/>
  <c r="I14" i="1"/>
  <c r="H14" i="1"/>
  <c r="E14" i="1"/>
  <c r="N13" i="1"/>
  <c r="M13" i="1"/>
  <c r="L13" i="1"/>
  <c r="K13" i="1"/>
  <c r="J13" i="1"/>
  <c r="I13" i="1"/>
  <c r="H13" i="1"/>
  <c r="F13" i="1"/>
  <c r="E13" i="1"/>
  <c r="T13" i="1" s="1"/>
  <c r="Q12" i="1"/>
  <c r="P12" i="1"/>
  <c r="O12" i="1"/>
  <c r="N12" i="1"/>
  <c r="M12" i="1"/>
  <c r="L12" i="1"/>
  <c r="K12" i="1"/>
  <c r="J12" i="1"/>
  <c r="I12" i="1"/>
  <c r="H12" i="1"/>
  <c r="G12" i="1"/>
  <c r="F12" i="1"/>
  <c r="T12" i="1" s="1"/>
  <c r="S11" i="1"/>
  <c r="S16" i="1" s="1"/>
  <c r="S22" i="1" s="1"/>
  <c r="S45" i="1" s="1"/>
  <c r="S46" i="1" s="1"/>
  <c r="R11" i="1"/>
  <c r="R16" i="1" s="1"/>
  <c r="O11" i="1"/>
  <c r="O16" i="1" s="1"/>
  <c r="M11" i="1"/>
  <c r="D11" i="1"/>
  <c r="D16" i="1" s="1"/>
  <c r="C11" i="1"/>
  <c r="C16" i="1" s="1"/>
  <c r="C22" i="1" s="1"/>
  <c r="C45" i="1" s="1"/>
  <c r="C46" i="1" s="1"/>
  <c r="B11" i="1"/>
  <c r="B16" i="1" s="1"/>
  <c r="Q10" i="1"/>
  <c r="P10" i="1"/>
  <c r="O10" i="1"/>
  <c r="N10" i="1"/>
  <c r="N11" i="1" s="1"/>
  <c r="N16" i="1" s="1"/>
  <c r="N22" i="1" s="1"/>
  <c r="N45" i="1" s="1"/>
  <c r="N46" i="1" s="1"/>
  <c r="M10" i="1"/>
  <c r="L10" i="1"/>
  <c r="K10" i="1"/>
  <c r="J10" i="1"/>
  <c r="I10" i="1"/>
  <c r="H10" i="1"/>
  <c r="F10" i="1"/>
  <c r="E10" i="1"/>
  <c r="T10" i="1" s="1"/>
  <c r="H9" i="1"/>
  <c r="G9" i="1"/>
  <c r="G11" i="1" s="1"/>
  <c r="G16" i="1" s="1"/>
  <c r="G22" i="1" s="1"/>
  <c r="G45" i="1" s="1"/>
  <c r="G46" i="1" s="1"/>
  <c r="F9" i="1"/>
  <c r="E9" i="1"/>
  <c r="T9" i="1" s="1"/>
  <c r="Q8" i="1"/>
  <c r="Q11" i="1" s="1"/>
  <c r="Q16" i="1" s="1"/>
  <c r="Q22" i="1" s="1"/>
  <c r="Q45" i="1" s="1"/>
  <c r="Q46" i="1" s="1"/>
  <c r="P8" i="1"/>
  <c r="P11" i="1" s="1"/>
  <c r="P16" i="1" s="1"/>
  <c r="P22" i="1" s="1"/>
  <c r="P45" i="1" s="1"/>
  <c r="P46" i="1" s="1"/>
  <c r="O8" i="1"/>
  <c r="N8" i="1"/>
  <c r="M8" i="1"/>
  <c r="L8" i="1"/>
  <c r="L11" i="1" s="1"/>
  <c r="L16" i="1" s="1"/>
  <c r="L22" i="1" s="1"/>
  <c r="L45" i="1" s="1"/>
  <c r="L46" i="1" s="1"/>
  <c r="K8" i="1"/>
  <c r="K11" i="1" s="1"/>
  <c r="K16" i="1" s="1"/>
  <c r="K22" i="1" s="1"/>
  <c r="K45" i="1" s="1"/>
  <c r="K46" i="1" s="1"/>
  <c r="J8" i="1"/>
  <c r="J11" i="1" s="1"/>
  <c r="J16" i="1" s="1"/>
  <c r="I8" i="1"/>
  <c r="I11" i="1" s="1"/>
  <c r="I16" i="1" s="1"/>
  <c r="H8" i="1"/>
  <c r="H11" i="1" s="1"/>
  <c r="H16" i="1" s="1"/>
  <c r="H22" i="1" s="1"/>
  <c r="H45" i="1" s="1"/>
  <c r="H46" i="1" s="1"/>
  <c r="G8" i="1"/>
  <c r="F8" i="1"/>
  <c r="F11" i="1" s="1"/>
  <c r="F16" i="1" s="1"/>
  <c r="F22" i="1" s="1"/>
  <c r="F45" i="1" s="1"/>
  <c r="F46" i="1" s="1"/>
  <c r="E8" i="1"/>
  <c r="T8" i="1" s="1"/>
  <c r="D8" i="1"/>
  <c r="T7" i="1"/>
  <c r="M7" i="1"/>
  <c r="D22" i="1" l="1"/>
  <c r="D45" i="1" s="1"/>
  <c r="D46" i="1" s="1"/>
  <c r="B22" i="1"/>
  <c r="O22" i="1"/>
  <c r="O45" i="1" s="1"/>
  <c r="O46" i="1" s="1"/>
  <c r="R22" i="1"/>
  <c r="R45" i="1" s="1"/>
  <c r="R46" i="1" s="1"/>
  <c r="T44" i="1"/>
  <c r="M22" i="1"/>
  <c r="M45" i="1" s="1"/>
  <c r="M46" i="1" s="1"/>
  <c r="J22" i="1"/>
  <c r="J45" i="1" s="1"/>
  <c r="J46" i="1" s="1"/>
  <c r="I20" i="1"/>
  <c r="I21" i="1" s="1"/>
  <c r="I22" i="1" s="1"/>
  <c r="I45" i="1" s="1"/>
  <c r="I46" i="1" s="1"/>
  <c r="T24" i="1"/>
  <c r="T25" i="1"/>
  <c r="E11" i="1"/>
  <c r="E16" i="1" s="1"/>
  <c r="E22" i="1" s="1"/>
  <c r="E45" i="1" s="1"/>
  <c r="E46" i="1" s="1"/>
  <c r="T20" i="1" l="1"/>
  <c r="T11" i="1"/>
  <c r="T21" i="1"/>
  <c r="T16" i="1"/>
  <c r="B45" i="1"/>
  <c r="T22" i="1"/>
  <c r="B46" i="1" l="1"/>
  <c r="T46" i="1" s="1"/>
  <c r="T45" i="1"/>
</calcChain>
</file>

<file path=xl/sharedStrings.xml><?xml version="1.0" encoding="utf-8"?>
<sst xmlns="http://schemas.openxmlformats.org/spreadsheetml/2006/main" count="64" uniqueCount="64">
  <si>
    <t>Nov 11 - Dec 31, 2017</t>
  </si>
  <si>
    <t>Jan - Mar, 2018</t>
  </si>
  <si>
    <t>Apr - Jun, 2018</t>
  </si>
  <si>
    <t>Jul - Sep, 2018</t>
  </si>
  <si>
    <t>Oct - Dec, 2018</t>
  </si>
  <si>
    <t>Jan - Mar, 2019</t>
  </si>
  <si>
    <t>Apr - Jun, 2019</t>
  </si>
  <si>
    <t>Jul - Sep, 2019</t>
  </si>
  <si>
    <t>Oct - Dec, 2019</t>
  </si>
  <si>
    <t>Jan - Mar, 2020</t>
  </si>
  <si>
    <t>Apr - Jun, 2020</t>
  </si>
  <si>
    <t>Jul - Sep, 2020</t>
  </si>
  <si>
    <t>Oct - Dec, 2020</t>
  </si>
  <si>
    <t>Jan - Mar, 2021</t>
  </si>
  <si>
    <t>Apr - Jun, 2021</t>
  </si>
  <si>
    <t>Jul - Sep, 2021</t>
  </si>
  <si>
    <t>Oct - Dec, 2021</t>
  </si>
  <si>
    <t>Jan 1, 2022</t>
  </si>
  <si>
    <t>Total</t>
  </si>
  <si>
    <t>Income</t>
  </si>
  <si>
    <t xml:space="preserve">   400 Services</t>
  </si>
  <si>
    <t xml:space="preserve">      401 Marketing Services</t>
  </si>
  <si>
    <t xml:space="preserve">      402 Market Research Services</t>
  </si>
  <si>
    <t xml:space="preserve">      403 Student Recruiting Services</t>
  </si>
  <si>
    <t xml:space="preserve">   Total 400 Services</t>
  </si>
  <si>
    <t xml:space="preserve">   410 Billable Expense Income</t>
  </si>
  <si>
    <t xml:space="preserve">   430 Miscellaneous Income</t>
  </si>
  <si>
    <t xml:space="preserve">   440 Intercompany Income</t>
  </si>
  <si>
    <t xml:space="preserve">   Unapplied Cash Payment Income</t>
  </si>
  <si>
    <t>Total Income</t>
  </si>
  <si>
    <t>Cost of Goods Sold</t>
  </si>
  <si>
    <t xml:space="preserve">   500 Cost of Goods Sold</t>
  </si>
  <si>
    <t xml:space="preserve">      615 Contractors</t>
  </si>
  <si>
    <t xml:space="preserve">   Total 500 Cost of Goods Sold</t>
  </si>
  <si>
    <t>Total Cost of Goods Sold</t>
  </si>
  <si>
    <t>Gross Profit</t>
  </si>
  <si>
    <t>Expenses</t>
  </si>
  <si>
    <t xml:space="preserve">   600 Advertising &amp; Marketing</t>
  </si>
  <si>
    <t xml:space="preserve">   605 Bank Charges &amp; Fees</t>
  </si>
  <si>
    <t xml:space="preserve">   620 Depreciation</t>
  </si>
  <si>
    <t xml:space="preserve">   625 Insurance</t>
  </si>
  <si>
    <t xml:space="preserve">   627 Intercompany Services</t>
  </si>
  <si>
    <t xml:space="preserve">   635 Job Supplies</t>
  </si>
  <si>
    <t xml:space="preserve">   640 Legal &amp; Professional Services</t>
  </si>
  <si>
    <t xml:space="preserve">   645 Meals &amp; Entertainment</t>
  </si>
  <si>
    <t xml:space="preserve">   650 Office Supplies</t>
  </si>
  <si>
    <t xml:space="preserve">   655 Other Business Expenses</t>
  </si>
  <si>
    <t xml:space="preserve">   665 Rent &amp; Lease</t>
  </si>
  <si>
    <t xml:space="preserve">   672 Shipping, Freight &amp; Delivery</t>
  </si>
  <si>
    <t xml:space="preserve">   673 Software</t>
  </si>
  <si>
    <t xml:space="preserve">   675 Taxes &amp; Licenses</t>
  </si>
  <si>
    <t xml:space="preserve">   680 Travel</t>
  </si>
  <si>
    <t xml:space="preserve">   681 Travel Meals</t>
  </si>
  <si>
    <t xml:space="preserve">   685 Miscellaneous Expense</t>
  </si>
  <si>
    <t xml:space="preserve">   690 Utilities</t>
  </si>
  <si>
    <t xml:space="preserve">   Foreign Currency Conversion</t>
  </si>
  <si>
    <t xml:space="preserve">   QuickBooks Payments Fees</t>
  </si>
  <si>
    <t>Total Expenses</t>
  </si>
  <si>
    <t>Net Operating Income</t>
  </si>
  <si>
    <t>Net Income</t>
  </si>
  <si>
    <t>Monday, Aug 09, 2021 01:10:40 AM GMT-7 - Cash Basis</t>
  </si>
  <si>
    <t>Fourdozen, Inc.</t>
  </si>
  <si>
    <t>Profit and Loss</t>
  </si>
  <si>
    <t>All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</si>
</sst>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165" fontId="2" fillId="2" borderId="2" xfId="0" applyNumberFormat="1" applyFont="1" applyFill="1" applyBorder="1" applyAlignment="1">
      <alignment horizontal="right" wrapText="1"/>
    </xf>
    <xf numFmtId="0" fontId="0" fillId="2" borderId="0" xfId="0" applyFill="1"/>
    <xf numFmtId="165" fontId="2" fillId="0" borderId="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1" max="1" width="32.6640625" customWidth="1"/>
    <col min="2" max="2" width="10.33203125" customWidth="1"/>
    <col min="3" max="3" width="11.1640625" customWidth="1"/>
    <col min="4" max="5" width="9.5" customWidth="1"/>
    <col min="6" max="6" width="10.33203125" customWidth="1"/>
    <col min="7" max="7" width="11.1640625" customWidth="1"/>
    <col min="8" max="9" width="10.33203125" customWidth="1"/>
    <col min="10" max="10" width="9.5" customWidth="1"/>
    <col min="11" max="11" width="11.1640625" customWidth="1"/>
    <col min="12" max="12" width="9.5" customWidth="1"/>
    <col min="13" max="14" width="10.33203125" customWidth="1"/>
    <col min="15" max="15" width="9.5" customWidth="1"/>
    <col min="16" max="16" width="11.1640625" customWidth="1"/>
    <col min="17" max="17" width="10.33203125" customWidth="1"/>
    <col min="18" max="19" width="7.6640625" customWidth="1"/>
    <col min="20" max="20" width="10.33203125" customWidth="1"/>
  </cols>
  <sheetData>
    <row r="1" spans="1:20" ht="18" x14ac:dyDescent="0.2">
      <c r="A1" s="10" t="s">
        <v>61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8" x14ac:dyDescent="0.2">
      <c r="A2" s="10" t="s">
        <v>62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">
      <c r="A3" s="11" t="s">
        <v>63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5" spans="1:20" ht="40" x14ac:dyDescent="0.2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2" t="s">
        <v>17</v>
      </c>
      <c r="T5" s="2" t="s">
        <v>18</v>
      </c>
    </row>
    <row r="6" spans="1:20" x14ac:dyDescent="0.2">
      <c r="A6" s="3" t="s">
        <v>19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3" t="s">
        <v>20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>
        <f>223.99</f>
        <v>223.99</v>
      </c>
      <c r="N7" s="4"/>
      <c r="O7" s="4"/>
      <c r="P7" s="4"/>
      <c r="Q7" s="4"/>
      <c r="R7" s="4"/>
      <c r="S7" s="4"/>
      <c r="T7" s="5">
        <f t="shared" ref="T7:T16" si="0">(((((((((((((((((B7)+(C7))+(D7))+(E7))+(F7))+(G7))+(H7))+(I7))+(J7))+(K7))+(L7))+(M7))+(N7))+(O7))+(P7))+(Q7))+(R7))+(S7)</f>
        <v>223.99</v>
      </c>
    </row>
    <row r="8" spans="1:20" x14ac:dyDescent="0.2">
      <c r="A8" s="3" t="s">
        <v>21</v>
      </c>
      <c r="B8" s="4"/>
      <c r="C8" s="4"/>
      <c r="D8" s="5">
        <f>22000</f>
        <v>22000</v>
      </c>
      <c r="E8" s="5">
        <f>41000</f>
        <v>41000</v>
      </c>
      <c r="F8" s="5">
        <f>18579.94</f>
        <v>18579.939999999999</v>
      </c>
      <c r="G8" s="5">
        <f>5875</f>
        <v>5875</v>
      </c>
      <c r="H8" s="5">
        <f>46696.67</f>
        <v>46696.67</v>
      </c>
      <c r="I8" s="5">
        <f>45100</f>
        <v>45100</v>
      </c>
      <c r="J8" s="5">
        <f>33184.25</f>
        <v>33184.25</v>
      </c>
      <c r="K8" s="5">
        <f>11050</f>
        <v>11050</v>
      </c>
      <c r="L8" s="5">
        <f>30624</f>
        <v>30624</v>
      </c>
      <c r="M8" s="5">
        <f>63031.45</f>
        <v>63031.45</v>
      </c>
      <c r="N8" s="5">
        <f>73416.33</f>
        <v>73416.33</v>
      </c>
      <c r="O8" s="5">
        <f>34820</f>
        <v>34820</v>
      </c>
      <c r="P8" s="5">
        <f>25808.15</f>
        <v>25808.15</v>
      </c>
      <c r="Q8" s="5">
        <f>3658</f>
        <v>3658</v>
      </c>
      <c r="R8" s="4"/>
      <c r="S8" s="4"/>
      <c r="T8" s="5">
        <f t="shared" si="0"/>
        <v>454843.79000000004</v>
      </c>
    </row>
    <row r="9" spans="1:20" x14ac:dyDescent="0.2">
      <c r="A9" s="3" t="s">
        <v>22</v>
      </c>
      <c r="B9" s="4"/>
      <c r="C9" s="4"/>
      <c r="D9" s="4"/>
      <c r="E9" s="5">
        <f>6500</f>
        <v>6500</v>
      </c>
      <c r="F9" s="5">
        <f>5000</f>
        <v>5000</v>
      </c>
      <c r="G9" s="5">
        <f>8500</f>
        <v>8500</v>
      </c>
      <c r="H9" s="5">
        <f>1500</f>
        <v>1500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>
        <f t="shared" si="0"/>
        <v>21500</v>
      </c>
    </row>
    <row r="10" spans="1:20" x14ac:dyDescent="0.2">
      <c r="A10" s="3" t="s">
        <v>23</v>
      </c>
      <c r="B10" s="4"/>
      <c r="C10" s="4"/>
      <c r="D10" s="4"/>
      <c r="E10" s="5">
        <f>5895.08</f>
        <v>5895.08</v>
      </c>
      <c r="F10" s="5">
        <f>10949.74</f>
        <v>10949.74</v>
      </c>
      <c r="G10" s="4"/>
      <c r="H10" s="5">
        <f>6759.61</f>
        <v>6759.61</v>
      </c>
      <c r="I10" s="5">
        <f>14456.36</f>
        <v>14456.36</v>
      </c>
      <c r="J10" s="5">
        <f>21346.41</f>
        <v>21346.41</v>
      </c>
      <c r="K10" s="5">
        <f>31816.86</f>
        <v>31816.86</v>
      </c>
      <c r="L10" s="5">
        <f>1919.18</f>
        <v>1919.18</v>
      </c>
      <c r="M10" s="5">
        <f>20210.95</f>
        <v>20210.95</v>
      </c>
      <c r="N10" s="5">
        <f>10167.39</f>
        <v>10167.39</v>
      </c>
      <c r="O10" s="5">
        <f>2200</f>
        <v>2200</v>
      </c>
      <c r="P10" s="5">
        <f>1077.63</f>
        <v>1077.6300000000001</v>
      </c>
      <c r="Q10" s="5">
        <f>5265</f>
        <v>5265</v>
      </c>
      <c r="R10" s="4"/>
      <c r="S10" s="4"/>
      <c r="T10" s="5">
        <f t="shared" si="0"/>
        <v>132064.21</v>
      </c>
    </row>
    <row r="11" spans="1:20" s="14" customFormat="1" x14ac:dyDescent="0.2">
      <c r="A11" s="12" t="s">
        <v>24</v>
      </c>
      <c r="B11" s="15">
        <f t="shared" ref="B11:S11" si="1">(((B7)+(B8))+(B9))+(B10)</f>
        <v>0</v>
      </c>
      <c r="C11" s="15">
        <f t="shared" si="1"/>
        <v>0</v>
      </c>
      <c r="D11" s="13">
        <f t="shared" si="1"/>
        <v>22000</v>
      </c>
      <c r="E11" s="13">
        <f t="shared" si="1"/>
        <v>53395.08</v>
      </c>
      <c r="F11" s="13">
        <f t="shared" si="1"/>
        <v>34529.68</v>
      </c>
      <c r="G11" s="13">
        <f t="shared" si="1"/>
        <v>14375</v>
      </c>
      <c r="H11" s="13">
        <f t="shared" si="1"/>
        <v>54956.28</v>
      </c>
      <c r="I11" s="13">
        <f t="shared" si="1"/>
        <v>59556.36</v>
      </c>
      <c r="J11" s="13">
        <f t="shared" si="1"/>
        <v>54530.66</v>
      </c>
      <c r="K11" s="13">
        <f t="shared" si="1"/>
        <v>42866.86</v>
      </c>
      <c r="L11" s="13">
        <f t="shared" si="1"/>
        <v>32543.18</v>
      </c>
      <c r="M11" s="13">
        <f t="shared" si="1"/>
        <v>83466.39</v>
      </c>
      <c r="N11" s="13">
        <f t="shared" si="1"/>
        <v>83583.72</v>
      </c>
      <c r="O11" s="13">
        <f t="shared" si="1"/>
        <v>37020</v>
      </c>
      <c r="P11" s="15">
        <f t="shared" si="1"/>
        <v>26885.780000000002</v>
      </c>
      <c r="Q11" s="15">
        <f t="shared" si="1"/>
        <v>8923</v>
      </c>
      <c r="R11" s="15">
        <f t="shared" si="1"/>
        <v>0</v>
      </c>
      <c r="S11" s="15">
        <f t="shared" si="1"/>
        <v>0</v>
      </c>
      <c r="T11" s="15">
        <f t="shared" si="0"/>
        <v>608631.99000000011</v>
      </c>
    </row>
    <row r="12" spans="1:20" x14ac:dyDescent="0.2">
      <c r="A12" s="3" t="s">
        <v>25</v>
      </c>
      <c r="B12" s="4"/>
      <c r="C12" s="4"/>
      <c r="D12" s="4"/>
      <c r="E12" s="4"/>
      <c r="F12" s="5">
        <f>1183.4</f>
        <v>1183.4000000000001</v>
      </c>
      <c r="G12" s="5">
        <f>1297.75</f>
        <v>1297.75</v>
      </c>
      <c r="H12" s="5">
        <f>3021.17</f>
        <v>3021.17</v>
      </c>
      <c r="I12" s="5">
        <f>3647.78</f>
        <v>3647.78</v>
      </c>
      <c r="J12" s="5">
        <f>3600</f>
        <v>3600</v>
      </c>
      <c r="K12" s="5">
        <f>600</f>
        <v>600</v>
      </c>
      <c r="L12" s="5">
        <f>8189.51</f>
        <v>8189.51</v>
      </c>
      <c r="M12" s="5">
        <f>9266.76</f>
        <v>9266.76</v>
      </c>
      <c r="N12" s="5">
        <f>5816.01</f>
        <v>5816.01</v>
      </c>
      <c r="O12" s="5">
        <f>3059.71</f>
        <v>3059.71</v>
      </c>
      <c r="P12" s="5">
        <f>1100</f>
        <v>1100</v>
      </c>
      <c r="Q12" s="5">
        <f>400</f>
        <v>400</v>
      </c>
      <c r="R12" s="4"/>
      <c r="S12" s="4"/>
      <c r="T12" s="5">
        <f t="shared" si="0"/>
        <v>41182.090000000004</v>
      </c>
    </row>
    <row r="13" spans="1:20" x14ac:dyDescent="0.2">
      <c r="A13" s="3" t="s">
        <v>26</v>
      </c>
      <c r="B13" s="4"/>
      <c r="C13" s="4"/>
      <c r="D13" s="4"/>
      <c r="E13" s="5">
        <f>5.54</f>
        <v>5.54</v>
      </c>
      <c r="F13" s="5">
        <f>9.16</f>
        <v>9.16</v>
      </c>
      <c r="G13" s="4"/>
      <c r="H13" s="5">
        <f>27.24</f>
        <v>27.24</v>
      </c>
      <c r="I13" s="5">
        <f>16.55</f>
        <v>16.55</v>
      </c>
      <c r="J13" s="5">
        <f>10.61</f>
        <v>10.61</v>
      </c>
      <c r="K13" s="5">
        <f>19.91</f>
        <v>19.91</v>
      </c>
      <c r="L13" s="5">
        <f>12.16</f>
        <v>12.16</v>
      </c>
      <c r="M13" s="5">
        <f>19.01</f>
        <v>19.010000000000002</v>
      </c>
      <c r="N13" s="5">
        <f>90.4</f>
        <v>90.4</v>
      </c>
      <c r="O13" s="4"/>
      <c r="P13" s="4"/>
      <c r="Q13" s="4"/>
      <c r="R13" s="4"/>
      <c r="S13" s="4"/>
      <c r="T13" s="5">
        <f t="shared" si="0"/>
        <v>210.57999999999998</v>
      </c>
    </row>
    <row r="14" spans="1:20" x14ac:dyDescent="0.2">
      <c r="A14" s="3" t="s">
        <v>27</v>
      </c>
      <c r="B14" s="4"/>
      <c r="C14" s="4"/>
      <c r="D14" s="4"/>
      <c r="E14" s="5">
        <f>33000</f>
        <v>33000</v>
      </c>
      <c r="F14" s="4"/>
      <c r="G14" s="4"/>
      <c r="H14" s="5">
        <f>42000</f>
        <v>42000</v>
      </c>
      <c r="I14" s="5">
        <f>33240.39</f>
        <v>33240.39</v>
      </c>
      <c r="J14" s="4"/>
      <c r="K14" s="5">
        <f>44000</f>
        <v>44000</v>
      </c>
      <c r="L14" s="4"/>
      <c r="M14" s="5">
        <f>44000</f>
        <v>44000</v>
      </c>
      <c r="N14" s="5">
        <f>76000</f>
        <v>76000</v>
      </c>
      <c r="O14" s="4"/>
      <c r="P14" s="4"/>
      <c r="Q14" s="4"/>
      <c r="R14" s="4"/>
      <c r="S14" s="4"/>
      <c r="T14" s="5">
        <f t="shared" si="0"/>
        <v>272240.39</v>
      </c>
    </row>
    <row r="15" spans="1:20" x14ac:dyDescent="0.2">
      <c r="A15" s="3" t="s">
        <v>28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>0</f>
        <v>0</v>
      </c>
      <c r="O15" s="4"/>
      <c r="P15" s="5">
        <f>0</f>
        <v>0</v>
      </c>
      <c r="Q15" s="5">
        <f>0</f>
        <v>0</v>
      </c>
      <c r="R15" s="4"/>
      <c r="S15" s="4"/>
      <c r="T15" s="5">
        <f t="shared" si="0"/>
        <v>0</v>
      </c>
    </row>
    <row r="16" spans="1:20" x14ac:dyDescent="0.2">
      <c r="A16" s="3" t="s">
        <v>29</v>
      </c>
      <c r="B16" s="6">
        <f t="shared" ref="B16:S16" si="2">((((B11)+(B12))+(B13))+(B14))+(B15)</f>
        <v>0</v>
      </c>
      <c r="C16" s="6">
        <f t="shared" si="2"/>
        <v>0</v>
      </c>
      <c r="D16" s="6">
        <f t="shared" si="2"/>
        <v>22000</v>
      </c>
      <c r="E16" s="6">
        <f t="shared" si="2"/>
        <v>86400.62</v>
      </c>
      <c r="F16" s="6">
        <f t="shared" si="2"/>
        <v>35722.240000000005</v>
      </c>
      <c r="G16" s="6">
        <f t="shared" si="2"/>
        <v>15672.75</v>
      </c>
      <c r="H16" s="6">
        <f t="shared" si="2"/>
        <v>100004.69</v>
      </c>
      <c r="I16" s="6">
        <f t="shared" si="2"/>
        <v>96461.08</v>
      </c>
      <c r="J16" s="6">
        <f t="shared" si="2"/>
        <v>58141.270000000004</v>
      </c>
      <c r="K16" s="6">
        <f t="shared" si="2"/>
        <v>87486.77</v>
      </c>
      <c r="L16" s="6">
        <f t="shared" si="2"/>
        <v>40744.850000000006</v>
      </c>
      <c r="M16" s="6">
        <f t="shared" si="2"/>
        <v>136752.15999999997</v>
      </c>
      <c r="N16" s="6">
        <f t="shared" si="2"/>
        <v>165490.13</v>
      </c>
      <c r="O16" s="6">
        <f t="shared" si="2"/>
        <v>40079.71</v>
      </c>
      <c r="P16" s="6">
        <f t="shared" si="2"/>
        <v>27985.780000000002</v>
      </c>
      <c r="Q16" s="6">
        <f t="shared" si="2"/>
        <v>9323</v>
      </c>
      <c r="R16" s="6">
        <f t="shared" si="2"/>
        <v>0</v>
      </c>
      <c r="S16" s="6">
        <f t="shared" si="2"/>
        <v>0</v>
      </c>
      <c r="T16" s="6">
        <f t="shared" si="0"/>
        <v>922265.04999999993</v>
      </c>
    </row>
    <row r="17" spans="1:20" x14ac:dyDescent="0.2">
      <c r="A17" s="3" t="s">
        <v>30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3" t="s">
        <v>31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5">
        <f>45.83</f>
        <v>45.83</v>
      </c>
      <c r="M18" s="5">
        <f>137.72</f>
        <v>137.72</v>
      </c>
      <c r="N18" s="5">
        <f>137.96</f>
        <v>137.96</v>
      </c>
      <c r="O18" s="4"/>
      <c r="P18" s="4"/>
      <c r="Q18" s="4"/>
      <c r="R18" s="4"/>
      <c r="S18" s="4"/>
      <c r="T18" s="5">
        <f>(((((((((((((((((B18)+(C18))+(D18))+(E18))+(F18))+(G18))+(H18))+(I18))+(J18))+(K18))+(L18))+(M18))+(N18))+(O18))+(P18))+(Q18))+(R18))+(S18)</f>
        <v>321.51</v>
      </c>
    </row>
    <row r="19" spans="1:20" x14ac:dyDescent="0.2">
      <c r="A19" s="3" t="s">
        <v>32</v>
      </c>
      <c r="B19" s="4"/>
      <c r="C19" s="4"/>
      <c r="D19" s="5">
        <f>487.21</f>
        <v>487.21</v>
      </c>
      <c r="E19" s="5">
        <f>2655.69</f>
        <v>2655.69</v>
      </c>
      <c r="F19" s="5">
        <f>8995.79</f>
        <v>8995.7900000000009</v>
      </c>
      <c r="G19" s="4"/>
      <c r="H19" s="5">
        <f>22434.15</f>
        <v>22434.15</v>
      </c>
      <c r="I19" s="5">
        <f>13406.93</f>
        <v>13406.93</v>
      </c>
      <c r="J19" s="5">
        <f>17615.31</f>
        <v>17615.310000000001</v>
      </c>
      <c r="K19" s="5">
        <f>19418.66</f>
        <v>19418.66</v>
      </c>
      <c r="L19" s="5">
        <f>19979.33</f>
        <v>19979.330000000002</v>
      </c>
      <c r="M19" s="5">
        <f>24863.61</f>
        <v>24863.61</v>
      </c>
      <c r="N19" s="5">
        <f>25305.5</f>
        <v>25305.5</v>
      </c>
      <c r="O19" s="4"/>
      <c r="P19" s="4"/>
      <c r="Q19" s="4"/>
      <c r="R19" s="4"/>
      <c r="S19" s="4"/>
      <c r="T19" s="5">
        <f>(((((((((((((((((B19)+(C19))+(D19))+(E19))+(F19))+(G19))+(H19))+(I19))+(J19))+(K19))+(L19))+(M19))+(N19))+(O19))+(P19))+(Q19))+(R19))+(S19)</f>
        <v>155162.18</v>
      </c>
    </row>
    <row r="20" spans="1:20" x14ac:dyDescent="0.2">
      <c r="A20" s="3" t="s">
        <v>33</v>
      </c>
      <c r="B20" s="6">
        <f t="shared" ref="B20:S20" si="3">(B18)+(B19)</f>
        <v>0</v>
      </c>
      <c r="C20" s="6">
        <f t="shared" si="3"/>
        <v>0</v>
      </c>
      <c r="D20" s="6">
        <f t="shared" si="3"/>
        <v>487.21</v>
      </c>
      <c r="E20" s="6">
        <f t="shared" si="3"/>
        <v>2655.69</v>
      </c>
      <c r="F20" s="6">
        <f t="shared" si="3"/>
        <v>8995.7900000000009</v>
      </c>
      <c r="G20" s="6">
        <f t="shared" si="3"/>
        <v>0</v>
      </c>
      <c r="H20" s="6">
        <f t="shared" si="3"/>
        <v>22434.15</v>
      </c>
      <c r="I20" s="6">
        <f t="shared" si="3"/>
        <v>13406.93</v>
      </c>
      <c r="J20" s="6">
        <f t="shared" si="3"/>
        <v>17615.310000000001</v>
      </c>
      <c r="K20" s="6">
        <f t="shared" si="3"/>
        <v>19418.66</v>
      </c>
      <c r="L20" s="6">
        <f t="shared" si="3"/>
        <v>20025.160000000003</v>
      </c>
      <c r="M20" s="6">
        <f t="shared" si="3"/>
        <v>25001.33</v>
      </c>
      <c r="N20" s="6">
        <f t="shared" si="3"/>
        <v>25443.46</v>
      </c>
      <c r="O20" s="6">
        <f t="shared" si="3"/>
        <v>0</v>
      </c>
      <c r="P20" s="6">
        <f t="shared" si="3"/>
        <v>0</v>
      </c>
      <c r="Q20" s="6">
        <f t="shared" si="3"/>
        <v>0</v>
      </c>
      <c r="R20" s="6">
        <f t="shared" si="3"/>
        <v>0</v>
      </c>
      <c r="S20" s="6">
        <f t="shared" si="3"/>
        <v>0</v>
      </c>
      <c r="T20" s="6">
        <f>(((((((((((((((((B20)+(C20))+(D20))+(E20))+(F20))+(G20))+(H20))+(I20))+(J20))+(K20))+(L20))+(M20))+(N20))+(O20))+(P20))+(Q20))+(R20))+(S20)</f>
        <v>155483.69</v>
      </c>
    </row>
    <row r="21" spans="1:20" x14ac:dyDescent="0.2">
      <c r="A21" s="3" t="s">
        <v>34</v>
      </c>
      <c r="B21" s="6">
        <f t="shared" ref="B21:S21" si="4">B20</f>
        <v>0</v>
      </c>
      <c r="C21" s="6">
        <f t="shared" si="4"/>
        <v>0</v>
      </c>
      <c r="D21" s="6">
        <f t="shared" si="4"/>
        <v>487.21</v>
      </c>
      <c r="E21" s="6">
        <f t="shared" si="4"/>
        <v>2655.69</v>
      </c>
      <c r="F21" s="6">
        <f t="shared" si="4"/>
        <v>8995.7900000000009</v>
      </c>
      <c r="G21" s="6">
        <f t="shared" si="4"/>
        <v>0</v>
      </c>
      <c r="H21" s="6">
        <f t="shared" si="4"/>
        <v>22434.15</v>
      </c>
      <c r="I21" s="6">
        <f t="shared" si="4"/>
        <v>13406.93</v>
      </c>
      <c r="J21" s="6">
        <f t="shared" si="4"/>
        <v>17615.310000000001</v>
      </c>
      <c r="K21" s="6">
        <f t="shared" si="4"/>
        <v>19418.66</v>
      </c>
      <c r="L21" s="6">
        <f t="shared" si="4"/>
        <v>20025.160000000003</v>
      </c>
      <c r="M21" s="6">
        <f t="shared" si="4"/>
        <v>25001.33</v>
      </c>
      <c r="N21" s="6">
        <f t="shared" si="4"/>
        <v>25443.46</v>
      </c>
      <c r="O21" s="6">
        <f t="shared" si="4"/>
        <v>0</v>
      </c>
      <c r="P21" s="6">
        <f t="shared" si="4"/>
        <v>0</v>
      </c>
      <c r="Q21" s="6">
        <f t="shared" si="4"/>
        <v>0</v>
      </c>
      <c r="R21" s="6">
        <f t="shared" si="4"/>
        <v>0</v>
      </c>
      <c r="S21" s="6">
        <f t="shared" si="4"/>
        <v>0</v>
      </c>
      <c r="T21" s="6">
        <f>(((((((((((((((((B21)+(C21))+(D21))+(E21))+(F21))+(G21))+(H21))+(I21))+(J21))+(K21))+(L21))+(M21))+(N21))+(O21))+(P21))+(Q21))+(R21))+(S21)</f>
        <v>155483.69</v>
      </c>
    </row>
    <row r="22" spans="1:20" x14ac:dyDescent="0.2">
      <c r="A22" s="3" t="s">
        <v>35</v>
      </c>
      <c r="B22" s="6">
        <f t="shared" ref="B22:S22" si="5">(B16)-(B21)</f>
        <v>0</v>
      </c>
      <c r="C22" s="6">
        <f t="shared" si="5"/>
        <v>0</v>
      </c>
      <c r="D22" s="6">
        <f t="shared" si="5"/>
        <v>21512.79</v>
      </c>
      <c r="E22" s="6">
        <f t="shared" si="5"/>
        <v>83744.929999999993</v>
      </c>
      <c r="F22" s="6">
        <f t="shared" si="5"/>
        <v>26726.450000000004</v>
      </c>
      <c r="G22" s="6">
        <f t="shared" si="5"/>
        <v>15672.75</v>
      </c>
      <c r="H22" s="6">
        <f t="shared" si="5"/>
        <v>77570.540000000008</v>
      </c>
      <c r="I22" s="6">
        <f t="shared" si="5"/>
        <v>83054.149999999994</v>
      </c>
      <c r="J22" s="6">
        <f t="shared" si="5"/>
        <v>40525.960000000006</v>
      </c>
      <c r="K22" s="6">
        <f t="shared" si="5"/>
        <v>68068.11</v>
      </c>
      <c r="L22" s="6">
        <f t="shared" si="5"/>
        <v>20719.690000000002</v>
      </c>
      <c r="M22" s="6">
        <f t="shared" si="5"/>
        <v>111750.82999999997</v>
      </c>
      <c r="N22" s="6">
        <f t="shared" si="5"/>
        <v>140046.67000000001</v>
      </c>
      <c r="O22" s="6">
        <f t="shared" si="5"/>
        <v>40079.71</v>
      </c>
      <c r="P22" s="6">
        <f t="shared" si="5"/>
        <v>27985.780000000002</v>
      </c>
      <c r="Q22" s="6">
        <f t="shared" si="5"/>
        <v>9323</v>
      </c>
      <c r="R22" s="6">
        <f t="shared" si="5"/>
        <v>0</v>
      </c>
      <c r="S22" s="6">
        <f t="shared" si="5"/>
        <v>0</v>
      </c>
      <c r="T22" s="6">
        <f>(((((((((((((((((B22)+(C22))+(D22))+(E22))+(F22))+(G22))+(H22))+(I22))+(J22))+(K22))+(L22))+(M22))+(N22))+(O22))+(P22))+(Q22))+(R22))+(S22)</f>
        <v>766781.36</v>
      </c>
    </row>
    <row r="23" spans="1:20" x14ac:dyDescent="0.2">
      <c r="A23" s="3" t="s">
        <v>36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3" t="s">
        <v>37</v>
      </c>
      <c r="B24" s="5">
        <f>858.8</f>
        <v>858.8</v>
      </c>
      <c r="C24" s="5">
        <f>2760</f>
        <v>2760</v>
      </c>
      <c r="D24" s="4"/>
      <c r="E24" s="5">
        <f>17.17</f>
        <v>17.170000000000002</v>
      </c>
      <c r="F24" s="5">
        <f>442.01</f>
        <v>442.01</v>
      </c>
      <c r="G24" s="4"/>
      <c r="H24" s="5">
        <f>2487.94</f>
        <v>2487.94</v>
      </c>
      <c r="I24" s="5">
        <f>13811.39</f>
        <v>13811.39</v>
      </c>
      <c r="J24" s="5">
        <f>17810.86</f>
        <v>17810.86</v>
      </c>
      <c r="K24" s="5">
        <f>7508.09</f>
        <v>7508.09</v>
      </c>
      <c r="L24" s="5">
        <f>2803.29</f>
        <v>2803.29</v>
      </c>
      <c r="M24" s="5">
        <f>9102.39</f>
        <v>9102.39</v>
      </c>
      <c r="N24" s="5">
        <f>3095.49</f>
        <v>3095.49</v>
      </c>
      <c r="O24" s="5">
        <f>4562.5</f>
        <v>4562.5</v>
      </c>
      <c r="P24" s="5">
        <f>3714.12</f>
        <v>3714.12</v>
      </c>
      <c r="Q24" s="5">
        <f>974.84</f>
        <v>974.84</v>
      </c>
      <c r="R24" s="4"/>
      <c r="S24" s="4"/>
      <c r="T24" s="5">
        <f t="shared" ref="T24:T46" si="6">(((((((((((((((((B24)+(C24))+(D24))+(E24))+(F24))+(G24))+(H24))+(I24))+(J24))+(K24))+(L24))+(M24))+(N24))+(O24))+(P24))+(Q24))+(R24))+(S24)</f>
        <v>69948.889999999985</v>
      </c>
    </row>
    <row r="25" spans="1:20" x14ac:dyDescent="0.2">
      <c r="A25" s="3" t="s">
        <v>38</v>
      </c>
      <c r="B25" s="4"/>
      <c r="C25" s="5">
        <f>96</f>
        <v>96</v>
      </c>
      <c r="D25" s="5">
        <f>167.74</f>
        <v>167.74</v>
      </c>
      <c r="E25" s="5">
        <f>348.07</f>
        <v>348.07</v>
      </c>
      <c r="F25" s="5">
        <f>83.5</f>
        <v>83.5</v>
      </c>
      <c r="G25" s="5">
        <f>101</f>
        <v>101</v>
      </c>
      <c r="H25" s="5">
        <f>934.49</f>
        <v>934.49</v>
      </c>
      <c r="I25" s="5">
        <f>106.97</f>
        <v>106.97</v>
      </c>
      <c r="J25" s="5">
        <f>119.1</f>
        <v>119.1</v>
      </c>
      <c r="K25" s="5">
        <f>111.72</f>
        <v>111.72</v>
      </c>
      <c r="L25" s="5">
        <f>126.8</f>
        <v>126.8</v>
      </c>
      <c r="M25" s="5">
        <f>191.75</f>
        <v>191.75</v>
      </c>
      <c r="N25" s="5">
        <f>130.77</f>
        <v>130.77000000000001</v>
      </c>
      <c r="O25" s="5">
        <f>353</f>
        <v>353</v>
      </c>
      <c r="P25" s="5">
        <f>447</f>
        <v>447</v>
      </c>
      <c r="Q25" s="5">
        <f>24</f>
        <v>24</v>
      </c>
      <c r="R25" s="4"/>
      <c r="S25" s="4"/>
      <c r="T25" s="5">
        <f t="shared" si="6"/>
        <v>3341.91</v>
      </c>
    </row>
    <row r="26" spans="1:20" x14ac:dyDescent="0.2">
      <c r="A26" s="3" t="s">
        <v>39</v>
      </c>
      <c r="B26" s="4"/>
      <c r="C26" s="4"/>
      <c r="D26" s="4"/>
      <c r="E26" s="4"/>
      <c r="F26" s="5">
        <f>14131.29</f>
        <v>14131.29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5">
        <f t="shared" si="6"/>
        <v>14131.29</v>
      </c>
    </row>
    <row r="27" spans="1:20" x14ac:dyDescent="0.2">
      <c r="A27" s="3" t="s">
        <v>40</v>
      </c>
      <c r="B27" s="4"/>
      <c r="C27" s="4"/>
      <c r="D27" s="4"/>
      <c r="E27" s="4"/>
      <c r="F27" s="4"/>
      <c r="G27" s="4"/>
      <c r="H27" s="4"/>
      <c r="I27" s="5">
        <f>6.08</f>
        <v>6.08</v>
      </c>
      <c r="J27" s="4"/>
      <c r="K27" s="4"/>
      <c r="L27" s="5">
        <f>700</f>
        <v>700</v>
      </c>
      <c r="M27" s="5">
        <f>859</f>
        <v>859</v>
      </c>
      <c r="N27" s="4"/>
      <c r="O27" s="4"/>
      <c r="P27" s="4"/>
      <c r="Q27" s="4"/>
      <c r="R27" s="4"/>
      <c r="S27" s="4"/>
      <c r="T27" s="5">
        <f t="shared" si="6"/>
        <v>1565.08</v>
      </c>
    </row>
    <row r="28" spans="1:20" x14ac:dyDescent="0.2">
      <c r="A28" s="3" t="s">
        <v>41</v>
      </c>
      <c r="B28" s="4"/>
      <c r="C28" s="4"/>
      <c r="D28" s="4"/>
      <c r="E28" s="5">
        <f>33000</f>
        <v>33000</v>
      </c>
      <c r="F28" s="4"/>
      <c r="G28" s="5">
        <f>42000</f>
        <v>42000</v>
      </c>
      <c r="H28" s="4"/>
      <c r="I28" s="5">
        <f>40026</f>
        <v>40026</v>
      </c>
      <c r="J28" s="4"/>
      <c r="K28" s="5">
        <f>44000</f>
        <v>44000</v>
      </c>
      <c r="L28" s="4"/>
      <c r="M28" s="5">
        <f>44000</f>
        <v>44000</v>
      </c>
      <c r="N28" s="5">
        <f>64988</f>
        <v>64988</v>
      </c>
      <c r="O28" s="4"/>
      <c r="P28" s="5">
        <f>30000</f>
        <v>30000</v>
      </c>
      <c r="Q28" s="5">
        <f>15000</f>
        <v>15000</v>
      </c>
      <c r="R28" s="4"/>
      <c r="S28" s="4"/>
      <c r="T28" s="5">
        <f t="shared" si="6"/>
        <v>313014</v>
      </c>
    </row>
    <row r="29" spans="1:20" x14ac:dyDescent="0.2">
      <c r="A29" s="3" t="s">
        <v>42</v>
      </c>
      <c r="B29" s="4"/>
      <c r="C29" s="4"/>
      <c r="D29" s="4"/>
      <c r="E29" s="5">
        <f>40.94</f>
        <v>40.94</v>
      </c>
      <c r="F29" s="5">
        <f>848.31</f>
        <v>848.31</v>
      </c>
      <c r="G29" s="5">
        <f>-765.31</f>
        <v>-765.31</v>
      </c>
      <c r="H29" s="5">
        <f>305.74</f>
        <v>305.74</v>
      </c>
      <c r="I29" s="5">
        <f>-386.74</f>
        <v>-386.74</v>
      </c>
      <c r="J29" s="5">
        <f>151</f>
        <v>151</v>
      </c>
      <c r="K29" s="5">
        <f>136</f>
        <v>136</v>
      </c>
      <c r="L29" s="4"/>
      <c r="M29" s="4"/>
      <c r="N29" s="5">
        <f>39.95</f>
        <v>39.950000000000003</v>
      </c>
      <c r="O29" s="4"/>
      <c r="P29" s="5">
        <f>150</f>
        <v>150</v>
      </c>
      <c r="Q29" s="4"/>
      <c r="R29" s="4"/>
      <c r="S29" s="4"/>
      <c r="T29" s="5">
        <f t="shared" si="6"/>
        <v>519.8900000000001</v>
      </c>
    </row>
    <row r="30" spans="1:20" x14ac:dyDescent="0.2">
      <c r="A30" s="3" t="s">
        <v>43</v>
      </c>
      <c r="B30" s="5">
        <f>3000</f>
        <v>3000</v>
      </c>
      <c r="C30" s="5">
        <f>4064.9</f>
        <v>4064.9</v>
      </c>
      <c r="D30" s="5">
        <f>17194.6</f>
        <v>17194.599999999999</v>
      </c>
      <c r="E30" s="5">
        <f>3774.85</f>
        <v>3774.85</v>
      </c>
      <c r="F30" s="5">
        <f>8376.26</f>
        <v>8376.26</v>
      </c>
      <c r="G30" s="4"/>
      <c r="H30" s="5">
        <f>17720.55</f>
        <v>17720.55</v>
      </c>
      <c r="I30" s="5">
        <f>4102.22</f>
        <v>4102.22</v>
      </c>
      <c r="J30" s="5">
        <f>4385.99</f>
        <v>4385.99</v>
      </c>
      <c r="K30" s="5">
        <f>6344.31</f>
        <v>6344.31</v>
      </c>
      <c r="L30" s="5">
        <f>4521.29</f>
        <v>4521.29</v>
      </c>
      <c r="M30" s="5">
        <f>4529.09</f>
        <v>4529.09</v>
      </c>
      <c r="N30" s="5">
        <f>9190.76</f>
        <v>9190.76</v>
      </c>
      <c r="O30" s="5">
        <f>7776</f>
        <v>7776</v>
      </c>
      <c r="P30" s="5">
        <f>460</f>
        <v>460</v>
      </c>
      <c r="Q30" s="4"/>
      <c r="R30" s="4"/>
      <c r="S30" s="4"/>
      <c r="T30" s="5">
        <f t="shared" si="6"/>
        <v>95440.819999999992</v>
      </c>
    </row>
    <row r="31" spans="1:20" x14ac:dyDescent="0.2">
      <c r="A31" s="3" t="s">
        <v>44</v>
      </c>
      <c r="B31" s="4"/>
      <c r="C31" s="4"/>
      <c r="D31" s="5">
        <f>113.09</f>
        <v>113.09</v>
      </c>
      <c r="E31" s="5">
        <f>725.96</f>
        <v>725.96</v>
      </c>
      <c r="F31" s="5">
        <f>94.31</f>
        <v>94.31</v>
      </c>
      <c r="G31" s="5">
        <f>123.87</f>
        <v>123.87</v>
      </c>
      <c r="H31" s="5">
        <f>171.41</f>
        <v>171.41</v>
      </c>
      <c r="I31" s="5">
        <f>280.77</f>
        <v>280.77</v>
      </c>
      <c r="J31" s="5">
        <f>176.2</f>
        <v>176.2</v>
      </c>
      <c r="K31" s="5">
        <f>626.76</f>
        <v>626.76</v>
      </c>
      <c r="L31" s="4"/>
      <c r="M31" s="5">
        <f>764.72</f>
        <v>764.72</v>
      </c>
      <c r="N31" s="5">
        <f>1138.55</f>
        <v>1138.55</v>
      </c>
      <c r="O31" s="5">
        <f>417.09</f>
        <v>417.09</v>
      </c>
      <c r="P31" s="4"/>
      <c r="Q31" s="4"/>
      <c r="R31" s="4"/>
      <c r="S31" s="4"/>
      <c r="T31" s="5">
        <f t="shared" si="6"/>
        <v>4632.7300000000005</v>
      </c>
    </row>
    <row r="32" spans="1:20" x14ac:dyDescent="0.2">
      <c r="A32" s="3" t="s">
        <v>45</v>
      </c>
      <c r="B32" s="5">
        <f>18.22</f>
        <v>18.22</v>
      </c>
      <c r="C32" s="5">
        <f>15</f>
        <v>15</v>
      </c>
      <c r="D32" s="5">
        <f>34.25</f>
        <v>34.25</v>
      </c>
      <c r="E32" s="5">
        <f>406.59</f>
        <v>406.59</v>
      </c>
      <c r="F32" s="5">
        <f>970.15</f>
        <v>970.15</v>
      </c>
      <c r="G32" s="5">
        <f>13.95</f>
        <v>13.95</v>
      </c>
      <c r="H32" s="5">
        <f>1139.28</f>
        <v>1139.28</v>
      </c>
      <c r="I32" s="5">
        <f>554.35</f>
        <v>554.35</v>
      </c>
      <c r="J32" s="5">
        <f>234.03</f>
        <v>234.03</v>
      </c>
      <c r="K32" s="5">
        <f>108.67</f>
        <v>108.67</v>
      </c>
      <c r="L32" s="5">
        <f>103.85</f>
        <v>103.85</v>
      </c>
      <c r="M32" s="5">
        <f>104.42</f>
        <v>104.42</v>
      </c>
      <c r="N32" s="5">
        <f>104.6</f>
        <v>104.6</v>
      </c>
      <c r="O32" s="5">
        <f>302.81</f>
        <v>302.81</v>
      </c>
      <c r="P32" s="4"/>
      <c r="Q32" s="4"/>
      <c r="R32" s="4"/>
      <c r="S32" s="4"/>
      <c r="T32" s="5">
        <f t="shared" si="6"/>
        <v>4110.17</v>
      </c>
    </row>
    <row r="33" spans="1:20" x14ac:dyDescent="0.2">
      <c r="A33" s="3" t="s">
        <v>46</v>
      </c>
      <c r="B33" s="4"/>
      <c r="C33" s="5">
        <f>121.72</f>
        <v>121.72</v>
      </c>
      <c r="D33" s="5">
        <f>73.99</f>
        <v>73.989999999999995</v>
      </c>
      <c r="E33" s="5">
        <f>623.86</f>
        <v>623.86</v>
      </c>
      <c r="F33" s="5">
        <f>2426.37</f>
        <v>2426.37</v>
      </c>
      <c r="G33" s="4"/>
      <c r="H33" s="5">
        <f>3033.28</f>
        <v>3033.28</v>
      </c>
      <c r="I33" s="5">
        <f>1475.11</f>
        <v>1475.11</v>
      </c>
      <c r="J33" s="5">
        <f>1516.27</f>
        <v>1516.27</v>
      </c>
      <c r="K33" s="5">
        <f>1575.51</f>
        <v>1575.51</v>
      </c>
      <c r="L33" s="5">
        <f>1503.92</f>
        <v>1503.92</v>
      </c>
      <c r="M33" s="5">
        <f>1943.72</f>
        <v>1943.72</v>
      </c>
      <c r="N33" s="5">
        <f>1710.16</f>
        <v>1710.16</v>
      </c>
      <c r="O33" s="4"/>
      <c r="P33" s="4"/>
      <c r="Q33" s="4"/>
      <c r="R33" s="4"/>
      <c r="S33" s="4"/>
      <c r="T33" s="5">
        <f t="shared" si="6"/>
        <v>16003.909999999998</v>
      </c>
    </row>
    <row r="34" spans="1:20" x14ac:dyDescent="0.2">
      <c r="A34" s="3" t="s">
        <v>47</v>
      </c>
      <c r="B34" s="4"/>
      <c r="C34" s="5">
        <f>567.41</f>
        <v>567.41</v>
      </c>
      <c r="D34" s="5">
        <f>420.02</f>
        <v>420.02</v>
      </c>
      <c r="E34" s="5">
        <f>1694.99</f>
        <v>1694.99</v>
      </c>
      <c r="F34" s="5">
        <f>6946.06</f>
        <v>6946.06</v>
      </c>
      <c r="G34" s="5">
        <f>347.02</f>
        <v>347.02</v>
      </c>
      <c r="H34" s="5">
        <f>12114.87</f>
        <v>12114.87</v>
      </c>
      <c r="I34" s="5">
        <f>5934.92</f>
        <v>5934.92</v>
      </c>
      <c r="J34" s="5">
        <f>5938.41</f>
        <v>5938.41</v>
      </c>
      <c r="K34" s="5">
        <f>5895.24</f>
        <v>5895.24</v>
      </c>
      <c r="L34" s="5">
        <f>5900.92</f>
        <v>5900.92</v>
      </c>
      <c r="M34" s="5">
        <f>5933.22</f>
        <v>5933.22</v>
      </c>
      <c r="N34" s="5">
        <f>5943.61</f>
        <v>5943.61</v>
      </c>
      <c r="O34" s="4"/>
      <c r="P34" s="4"/>
      <c r="Q34" s="4"/>
      <c r="R34" s="4"/>
      <c r="S34" s="4"/>
      <c r="T34" s="5">
        <f t="shared" si="6"/>
        <v>57636.689999999995</v>
      </c>
    </row>
    <row r="35" spans="1:20" x14ac:dyDescent="0.2">
      <c r="A35" s="3" t="s">
        <v>48</v>
      </c>
      <c r="B35" s="4"/>
      <c r="C35" s="5">
        <f>229.29</f>
        <v>229.29</v>
      </c>
      <c r="D35" s="4"/>
      <c r="E35" s="4"/>
      <c r="F35" s="4"/>
      <c r="G35" s="4"/>
      <c r="H35" s="4"/>
      <c r="I35" s="4"/>
      <c r="J35" s="4"/>
      <c r="K35" s="5">
        <f>79.13</f>
        <v>79.13</v>
      </c>
      <c r="L35" s="4"/>
      <c r="M35" s="4"/>
      <c r="N35" s="4"/>
      <c r="O35" s="4"/>
      <c r="P35" s="4"/>
      <c r="Q35" s="4"/>
      <c r="R35" s="4"/>
      <c r="S35" s="4"/>
      <c r="T35" s="5">
        <f t="shared" si="6"/>
        <v>308.41999999999996</v>
      </c>
    </row>
    <row r="36" spans="1:20" x14ac:dyDescent="0.2">
      <c r="A36" s="3" t="s">
        <v>49</v>
      </c>
      <c r="B36" s="5">
        <f>474</f>
        <v>474</v>
      </c>
      <c r="C36" s="5">
        <f>384</f>
        <v>384</v>
      </c>
      <c r="D36" s="5">
        <f>813.45</f>
        <v>813.45</v>
      </c>
      <c r="E36" s="5">
        <f>576.91</f>
        <v>576.91</v>
      </c>
      <c r="F36" s="5">
        <f>2705.19</f>
        <v>2705.19</v>
      </c>
      <c r="G36" s="5">
        <f>1070.75</f>
        <v>1070.75</v>
      </c>
      <c r="H36" s="5">
        <f>902.35</f>
        <v>902.35</v>
      </c>
      <c r="I36" s="5">
        <f>3218.47</f>
        <v>3218.47</v>
      </c>
      <c r="J36" s="5">
        <f>6887.96</f>
        <v>6887.96</v>
      </c>
      <c r="K36" s="5">
        <f>2445.11</f>
        <v>2445.11</v>
      </c>
      <c r="L36" s="5">
        <f>2586</f>
        <v>2586</v>
      </c>
      <c r="M36" s="5">
        <f>2723.34</f>
        <v>2723.34</v>
      </c>
      <c r="N36" s="5">
        <f>9657.89</f>
        <v>9657.89</v>
      </c>
      <c r="O36" s="5">
        <f>1927.89</f>
        <v>1927.89</v>
      </c>
      <c r="P36" s="5">
        <f>1896.53</f>
        <v>1896.53</v>
      </c>
      <c r="Q36" s="5">
        <f>479.2</f>
        <v>479.2</v>
      </c>
      <c r="R36" s="4"/>
      <c r="S36" s="4"/>
      <c r="T36" s="5">
        <f t="shared" si="6"/>
        <v>38749.039999999994</v>
      </c>
    </row>
    <row r="37" spans="1:20" x14ac:dyDescent="0.2">
      <c r="A37" s="3" t="s">
        <v>50</v>
      </c>
      <c r="B37" s="4"/>
      <c r="C37" s="5">
        <f>456</f>
        <v>456</v>
      </c>
      <c r="D37" s="5">
        <f>86.96</f>
        <v>86.96</v>
      </c>
      <c r="E37" s="5">
        <f>5047.2</f>
        <v>5047.2</v>
      </c>
      <c r="F37" s="5">
        <f>-2405.02</f>
        <v>-2405.02</v>
      </c>
      <c r="G37" s="5">
        <f>600</f>
        <v>600</v>
      </c>
      <c r="H37" s="5">
        <f>3198.67</f>
        <v>3198.67</v>
      </c>
      <c r="I37" s="5">
        <f>8680.48</f>
        <v>8680.48</v>
      </c>
      <c r="J37" s="5">
        <f>-2197.05</f>
        <v>-2197.0500000000002</v>
      </c>
      <c r="K37" s="5">
        <f>5904.46</f>
        <v>5904.46</v>
      </c>
      <c r="L37" s="5">
        <f>-1906.65</f>
        <v>-1906.65</v>
      </c>
      <c r="M37" s="5">
        <f>2366.6</f>
        <v>2366.6</v>
      </c>
      <c r="N37" s="5">
        <f>6242.72</f>
        <v>6242.72</v>
      </c>
      <c r="O37" s="5">
        <f>3184</f>
        <v>3184</v>
      </c>
      <c r="P37" s="5">
        <f>8314</f>
        <v>8314</v>
      </c>
      <c r="Q37" s="4"/>
      <c r="R37" s="4"/>
      <c r="S37" s="4"/>
      <c r="T37" s="5">
        <f t="shared" si="6"/>
        <v>37572.369999999995</v>
      </c>
    </row>
    <row r="38" spans="1:20" x14ac:dyDescent="0.2">
      <c r="A38" s="3" t="s">
        <v>51</v>
      </c>
      <c r="B38" s="4"/>
      <c r="C38" s="5">
        <f>1829.86</f>
        <v>1829.86</v>
      </c>
      <c r="D38" s="5">
        <f>1057.72</f>
        <v>1057.72</v>
      </c>
      <c r="E38" s="5">
        <f>260.12</f>
        <v>260.12</v>
      </c>
      <c r="F38" s="5">
        <f>1498.55</f>
        <v>1498.55</v>
      </c>
      <c r="G38" s="5">
        <f>2323.38</f>
        <v>2323.38</v>
      </c>
      <c r="H38" s="5">
        <f>2703.16</f>
        <v>2703.16</v>
      </c>
      <c r="I38" s="5">
        <f>6865.7</f>
        <v>6865.7</v>
      </c>
      <c r="J38" s="5">
        <f>2231.11</f>
        <v>2231.11</v>
      </c>
      <c r="K38" s="5">
        <f>7981.4</f>
        <v>7981.4</v>
      </c>
      <c r="L38" s="5">
        <f>-4468.29</f>
        <v>-4468.29</v>
      </c>
      <c r="M38" s="5">
        <f>3401.29</f>
        <v>3401.29</v>
      </c>
      <c r="N38" s="5">
        <f>93.62</f>
        <v>93.62</v>
      </c>
      <c r="O38" s="4"/>
      <c r="P38" s="4"/>
      <c r="Q38" s="4"/>
      <c r="R38" s="4"/>
      <c r="S38" s="4"/>
      <c r="T38" s="5">
        <f t="shared" si="6"/>
        <v>25777.62</v>
      </c>
    </row>
    <row r="39" spans="1:20" x14ac:dyDescent="0.2">
      <c r="A39" s="3" t="s">
        <v>52</v>
      </c>
      <c r="B39" s="4"/>
      <c r="C39" s="4"/>
      <c r="D39" s="5">
        <f>56.54</f>
        <v>56.54</v>
      </c>
      <c r="E39" s="4"/>
      <c r="F39" s="5">
        <f>215.06</f>
        <v>215.06</v>
      </c>
      <c r="G39" s="5">
        <f>410.79</f>
        <v>410.79</v>
      </c>
      <c r="H39" s="5">
        <f>125.19</f>
        <v>125.19</v>
      </c>
      <c r="I39" s="5">
        <f>159.94</f>
        <v>159.94</v>
      </c>
      <c r="J39" s="5">
        <f>406.58</f>
        <v>406.58</v>
      </c>
      <c r="K39" s="5">
        <f>223.23</f>
        <v>223.23</v>
      </c>
      <c r="L39" s="5">
        <f>300.49</f>
        <v>300.49</v>
      </c>
      <c r="M39" s="5">
        <f>40.34</f>
        <v>40.340000000000003</v>
      </c>
      <c r="N39" s="4"/>
      <c r="O39" s="5">
        <f>32.93</f>
        <v>32.93</v>
      </c>
      <c r="P39" s="4"/>
      <c r="Q39" s="4"/>
      <c r="R39" s="4"/>
      <c r="S39" s="4"/>
      <c r="T39" s="5">
        <f t="shared" si="6"/>
        <v>1971.0900000000001</v>
      </c>
    </row>
    <row r="40" spans="1:20" x14ac:dyDescent="0.2">
      <c r="A40" s="3" t="s">
        <v>53</v>
      </c>
      <c r="B40" s="4"/>
      <c r="C40" s="4"/>
      <c r="D40" s="4"/>
      <c r="E40" s="5">
        <f>256.17</f>
        <v>256.17</v>
      </c>
      <c r="F40" s="5">
        <f>-113.93</f>
        <v>-113.93</v>
      </c>
      <c r="G40" s="5">
        <f>81.65</f>
        <v>81.650000000000006</v>
      </c>
      <c r="H40" s="5">
        <f>349.14</f>
        <v>349.14</v>
      </c>
      <c r="I40" s="5">
        <f>129.76</f>
        <v>129.76</v>
      </c>
      <c r="J40" s="4"/>
      <c r="K40" s="5">
        <f>15.86</f>
        <v>15.86</v>
      </c>
      <c r="L40" s="4"/>
      <c r="M40" s="5">
        <f>483.13</f>
        <v>483.13</v>
      </c>
      <c r="N40" s="4"/>
      <c r="O40" s="4"/>
      <c r="P40" s="4"/>
      <c r="Q40" s="5">
        <f>299</f>
        <v>299</v>
      </c>
      <c r="R40" s="4"/>
      <c r="S40" s="4"/>
      <c r="T40" s="5">
        <f t="shared" si="6"/>
        <v>1500.78</v>
      </c>
    </row>
    <row r="41" spans="1:20" x14ac:dyDescent="0.2">
      <c r="A41" s="3" t="s">
        <v>54</v>
      </c>
      <c r="B41" s="4"/>
      <c r="C41" s="4"/>
      <c r="D41" s="4"/>
      <c r="E41" s="5">
        <f>8.4</f>
        <v>8.4</v>
      </c>
      <c r="F41" s="5">
        <f>111.25</f>
        <v>111.25</v>
      </c>
      <c r="G41" s="4"/>
      <c r="H41" s="5">
        <f>196.75</f>
        <v>196.75</v>
      </c>
      <c r="I41" s="5">
        <f>84.28</f>
        <v>84.28</v>
      </c>
      <c r="J41" s="5">
        <f>185.95</f>
        <v>185.95</v>
      </c>
      <c r="K41" s="5">
        <f>108.97</f>
        <v>108.97</v>
      </c>
      <c r="L41" s="5">
        <f>87.88</f>
        <v>87.88</v>
      </c>
      <c r="M41" s="5">
        <f>143.71</f>
        <v>143.71</v>
      </c>
      <c r="N41" s="5">
        <f>160.28</f>
        <v>160.28</v>
      </c>
      <c r="O41" s="4"/>
      <c r="P41" s="4"/>
      <c r="Q41" s="4"/>
      <c r="R41" s="4"/>
      <c r="S41" s="4"/>
      <c r="T41" s="5">
        <f t="shared" si="6"/>
        <v>1087.47</v>
      </c>
    </row>
    <row r="42" spans="1:20" x14ac:dyDescent="0.2">
      <c r="A42" s="3" t="s">
        <v>55</v>
      </c>
      <c r="B42" s="4"/>
      <c r="C42" s="4"/>
      <c r="D42" s="4"/>
      <c r="E42" s="4"/>
      <c r="F42" s="4"/>
      <c r="G42" s="4"/>
      <c r="H42" s="5">
        <f>171.63</f>
        <v>171.63</v>
      </c>
      <c r="I42" s="5">
        <f>171.96</f>
        <v>171.96</v>
      </c>
      <c r="J42" s="5">
        <f>-0.02</f>
        <v>-0.02</v>
      </c>
      <c r="K42" s="5">
        <f>345.59</f>
        <v>345.59</v>
      </c>
      <c r="L42" s="4"/>
      <c r="M42" s="5">
        <f>313.91</f>
        <v>313.91000000000003</v>
      </c>
      <c r="N42" s="5">
        <f>491.57</f>
        <v>491.57</v>
      </c>
      <c r="O42" s="4"/>
      <c r="P42" s="4"/>
      <c r="Q42" s="4"/>
      <c r="R42" s="4"/>
      <c r="S42" s="4"/>
      <c r="T42" s="5">
        <f t="shared" si="6"/>
        <v>1494.64</v>
      </c>
    </row>
    <row r="43" spans="1:20" x14ac:dyDescent="0.2">
      <c r="A43" s="3" t="s">
        <v>56</v>
      </c>
      <c r="B43" s="4"/>
      <c r="C43" s="4"/>
      <c r="D43" s="4"/>
      <c r="E43" s="4"/>
      <c r="F43" s="4"/>
      <c r="G43" s="4"/>
      <c r="H43" s="4"/>
      <c r="I43" s="5">
        <f>48.04</f>
        <v>48.04</v>
      </c>
      <c r="J43" s="4"/>
      <c r="K43" s="4"/>
      <c r="L43" s="5">
        <f>76.74</f>
        <v>76.739999999999995</v>
      </c>
      <c r="M43" s="5">
        <f>126.01</f>
        <v>126.01</v>
      </c>
      <c r="N43" s="5">
        <f>85.97</f>
        <v>85.97</v>
      </c>
      <c r="O43" s="5">
        <f>139.99</f>
        <v>139.99</v>
      </c>
      <c r="P43" s="4"/>
      <c r="Q43" s="4"/>
      <c r="R43" s="4"/>
      <c r="S43" s="4"/>
      <c r="T43" s="5">
        <f t="shared" si="6"/>
        <v>476.75</v>
      </c>
    </row>
    <row r="44" spans="1:20" x14ac:dyDescent="0.2">
      <c r="A44" s="3" t="s">
        <v>57</v>
      </c>
      <c r="B44" s="6">
        <f t="shared" ref="B44:S44" si="7">(((((((((((((((((((B24)+(B25))+(B26))+(B27))+(B28))+(B29))+(B30))+(B31))+(B32))+(B33))+(B34))+(B35))+(B36))+(B37))+(B38))+(B39))+(B40))+(B41))+(B42))+(B43)</f>
        <v>4351.0200000000004</v>
      </c>
      <c r="C44" s="6">
        <f t="shared" si="7"/>
        <v>10524.18</v>
      </c>
      <c r="D44" s="6">
        <f t="shared" si="7"/>
        <v>20018.360000000004</v>
      </c>
      <c r="E44" s="6">
        <f t="shared" si="7"/>
        <v>46781.229999999996</v>
      </c>
      <c r="F44" s="6">
        <f t="shared" si="7"/>
        <v>36329.360000000008</v>
      </c>
      <c r="G44" s="6">
        <f t="shared" si="7"/>
        <v>46307.1</v>
      </c>
      <c r="H44" s="6">
        <f t="shared" si="7"/>
        <v>45554.44999999999</v>
      </c>
      <c r="I44" s="6">
        <f t="shared" si="7"/>
        <v>85269.7</v>
      </c>
      <c r="J44" s="6">
        <f t="shared" si="7"/>
        <v>37846.39</v>
      </c>
      <c r="K44" s="6">
        <f t="shared" si="7"/>
        <v>83410.05</v>
      </c>
      <c r="L44" s="6">
        <f t="shared" si="7"/>
        <v>12336.24</v>
      </c>
      <c r="M44" s="6">
        <f t="shared" si="7"/>
        <v>77026.64</v>
      </c>
      <c r="N44" s="6">
        <f t="shared" si="7"/>
        <v>103073.94</v>
      </c>
      <c r="O44" s="6">
        <f t="shared" si="7"/>
        <v>18696.210000000003</v>
      </c>
      <c r="P44" s="6">
        <f t="shared" si="7"/>
        <v>44981.65</v>
      </c>
      <c r="Q44" s="6">
        <f t="shared" si="7"/>
        <v>16777.04</v>
      </c>
      <c r="R44" s="6">
        <f t="shared" si="7"/>
        <v>0</v>
      </c>
      <c r="S44" s="6">
        <f t="shared" si="7"/>
        <v>0</v>
      </c>
      <c r="T44" s="6">
        <f t="shared" si="6"/>
        <v>689283.56</v>
      </c>
    </row>
    <row r="45" spans="1:20" x14ac:dyDescent="0.2">
      <c r="A45" s="3" t="s">
        <v>58</v>
      </c>
      <c r="B45" s="6">
        <f t="shared" ref="B45:S45" si="8">(B22)-(B44)</f>
        <v>-4351.0200000000004</v>
      </c>
      <c r="C45" s="6">
        <f t="shared" si="8"/>
        <v>-10524.18</v>
      </c>
      <c r="D45" s="6">
        <f t="shared" si="8"/>
        <v>1494.4299999999967</v>
      </c>
      <c r="E45" s="6">
        <f t="shared" si="8"/>
        <v>36963.699999999997</v>
      </c>
      <c r="F45" s="6">
        <f t="shared" si="8"/>
        <v>-9602.9100000000035</v>
      </c>
      <c r="G45" s="6">
        <f t="shared" si="8"/>
        <v>-30634.35</v>
      </c>
      <c r="H45" s="6">
        <f t="shared" si="8"/>
        <v>32016.090000000018</v>
      </c>
      <c r="I45" s="6">
        <f t="shared" si="8"/>
        <v>-2215.5500000000029</v>
      </c>
      <c r="J45" s="6">
        <f t="shared" si="8"/>
        <v>2679.570000000007</v>
      </c>
      <c r="K45" s="6">
        <f t="shared" si="8"/>
        <v>-15341.940000000002</v>
      </c>
      <c r="L45" s="6">
        <f t="shared" si="8"/>
        <v>8383.4500000000025</v>
      </c>
      <c r="M45" s="6">
        <f t="shared" si="8"/>
        <v>34724.189999999973</v>
      </c>
      <c r="N45" s="6">
        <f t="shared" si="8"/>
        <v>36972.73000000001</v>
      </c>
      <c r="O45" s="6">
        <f t="shared" si="8"/>
        <v>21383.499999999996</v>
      </c>
      <c r="P45" s="6">
        <f t="shared" si="8"/>
        <v>-16995.87</v>
      </c>
      <c r="Q45" s="6">
        <f t="shared" si="8"/>
        <v>-7454.0400000000009</v>
      </c>
      <c r="R45" s="6">
        <f t="shared" si="8"/>
        <v>0</v>
      </c>
      <c r="S45" s="6">
        <f t="shared" si="8"/>
        <v>0</v>
      </c>
      <c r="T45" s="6">
        <f t="shared" si="6"/>
        <v>77497.799999999988</v>
      </c>
    </row>
    <row r="46" spans="1:20" x14ac:dyDescent="0.2">
      <c r="A46" s="3" t="s">
        <v>59</v>
      </c>
      <c r="B46" s="7">
        <f t="shared" ref="B46:S46" si="9">(B45)+(0)</f>
        <v>-4351.0200000000004</v>
      </c>
      <c r="C46" s="7">
        <f t="shared" si="9"/>
        <v>-10524.18</v>
      </c>
      <c r="D46" s="7">
        <f t="shared" si="9"/>
        <v>1494.4299999999967</v>
      </c>
      <c r="E46" s="7">
        <f t="shared" si="9"/>
        <v>36963.699999999997</v>
      </c>
      <c r="F46" s="7">
        <f t="shared" si="9"/>
        <v>-9602.9100000000035</v>
      </c>
      <c r="G46" s="7">
        <f t="shared" si="9"/>
        <v>-30634.35</v>
      </c>
      <c r="H46" s="7">
        <f t="shared" si="9"/>
        <v>32016.090000000018</v>
      </c>
      <c r="I46" s="7">
        <f t="shared" si="9"/>
        <v>-2215.5500000000029</v>
      </c>
      <c r="J46" s="7">
        <f t="shared" si="9"/>
        <v>2679.570000000007</v>
      </c>
      <c r="K46" s="7">
        <f t="shared" si="9"/>
        <v>-15341.940000000002</v>
      </c>
      <c r="L46" s="7">
        <f t="shared" si="9"/>
        <v>8383.4500000000025</v>
      </c>
      <c r="M46" s="7">
        <f t="shared" si="9"/>
        <v>34724.189999999973</v>
      </c>
      <c r="N46" s="7">
        <f t="shared" si="9"/>
        <v>36972.73000000001</v>
      </c>
      <c r="O46" s="7">
        <f t="shared" si="9"/>
        <v>21383.499999999996</v>
      </c>
      <c r="P46" s="7">
        <f t="shared" si="9"/>
        <v>-16995.87</v>
      </c>
      <c r="Q46" s="7">
        <f t="shared" si="9"/>
        <v>-7454.0400000000009</v>
      </c>
      <c r="R46" s="7">
        <f t="shared" si="9"/>
        <v>0</v>
      </c>
      <c r="S46" s="7">
        <f t="shared" si="9"/>
        <v>0</v>
      </c>
      <c r="T46" s="7">
        <f t="shared" si="6"/>
        <v>77497.799999999988</v>
      </c>
    </row>
    <row r="47" spans="1:20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50" spans="1:20" x14ac:dyDescent="0.2">
      <c r="A50" s="8" t="s">
        <v>60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</sheetData>
  <mergeCells count="4">
    <mergeCell ref="A50:T50"/>
    <mergeCell ref="A1:T1"/>
    <mergeCell ref="A2:T2"/>
    <mergeCell ref="A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2021-08-09T08:10:40Z</dcterms:created>
  <dcterms:modified xsi:type="dcterms:W3CDTF">2021-08-09T08:12:22Z</dcterms:modified>
</cp:coreProperties>
</file>