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spinner. " sheetId="1" state="visible" r:id="rId2"/>
  </sheets>
  <definedNames>
    <definedName function="false" hidden="false" name="BoardQty" vbProcedure="false">'electrospinner. '!$I$1</definedName>
    <definedName function="false" hidden="false" name="global_part_data" vbProcedure="false">'electrospinner. '!$A$5:$I$35</definedName>
    <definedName function="false" hidden="false" name="mouser_part_data" vbProcedure="false">'electrospinner. '!$J$5:$N$35</definedName>
    <definedName function="false" hidden="false" name="TotalCost" vbProcedure="false">'electrospinner. '!$I$3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H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H37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37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$1.25      $1.25
    10   $1.25     $12.50
    50   $1.25     $62.50
   100   $1.25    $125.00
  1000   $1.25  $1,250.00
 10000   $1.25 $12,500.00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10   $0.75      $7.50
    50   $0.75     $37.50
   100   $0.47     $47.30
  1000   $0.39    $388.00
 10000   $0.25  $2,470.00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$0.32      $0.32
    10   $0.22      $2.25
    50   $0.22     $11.25
   100   $0.14     $13.50
  1000   $0.09     $86.00
 10000   $0.06    $650.00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$0.82      $0.82
    10   $0.53      $5.26
    50   $0.53     $26.30
   100   $0.32     $31.80
  1000   $0.27    $267.00
 10000   $0.16  $1,630.00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$0.59      $0.59
    10   $0.34      $3.44
    50   $0.34     $17.20
   100   $0.23     $23.30
  1000   $0.19    $194.00
 10000   $0.12  $1,190.00</t>
        </r>
      </text>
    </comment>
    <comment ref="L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10   $0.26      $2.64
    50   $0.26     $13.20
   100   $0.15     $15.00
  1000   $0.09     $92.00
 10000   $0.07    $690.00</t>
        </r>
      </text>
    </comment>
    <comment ref="L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$0.40      $3.95
    50   $0.40     $19.75
   100   $0.24     $24.10
  1000   $0.20    $201.00
 10000   $0.12  $1,230.00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$0.73      $0.73
    10   $0.64      $6.37
    50   $0.64     $31.85
   100   $0.45     $45.40
  1000   $0.27    $269.00
 10000   $0.24  $2,370.00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$0.04      $0.37
    50   $0.04      $1.85
   100   $0.01      $1.30
  1000   $0.01     $10.00
 10000   $0.01     $60.00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$0.04      $0.37
    50   $0.04      $1.85
   100   $0.01      $1.30
  1000   $0.01     $10.00
 10000   $0.01     $60.00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L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$0.06      $0.65
    50   $0.06      $3.25
   100   $0.04      $3.50
  1000   $0.01     $12.00
 10000   $0.01     $60.00</t>
        </r>
      </text>
    </comment>
    <comment ref="L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L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L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$0.06      $0.64
    50   $0.06      $3.20
   100   $0.02      $2.30
  1000   $0.02     $16.00
 10000   $0.01    $100.00</t>
        </r>
      </text>
    </comment>
    <comment ref="L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$2.04      $2.04
    10   $2.04     $20.40
    50   $1.97     $98.50
   100   $1.90    $190.00
  1000   $1.46  $1,460.00
 10000   $1.40 $14,000.00</t>
        </r>
      </text>
    </comment>
    <comment ref="L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$2.15      $2.15
    10   $1.83     $18.30
    50   $1.83     $91.50
   100   $1.46    $146.00
  1000   $1.06  $1,060.00
 10000   $0.95  $9,490.00</t>
        </r>
      </text>
    </comment>
    <comment ref="L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$2.46      $2.46
    10   $2.09     $20.90
    50   $2.09    $104.50
   100   $1.68    $168.00
  1000   $1.22  $1,220.00
 10000   $1.09 $10,900.00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<sst xmlns="http://schemas.openxmlformats.org/spreadsheetml/2006/main" count="165" uniqueCount="137">
  <si>
    <t xml:space="preserve">Prj:</t>
  </si>
  <si>
    <t xml:space="preserve">electrospinner.xml</t>
  </si>
  <si>
    <t xml:space="preserve">Board Qty:</t>
  </si>
  <si>
    <t xml:space="preserve">Co.:</t>
  </si>
  <si>
    <t xml:space="preserve">Unit Cost:</t>
  </si>
  <si>
    <t xml:space="preserve">Prj date:</t>
  </si>
  <si>
    <t xml:space="preserve">Wed 20 Mar 2019 08:18:57 PM EDT</t>
  </si>
  <si>
    <t xml:space="preserve">Total Cost:</t>
  </si>
  <si>
    <t xml:space="preserve">$ date:</t>
  </si>
  <si>
    <t xml:space="preserve">2019-03-20 20:19:26</t>
  </si>
  <si>
    <t xml:space="preserve">Global Part Info</t>
  </si>
  <si>
    <t xml:space="preserve">Mouser</t>
  </si>
  <si>
    <t xml:space="preserve">Refs</t>
  </si>
  <si>
    <t xml:space="preserve">Value</t>
  </si>
  <si>
    <t xml:space="preserve">Status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</si>
  <si>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</si>
  <si>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</si>
  <si>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</si>
  <si>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</si>
  <si>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</si>
  <si>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</si>
  <si>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</si>
  <si>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</si>
  <si>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</si>
  <si>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Barrel_Jack1</t>
  </si>
  <si>
    <t xml:space="preserve">BarrelJack</t>
  </si>
  <si>
    <t xml:space="preserve">Connector_BarrelJack:BarrelJack_Horizontal</t>
  </si>
  <si>
    <t xml:space="preserve">PRT-00119</t>
  </si>
  <si>
    <t xml:space="preserve">474-PRT-00119</t>
  </si>
  <si>
    <t xml:space="preserve">C1,C2,C7,C13</t>
  </si>
  <si>
    <t xml:space="preserve">10uF</t>
  </si>
  <si>
    <t xml:space="preserve">Capacitor_SMD:C_0805_2012Metric</t>
  </si>
  <si>
    <t xml:space="preserve">C0805X106K8RACAUTO</t>
  </si>
  <si>
    <t xml:space="preserve">80-C0805X106K8RAUTO</t>
  </si>
  <si>
    <t xml:space="preserve">C11</t>
  </si>
  <si>
    <t xml:space="preserve">0.22uF</t>
  </si>
  <si>
    <t xml:space="preserve">08055C224K4T4A</t>
  </si>
  <si>
    <t xml:space="preserve">581-08055C224K4T4A</t>
  </si>
  <si>
    <t xml:space="preserve">C12</t>
  </si>
  <si>
    <t xml:space="preserve">1uF</t>
  </si>
  <si>
    <t xml:space="preserve">C0805C105Z5VACTU</t>
  </si>
  <si>
    <t xml:space="preserve">80-C0805C105Z5VACTU</t>
  </si>
  <si>
    <t xml:space="preserve">C3,C4</t>
  </si>
  <si>
    <t xml:space="preserve">3.3uF</t>
  </si>
  <si>
    <t xml:space="preserve">CGA4J1X8L1C335K125AC</t>
  </si>
  <si>
    <t xml:space="preserve">810-CGA4J1X8L335K125</t>
  </si>
  <si>
    <t xml:space="preserve">C5,C6</t>
  </si>
  <si>
    <t xml:space="preserve">2.2uF</t>
  </si>
  <si>
    <t xml:space="preserve">08056C225KAT2A</t>
  </si>
  <si>
    <t xml:space="preserve">581-08056C225KAT2A</t>
  </si>
  <si>
    <t xml:space="preserve">C8-C10,C14</t>
  </si>
  <si>
    <t xml:space="preserve">0.1uF</t>
  </si>
  <si>
    <t xml:space="preserve">C0805X104K4RACAUTO</t>
  </si>
  <si>
    <t xml:space="preserve">80-C0805X104K4RAUTO</t>
  </si>
  <si>
    <t xml:space="preserve">D1</t>
  </si>
  <si>
    <t xml:space="preserve">RXLED</t>
  </si>
  <si>
    <t xml:space="preserve">Resource center</t>
  </si>
  <si>
    <t xml:space="preserve">LED_SMD:LED_0603_1608Metric</t>
  </si>
  <si>
    <t xml:space="preserve">D2</t>
  </si>
  <si>
    <t xml:space="preserve">TXLED</t>
  </si>
  <si>
    <t xml:space="preserve">L1,L2</t>
  </si>
  <si>
    <t xml:space="preserve">1uH</t>
  </si>
  <si>
    <t xml:space="preserve">Inductor_SMD:L_0805_2012Metric</t>
  </si>
  <si>
    <t xml:space="preserve">DFE201612PD-1R0M=P2</t>
  </si>
  <si>
    <t xml:space="preserve">81-DFE201612PD1R0P2</t>
  </si>
  <si>
    <t xml:space="preserve">MotorConnector_Female1</t>
  </si>
  <si>
    <t xml:space="preserve">JST_1x6_Female</t>
  </si>
  <si>
    <t xml:space="preserve">Connector_JST:JST_EH_B02B-EH-A_1x06_P2.50mm_Vertical</t>
  </si>
  <si>
    <t xml:space="preserve">MotorConnector_Male1</t>
  </si>
  <si>
    <t xml:space="preserve">JST_1x6_Male</t>
  </si>
  <si>
    <t xml:space="preserve">Pt1</t>
  </si>
  <si>
    <t xml:space="preserve">RS Pro 2371607</t>
  </si>
  <si>
    <t xml:space="preserve">Ordered</t>
  </si>
  <si>
    <t xml:space="preserve">Emea</t>
  </si>
  <si>
    <t xml:space="preserve">0900766b815bb283</t>
  </si>
  <si>
    <t xml:space="preserve">R1</t>
  </si>
  <si>
    <t xml:space="preserve">470k</t>
  </si>
  <si>
    <t xml:space="preserve">Resistor_SMD:R_0805_2012Metric</t>
  </si>
  <si>
    <t xml:space="preserve">AC0805FR-10470KL</t>
  </si>
  <si>
    <t xml:space="preserve">603-AC0805FR-10470KL</t>
  </si>
  <si>
    <t xml:space="preserve">R2</t>
  </si>
  <si>
    <t xml:space="preserve">100k</t>
  </si>
  <si>
    <t xml:space="preserve">AC0805FR-13100KL</t>
  </si>
  <si>
    <t xml:space="preserve">603-AC0805FR-13100KL</t>
  </si>
  <si>
    <t xml:space="preserve">R3</t>
  </si>
  <si>
    <t xml:space="preserve">560k</t>
  </si>
  <si>
    <t xml:space="preserve">ERJ-6RED5603V</t>
  </si>
  <si>
    <t xml:space="preserve">667-ERJ-6RED5603V</t>
  </si>
  <si>
    <t xml:space="preserve">R4</t>
  </si>
  <si>
    <t xml:space="preserve">150k</t>
  </si>
  <si>
    <t xml:space="preserve">CRCW0805150KFKEAC</t>
  </si>
  <si>
    <t xml:space="preserve">71-CRCW0805150KFKEAC</t>
  </si>
  <si>
    <t xml:space="preserve">R5,R6</t>
  </si>
  <si>
    <t xml:space="preserve">390</t>
  </si>
  <si>
    <t xml:space="preserve">ERJ-6RBD3900V</t>
  </si>
  <si>
    <t xml:space="preserve">667-ERJ-6RBD3900V</t>
  </si>
  <si>
    <t xml:space="preserve">R7</t>
  </si>
  <si>
    <t xml:space="preserve">1k</t>
  </si>
  <si>
    <t xml:space="preserve">SG73G2ATTD1001D</t>
  </si>
  <si>
    <t xml:space="preserve">660-SG73G2ATTD1001D</t>
  </si>
  <si>
    <t xml:space="preserve">R8</t>
  </si>
  <si>
    <t xml:space="preserve">158</t>
  </si>
  <si>
    <t xml:space="preserve">RT0805FRE07158RL</t>
  </si>
  <si>
    <t xml:space="preserve">603-RT0805FRE07158RL</t>
  </si>
  <si>
    <t xml:space="preserve">SW1</t>
  </si>
  <si>
    <t xml:space="preserve">ResetBTN</t>
  </si>
  <si>
    <t xml:space="preserve">Button_Switch_THT:SW_PUSH_6mm_H5mm</t>
  </si>
  <si>
    <t xml:space="preserve">StepperMotor1</t>
  </si>
  <si>
    <t xml:space="preserve">SY42STH47-1206A</t>
  </si>
  <si>
    <t xml:space="preserve">Temp_Female1</t>
  </si>
  <si>
    <t xml:space="preserve">JST_1x2_Female</t>
  </si>
  <si>
    <t xml:space="preserve">Connector_JST:JST_EH_B02B-EH-A_1x02_P2.50mm_Vertical</t>
  </si>
  <si>
    <t xml:space="preserve">Temp_Male1</t>
  </si>
  <si>
    <t xml:space="preserve">JST_1x2_Male</t>
  </si>
  <si>
    <t xml:space="preserve">U1</t>
  </si>
  <si>
    <t xml:space="preserve">FT230XS</t>
  </si>
  <si>
    <t xml:space="preserve">Package_SO:SSOP-16_3.9x4.9mm_P0.635mm</t>
  </si>
  <si>
    <t xml:space="preserve">FT230XS-R</t>
  </si>
  <si>
    <t xml:space="preserve">895-FT230XS-R</t>
  </si>
  <si>
    <t xml:space="preserve">U2,U3</t>
  </si>
  <si>
    <t xml:space="preserve">TPS62147</t>
  </si>
  <si>
    <t xml:space="preserve">footprints:TPS62147RGXR</t>
  </si>
  <si>
    <t xml:space="preserve">TPS62147RGXR</t>
  </si>
  <si>
    <t xml:space="preserve">595-TPS62147RGXR</t>
  </si>
  <si>
    <t xml:space="preserve">U4</t>
  </si>
  <si>
    <t xml:space="preserve">A4988SETTR-T</t>
  </si>
  <si>
    <t xml:space="preserve">digikey-footprints:VFQFN-28-1EP_5x5mm</t>
  </si>
  <si>
    <t xml:space="preserve">Allegro MicroSystems, LLC</t>
  </si>
  <si>
    <t xml:space="preserve">U5</t>
  </si>
  <si>
    <t xml:space="preserve">MSP430G2553IPW20</t>
  </si>
  <si>
    <t xml:space="preserve">Package_SO:TSSOP-20_4.4x6.5mm_P0.65mm</t>
  </si>
  <si>
    <t xml:space="preserve">595-MSP430G2553IPW20</t>
  </si>
  <si>
    <t xml:space="preserve">USB_B_Header1</t>
  </si>
  <si>
    <t xml:space="preserve">USB_B_Header?</t>
  </si>
  <si>
    <t xml:space="preserve">Connector_USB:USB_B_OST_USB-B1HSxx_Horizontal</t>
  </si>
  <si>
    <t xml:space="preserve">KiCost® v.1.0.5</t>
  </si>
  <si>
    <t xml:space="preserve">Total Purchase: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</si>
</sst>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004A85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ctopart.com/click/track?ak=&amp;sig=0cbe72c&amp;sid=2401&amp;ppid=4003427&amp;vpid=460594490&amp;ct=offers" TargetMode="External"/><Relationship Id="rId3" Type="http://schemas.openxmlformats.org/officeDocument/2006/relationships/hyperlink" Target="https://www.mouser.com/datasheet/2/212/KEM_C1078_X7R_FT-CAP_AUTO_SMD-1103315.pdf" TargetMode="External"/><Relationship Id="rId4" Type="http://schemas.openxmlformats.org/officeDocument/2006/relationships/hyperlink" Target="https://octopart.com/click/track?ak=&amp;sig=01e5ab8&amp;sid=2401&amp;ppid=84766740&amp;vpid=441341344&amp;ct=offers" TargetMode="External"/><Relationship Id="rId5" Type="http://schemas.openxmlformats.org/officeDocument/2006/relationships/hyperlink" Target="https://www.mouser.com/datasheet/2/40/AutoMLCC-777028.pdf" TargetMode="External"/><Relationship Id="rId6" Type="http://schemas.openxmlformats.org/officeDocument/2006/relationships/hyperlink" Target="https://octopart.com/click/track?ak=&amp;sig=0484ebc&amp;sid=2401&amp;ppid=19693344&amp;vpid=447942656&amp;ct=offers" TargetMode="External"/><Relationship Id="rId7" Type="http://schemas.openxmlformats.org/officeDocument/2006/relationships/hyperlink" Target="http://www.samsungsem.com/kr/support/product-search/mlcc/CL10B104KB8NNNC.jsp" TargetMode="External"/><Relationship Id="rId8" Type="http://schemas.openxmlformats.org/officeDocument/2006/relationships/hyperlink" Target="https://octopart.com/click/track?ak=&amp;sig=0934c1c&amp;sid=2401&amp;ppid=23815656&amp;vpid=475054030&amp;ct=offers" TargetMode="External"/><Relationship Id="rId9" Type="http://schemas.openxmlformats.org/officeDocument/2006/relationships/hyperlink" Target="https://www.mouser.com/datasheet/2/400/lcc_automotive_general_en-843974.pdf" TargetMode="External"/><Relationship Id="rId10" Type="http://schemas.openxmlformats.org/officeDocument/2006/relationships/hyperlink" Target="https://octopart.com/click/track?ak=&amp;sig=07e70e7&amp;sid=2401&amp;ppid=87960321&amp;vpid=454661318&amp;ct=offers" TargetMode="External"/><Relationship Id="rId11" Type="http://schemas.openxmlformats.org/officeDocument/2006/relationships/hyperlink" Target="https://www.mouser.com/datasheet/2/40/X7RDielectric-777024.pdf" TargetMode="External"/><Relationship Id="rId12" Type="http://schemas.openxmlformats.org/officeDocument/2006/relationships/hyperlink" Target="https://octopart.com/click/track?ak=&amp;sig=061e3c9&amp;sid=2401&amp;ppid=13247388&amp;vpid=448728367&amp;ct=offers" TargetMode="External"/><Relationship Id="rId13" Type="http://schemas.openxmlformats.org/officeDocument/2006/relationships/hyperlink" Target="https://www.mouser.com/datasheet/2/212/KEM_C1078_X7R_FT-CAP_AUTO_SMD-1103315.pdf" TargetMode="External"/><Relationship Id="rId14" Type="http://schemas.openxmlformats.org/officeDocument/2006/relationships/hyperlink" Target="https://octopart.com/click/track?ak=&amp;sig=0957b44&amp;sid=2401&amp;ppid=95437213&amp;vpid=510310887&amp;ct=offers" TargetMode="External"/><Relationship Id="rId15" Type="http://schemas.openxmlformats.org/officeDocument/2006/relationships/hyperlink" Target="https://octopart.com/click/track?ak=&amp;sig=0c8c9b7&amp;sid=2401&amp;ppid=91359931&amp;vpid=476946955&amp;ct=offers" TargetMode="External"/><Relationship Id="rId16" Type="http://schemas.openxmlformats.org/officeDocument/2006/relationships/hyperlink" Target="https://www.mouser.com/datasheet/2/447/PYu-AC_51_RoHS_L_6-1152827.pdf" TargetMode="External"/><Relationship Id="rId17" Type="http://schemas.openxmlformats.org/officeDocument/2006/relationships/hyperlink" Target="https://octopart.com/click/track?ak=&amp;sig=0b8dc46&amp;sid=2401&amp;ppid=83540540&amp;vpid=482592535&amp;ct=offers" TargetMode="External"/><Relationship Id="rId18" Type="http://schemas.openxmlformats.org/officeDocument/2006/relationships/hyperlink" Target="https://www.mouser.com/datasheet/2/447/PYu-AC_51_RoHS_L_6-1152827.pdf" TargetMode="External"/><Relationship Id="rId19" Type="http://schemas.openxmlformats.org/officeDocument/2006/relationships/hyperlink" Target="https://octopart.com/click/track?ak=&amp;sig=003c9f2&amp;sid=2401&amp;ppid=25938707&amp;vpid=482592536&amp;ct=offers" TargetMode="External"/><Relationship Id="rId20" Type="http://schemas.openxmlformats.org/officeDocument/2006/relationships/hyperlink" Target="https://www.mouser.com/datasheet/2/315/AOA0000C304-1149620.pdf" TargetMode="External"/><Relationship Id="rId21" Type="http://schemas.openxmlformats.org/officeDocument/2006/relationships/hyperlink" Target="https://octopart.com/click/track?ak=&amp;sig=02ed54b&amp;sid=2401&amp;ppid=34853565&amp;vpid=458472497&amp;ct=offers" TargetMode="External"/><Relationship Id="rId22" Type="http://schemas.openxmlformats.org/officeDocument/2006/relationships/hyperlink" Target="https://www.mouser.com/datasheet/2/427/crcwce3-1223726.pdf" TargetMode="External"/><Relationship Id="rId23" Type="http://schemas.openxmlformats.org/officeDocument/2006/relationships/hyperlink" Target="https://octopart.com/click/track?ak=&amp;sig=04ddaae&amp;sid=2401&amp;ppid=10547453&amp;vpid=458954011&amp;ct=offers" TargetMode="External"/><Relationship Id="rId24" Type="http://schemas.openxmlformats.org/officeDocument/2006/relationships/hyperlink" Target="https://www.mouser.com/datasheet/2/315/AOA0000C304-1149620.pdf" TargetMode="External"/><Relationship Id="rId25" Type="http://schemas.openxmlformats.org/officeDocument/2006/relationships/hyperlink" Target="https://octopart.com/click/track?ak=&amp;sig=08792d5&amp;sid=2401&amp;ppid=34853399&amp;vpid=458472180&amp;ct=offers" TargetMode="External"/><Relationship Id="rId26" Type="http://schemas.openxmlformats.org/officeDocument/2006/relationships/hyperlink" Target="https://www.mouser.com/datasheet/2/219/SG73G-1316861.pdf" TargetMode="External"/><Relationship Id="rId27" Type="http://schemas.openxmlformats.org/officeDocument/2006/relationships/hyperlink" Target="https://octopart.com/click/track?ak=&amp;sig=092d196&amp;sid=2401&amp;ppid=91328777&amp;vpid=476765710&amp;ct=offers" TargetMode="External"/><Relationship Id="rId28" Type="http://schemas.openxmlformats.org/officeDocument/2006/relationships/hyperlink" Target="https://www.mouser.com/datasheet/2/447/PYu-RT_1-to-0.01_RoHS_L_9-1222720.pdf" TargetMode="External"/><Relationship Id="rId29" Type="http://schemas.openxmlformats.org/officeDocument/2006/relationships/hyperlink" Target="https://octopart.com/click/track?ak=&amp;sig=0707e15&amp;sid=2401&amp;ppid=1441449&amp;vpid=273671166&amp;ct=offers" TargetMode="External"/><Relationship Id="rId30" Type="http://schemas.openxmlformats.org/officeDocument/2006/relationships/hyperlink" Target="http://www.ftdichip.com/Products/ICs/FT230X.html" TargetMode="External"/><Relationship Id="rId31" Type="http://schemas.openxmlformats.org/officeDocument/2006/relationships/hyperlink" Target="https://octopart.com/click/track?ak=&amp;sig=0c6bc06&amp;sid=2401&amp;ppid=22061505&amp;vpid=46538345&amp;ct=offers" TargetMode="External"/><Relationship Id="rId32" Type="http://schemas.openxmlformats.org/officeDocument/2006/relationships/hyperlink" Target="http://www.ti.com/lit/gpn/tps62147" TargetMode="External"/><Relationship Id="rId33" Type="http://schemas.openxmlformats.org/officeDocument/2006/relationships/hyperlink" Target="https://octopart.com/click/track?ak=&amp;sig=04c5498&amp;sid=2401&amp;ppid=91272356&amp;vpid=478302134&amp;ct=offers" TargetMode="External"/><Relationship Id="rId34" Type="http://schemas.openxmlformats.org/officeDocument/2006/relationships/hyperlink" Target="http://www.ti.com/lit/ds/symlink/msp430g2553.pdf" TargetMode="External"/><Relationship Id="rId35" Type="http://schemas.openxmlformats.org/officeDocument/2006/relationships/hyperlink" Target="https://octopart.com/click/track?ak=&amp;sig=05f71f1&amp;sid=2401&amp;ppid=20025578&amp;vpid=52739346&amp;ct=offers" TargetMode="External"/><Relationship Id="rId3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7" activeCellId="0" sqref="A7"/>
    </sheetView>
  </sheetViews>
  <sheetFormatPr defaultRowHeight="15" zeroHeight="false" outlineLevelRow="0" outlineLevelCol="2"/>
  <cols>
    <col collapsed="false" customWidth="true" hidden="false" outlineLevel="0" max="2" min="1" style="0" width="9.14"/>
    <col collapsed="false" customWidth="true" hidden="false" outlineLevel="2" max="4" min="3" style="0" width="9.14"/>
    <col collapsed="false" customWidth="true" hidden="false" outlineLevel="1" max="7" min="5" style="0" width="9.14"/>
    <col collapsed="false" customWidth="true" hidden="false" outlineLevel="0" max="8" min="8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2</v>
      </c>
    </row>
    <row r="2" customFormat="false" ht="15" hidden="false" customHeight="false" outlineLevel="0" collapsed="false">
      <c r="A2" s="1" t="s">
        <v>3</v>
      </c>
      <c r="B2" s="2"/>
      <c r="H2" s="1" t="s">
        <v>4</v>
      </c>
      <c r="I2" s="4" t="n">
        <f aca="false">TotalCost/BoardQty</f>
        <v>22.54</v>
      </c>
    </row>
    <row r="3" customFormat="false" ht="15" hidden="false" customHeight="false" outlineLevel="0" collapsed="false">
      <c r="A3" s="1" t="s">
        <v>5</v>
      </c>
      <c r="B3" s="2" t="s">
        <v>6</v>
      </c>
      <c r="H3" s="1" t="s">
        <v>7</v>
      </c>
      <c r="I3" s="5" t="n">
        <f aca="false">SUM(I7:I35)</f>
        <v>45.08</v>
      </c>
      <c r="M3" s="5" t="n">
        <f aca="false">SUM(M7:M35)</f>
        <v>45.08</v>
      </c>
      <c r="N3" s="6" t="str">
        <f aca="false">(ROWS(M7:M35)-COUNTBLANK(M7:M35))&amp;" of "&amp;ROWS(M7:M35)&amp;" parts found"</f>
        <v>18 of 29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7"/>
      <c r="I5" s="7"/>
      <c r="J5" s="8" t="s">
        <v>11</v>
      </c>
      <c r="K5" s="8"/>
      <c r="L5" s="8"/>
      <c r="M5" s="8"/>
      <c r="N5" s="8"/>
    </row>
    <row r="6" customFormat="false" ht="29.85" hidden="false" customHeight="false" outlineLevel="0" collapsed="false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22</v>
      </c>
      <c r="L6" s="9" t="s">
        <v>19</v>
      </c>
      <c r="M6" s="9" t="s">
        <v>20</v>
      </c>
      <c r="N6" s="9" t="s">
        <v>23</v>
      </c>
    </row>
    <row r="7" customFormat="false" ht="15" hidden="false" customHeight="false" outlineLevel="0" collapsed="false">
      <c r="A7" s="10" t="s">
        <v>24</v>
      </c>
      <c r="B7" s="10" t="s">
        <v>25</v>
      </c>
      <c r="D7" s="10" t="s">
        <v>26</v>
      </c>
      <c r="F7" s="10" t="s">
        <v>27</v>
      </c>
      <c r="G7" s="11" t="n">
        <f aca="false">BoardQty*1</f>
        <v>2</v>
      </c>
      <c r="H7" s="12" t="n">
        <f aca="true">MINA(INDIRECT(ADDRESS(ROW(),COLUMN(mouser_part_data)+2)))</f>
        <v>1.25</v>
      </c>
      <c r="I7" s="12" t="n">
        <f aca="false">IFERROR(G7*H7,"")</f>
        <v>2.5</v>
      </c>
      <c r="J7" s="13" t="n">
        <v>1157</v>
      </c>
      <c r="L7" s="12" t="n">
        <f aca="false">IFERROR(LOOKUP(IF(K7="",G7,K7),{0,1,10,50,100,1000,10000},{0,1.25,1.25,1.25,1.25,1.25,1.25}),"")</f>
        <v>1.25</v>
      </c>
      <c r="M7" s="12" t="n">
        <f aca="false">IFERROR(IF(K7="",G7,K7)*L7,"")</f>
        <v>2.5</v>
      </c>
      <c r="N7" s="14" t="s">
        <v>28</v>
      </c>
    </row>
    <row r="8" customFormat="false" ht="15" hidden="false" customHeight="false" outlineLevel="0" collapsed="false">
      <c r="A8" s="10" t="s">
        <v>29</v>
      </c>
      <c r="B8" s="10" t="s">
        <v>30</v>
      </c>
      <c r="D8" s="10" t="s">
        <v>31</v>
      </c>
      <c r="F8" s="10" t="s">
        <v>32</v>
      </c>
      <c r="G8" s="11" t="n">
        <f aca="false">BoardQty*4</f>
        <v>8</v>
      </c>
      <c r="H8" s="12" t="n">
        <f aca="true">MINA(INDIRECT(ADDRESS(ROW(),COLUMN(mouser_part_data)+2)))</f>
        <v>1.06</v>
      </c>
      <c r="I8" s="12" t="n">
        <f aca="false">IFERROR(G8*H8,"")</f>
        <v>8.48</v>
      </c>
      <c r="J8" s="13" t="n">
        <v>27579</v>
      </c>
      <c r="L8" s="12" t="n">
        <f aca="false">IFERROR(LOOKUP(IF(K8="",G8,K8),{0,1,10,50,100,1000,10000},{0,1.06,0.75,0.75,0.473,0.388,0.247}),"")</f>
        <v>1.06</v>
      </c>
      <c r="M8" s="12" t="n">
        <f aca="false">IFERROR(IF(K8="",G8,K8)*L8,"")</f>
        <v>8.48</v>
      </c>
      <c r="N8" s="14" t="s">
        <v>33</v>
      </c>
    </row>
    <row r="9" customFormat="false" ht="15" hidden="false" customHeight="false" outlineLevel="0" collapsed="false">
      <c r="A9" s="10" t="s">
        <v>34</v>
      </c>
      <c r="B9" s="10" t="s">
        <v>35</v>
      </c>
      <c r="D9" s="10" t="s">
        <v>31</v>
      </c>
      <c r="F9" s="10" t="s">
        <v>36</v>
      </c>
      <c r="G9" s="11" t="n">
        <f aca="false">BoardQty*1</f>
        <v>2</v>
      </c>
      <c r="H9" s="12" t="n">
        <f aca="true">MINA(INDIRECT(ADDRESS(ROW(),COLUMN(mouser_part_data)+2)))</f>
        <v>0.32</v>
      </c>
      <c r="I9" s="12" t="n">
        <f aca="false">IFERROR(G9*H9,"")</f>
        <v>0.64</v>
      </c>
      <c r="J9" s="13" t="n">
        <v>5642</v>
      </c>
      <c r="L9" s="12" t="n">
        <f aca="false">IFERROR(LOOKUP(IF(K9="",G9,K9),{0,1,10,50,100,1000,10000},{0,0.32,0.225,0.225,0.135,0.086,0.065}),"")</f>
        <v>0.32</v>
      </c>
      <c r="M9" s="12" t="n">
        <f aca="false">IFERROR(IF(K9="",G9,K9)*L9,"")</f>
        <v>0.64</v>
      </c>
      <c r="N9" s="14" t="s">
        <v>37</v>
      </c>
    </row>
    <row r="10" customFormat="false" ht="15" hidden="false" customHeight="false" outlineLevel="0" collapsed="false">
      <c r="A10" s="10" t="s">
        <v>38</v>
      </c>
      <c r="B10" s="10" t="s">
        <v>39</v>
      </c>
      <c r="D10" s="10" t="s">
        <v>31</v>
      </c>
      <c r="F10" s="10" t="s">
        <v>40</v>
      </c>
      <c r="G10" s="11" t="n">
        <f aca="false">BoardQty*1</f>
        <v>2</v>
      </c>
      <c r="H10" s="12" t="n">
        <f aca="true">MINA(INDIRECT(ADDRESS(ROW(),COLUMN(mouser_part_data)+2)))</f>
        <v>0.82</v>
      </c>
      <c r="I10" s="12" t="n">
        <f aca="false">IFERROR(G10*H10,"")</f>
        <v>1.64</v>
      </c>
      <c r="J10" s="13" t="n">
        <v>4004</v>
      </c>
      <c r="L10" s="12" t="n">
        <f aca="false">IFERROR(LOOKUP(IF(K10="",G10,K10),{0,1,10,50,100,1000,10000},{0,0.82,0.526,0.526,0.318,0.267,0.163}),"")</f>
        <v>0.82</v>
      </c>
      <c r="M10" s="12" t="n">
        <f aca="false">IFERROR(IF(K10="",G10,K10)*L10,"")</f>
        <v>1.64</v>
      </c>
      <c r="N10" s="14" t="s">
        <v>41</v>
      </c>
    </row>
    <row r="11" customFormat="false" ht="15" hidden="false" customHeight="false" outlineLevel="0" collapsed="false">
      <c r="A11" s="10" t="s">
        <v>42</v>
      </c>
      <c r="B11" s="10" t="s">
        <v>43</v>
      </c>
      <c r="D11" s="10" t="s">
        <v>31</v>
      </c>
      <c r="F11" s="10" t="s">
        <v>44</v>
      </c>
      <c r="G11" s="11" t="n">
        <f aca="false">BoardQty*2</f>
        <v>4</v>
      </c>
      <c r="H11" s="12" t="n">
        <f aca="true">MINA(INDIRECT(ADDRESS(ROW(),COLUMN(mouser_part_data)+2)))</f>
        <v>0.59</v>
      </c>
      <c r="I11" s="12" t="n">
        <f aca="false">IFERROR(G11*H11,"")</f>
        <v>2.36</v>
      </c>
      <c r="J11" s="13" t="n">
        <v>2744</v>
      </c>
      <c r="L11" s="12" t="n">
        <f aca="false">IFERROR(LOOKUP(IF(K11="",G11,K11),{0,1,10,50,100,1000,10000},{0,0.59,0.344,0.344,0.233,0.194,0.119}),"")</f>
        <v>0.59</v>
      </c>
      <c r="M11" s="12" t="n">
        <f aca="false">IFERROR(IF(K11="",G11,K11)*L11,"")</f>
        <v>2.36</v>
      </c>
      <c r="N11" s="14" t="s">
        <v>45</v>
      </c>
    </row>
    <row r="12" customFormat="false" ht="15" hidden="false" customHeight="false" outlineLevel="0" collapsed="false">
      <c r="A12" s="10" t="s">
        <v>46</v>
      </c>
      <c r="B12" s="10" t="s">
        <v>47</v>
      </c>
      <c r="D12" s="10" t="s">
        <v>31</v>
      </c>
      <c r="F12" s="10" t="s">
        <v>48</v>
      </c>
      <c r="G12" s="11" t="n">
        <f aca="false">BoardQty*2</f>
        <v>4</v>
      </c>
      <c r="H12" s="12" t="n">
        <f aca="true">MINA(INDIRECT(ADDRESS(ROW(),COLUMN(mouser_part_data)+2)))</f>
        <v>0.38</v>
      </c>
      <c r="I12" s="12" t="n">
        <f aca="false">IFERROR(G12*H12,"")</f>
        <v>1.52</v>
      </c>
      <c r="J12" s="13" t="n">
        <v>10183</v>
      </c>
      <c r="L12" s="12" t="n">
        <f aca="false">IFERROR(LOOKUP(IF(K12="",G12,K12),{0,1,10,50,100,1000,10000},{0,0.38,0.264,0.264,0.15,0.092,0.069}),"")</f>
        <v>0.38</v>
      </c>
      <c r="M12" s="12" t="n">
        <f aca="false">IFERROR(IF(K12="",G12,K12)*L12,"")</f>
        <v>1.52</v>
      </c>
      <c r="N12" s="14" t="s">
        <v>49</v>
      </c>
    </row>
    <row r="13" customFormat="false" ht="15" hidden="false" customHeight="false" outlineLevel="0" collapsed="false">
      <c r="A13" s="10" t="s">
        <v>50</v>
      </c>
      <c r="B13" s="10" t="s">
        <v>51</v>
      </c>
      <c r="D13" s="10" t="s">
        <v>31</v>
      </c>
      <c r="F13" s="10" t="s">
        <v>52</v>
      </c>
      <c r="G13" s="11" t="n">
        <f aca="false">BoardQty*4</f>
        <v>8</v>
      </c>
      <c r="H13" s="12" t="n">
        <f aca="true">MINA(INDIRECT(ADDRESS(ROW(),COLUMN(mouser_part_data)+2)))</f>
        <v>0.62</v>
      </c>
      <c r="I13" s="12" t="n">
        <f aca="false">IFERROR(G13*H13,"")</f>
        <v>4.96</v>
      </c>
      <c r="J13" s="13" t="n">
        <v>4000</v>
      </c>
      <c r="L13" s="12" t="n">
        <f aca="false">IFERROR(LOOKUP(IF(K13="",G13,K13),{0,1,10,50,100,1000,10000},{0,0.62,0.395,0.395,0.241,0.201,0.123}),"")</f>
        <v>0.62</v>
      </c>
      <c r="M13" s="12" t="n">
        <f aca="false">IFERROR(IF(K13="",G13,K13)*L13,"")</f>
        <v>4.96</v>
      </c>
      <c r="N13" s="14" t="s">
        <v>53</v>
      </c>
    </row>
    <row r="14" customFormat="false" ht="14.9" hidden="false" customHeight="false" outlineLevel="0" collapsed="false">
      <c r="A14" s="10" t="s">
        <v>54</v>
      </c>
      <c r="B14" s="10" t="s">
        <v>55</v>
      </c>
      <c r="C14" s="15" t="s">
        <v>56</v>
      </c>
      <c r="D14" s="10" t="s">
        <v>57</v>
      </c>
      <c r="G14" s="11" t="n">
        <f aca="false">BoardQty*1</f>
        <v>2</v>
      </c>
      <c r="H14" s="12" t="n">
        <f aca="true">MINA(INDIRECT(ADDRESS(ROW(),COLUMN(mouser_part_data)+2)))</f>
        <v>0</v>
      </c>
      <c r="I14" s="12" t="n">
        <f aca="false">IFERROR(G14*H14,"")</f>
        <v>0</v>
      </c>
    </row>
    <row r="15" customFormat="false" ht="14.9" hidden="false" customHeight="false" outlineLevel="0" collapsed="false">
      <c r="A15" s="10" t="s">
        <v>58</v>
      </c>
      <c r="B15" s="10" t="s">
        <v>59</v>
      </c>
      <c r="C15" s="15" t="s">
        <v>56</v>
      </c>
      <c r="D15" s="10" t="s">
        <v>57</v>
      </c>
      <c r="G15" s="11" t="n">
        <f aca="false">BoardQty*1</f>
        <v>2</v>
      </c>
      <c r="H15" s="12" t="n">
        <f aca="true">MINA(INDIRECT(ADDRESS(ROW(),COLUMN(mouser_part_data)+2)))</f>
        <v>0</v>
      </c>
      <c r="I15" s="12" t="n">
        <f aca="false">IFERROR(G15*H15,"")</f>
        <v>0</v>
      </c>
    </row>
    <row r="16" customFormat="false" ht="15" hidden="false" customHeight="false" outlineLevel="0" collapsed="false">
      <c r="A16" s="10" t="s">
        <v>60</v>
      </c>
      <c r="B16" s="10" t="s">
        <v>61</v>
      </c>
      <c r="D16" s="10" t="s">
        <v>62</v>
      </c>
      <c r="F16" s="10" t="s">
        <v>63</v>
      </c>
      <c r="G16" s="11" t="n">
        <f aca="false">BoardQty*2</f>
        <v>4</v>
      </c>
      <c r="H16" s="12" t="n">
        <f aca="true">MINA(INDIRECT(ADDRESS(ROW(),COLUMN(mouser_part_data)+2)))</f>
        <v>0.73</v>
      </c>
      <c r="I16" s="12" t="n">
        <f aca="false">IFERROR(G16*H16,"")</f>
        <v>2.92</v>
      </c>
      <c r="J16" s="13" t="n">
        <v>5160</v>
      </c>
      <c r="L16" s="12" t="n">
        <f aca="false">IFERROR(LOOKUP(IF(K16="",G16,K16),{0,1,10,50,100,1000,10000},{0,0.73,0.637,0.637,0.454,0.269,0.237}),"")</f>
        <v>0.73</v>
      </c>
      <c r="M16" s="12" t="n">
        <f aca="false">IFERROR(IF(K16="",G16,K16)*L16,"")</f>
        <v>2.92</v>
      </c>
      <c r="N16" s="14" t="s">
        <v>64</v>
      </c>
    </row>
    <row r="17" customFormat="false" ht="15" hidden="false" customHeight="false" outlineLevel="0" collapsed="false">
      <c r="A17" s="10" t="s">
        <v>65</v>
      </c>
      <c r="B17" s="10" t="s">
        <v>66</v>
      </c>
      <c r="C17" s="0" t="s">
        <v>56</v>
      </c>
      <c r="D17" s="10" t="s">
        <v>67</v>
      </c>
      <c r="G17" s="11" t="n">
        <f aca="false">BoardQty*1</f>
        <v>2</v>
      </c>
      <c r="H17" s="12" t="n">
        <f aca="true">MINA(INDIRECT(ADDRESS(ROW(),COLUMN(mouser_part_data)+2)))</f>
        <v>0</v>
      </c>
      <c r="I17" s="12" t="n">
        <f aca="false">IFERROR(G17*H17,"")</f>
        <v>0</v>
      </c>
    </row>
    <row r="18" customFormat="false" ht="14.9" hidden="false" customHeight="false" outlineLevel="0" collapsed="false">
      <c r="A18" s="10" t="s">
        <v>68</v>
      </c>
      <c r="B18" s="10" t="s">
        <v>69</v>
      </c>
      <c r="C18" s="15" t="s">
        <v>56</v>
      </c>
      <c r="G18" s="11" t="n">
        <f aca="false">BoardQty*1</f>
        <v>2</v>
      </c>
      <c r="H18" s="12" t="n">
        <f aca="true">MINA(INDIRECT(ADDRESS(ROW(),COLUMN(mouser_part_data)+2)))</f>
        <v>0</v>
      </c>
      <c r="I18" s="12" t="n">
        <f aca="false">IFERROR(G18*H18,"")</f>
        <v>0</v>
      </c>
    </row>
    <row r="19" customFormat="false" ht="15" hidden="false" customHeight="false" outlineLevel="0" collapsed="false">
      <c r="A19" s="10" t="s">
        <v>70</v>
      </c>
      <c r="B19" s="10" t="s">
        <v>71</v>
      </c>
      <c r="C19" s="0" t="s">
        <v>72</v>
      </c>
      <c r="E19" s="10" t="s">
        <v>73</v>
      </c>
      <c r="F19" s="10" t="s">
        <v>74</v>
      </c>
      <c r="G19" s="11" t="n">
        <f aca="false">BoardQty*1</f>
        <v>2</v>
      </c>
      <c r="H19" s="12" t="n">
        <f aca="true">MINA(INDIRECT(ADDRESS(ROW(),COLUMN(mouser_part_data)+2)))</f>
        <v>0</v>
      </c>
      <c r="I19" s="12" t="n">
        <f aca="false">IFERROR(G19*H19,"")</f>
        <v>0</v>
      </c>
    </row>
    <row r="20" customFormat="false" ht="15" hidden="false" customHeight="false" outlineLevel="0" collapsed="false">
      <c r="A20" s="10" t="s">
        <v>75</v>
      </c>
      <c r="B20" s="10" t="s">
        <v>76</v>
      </c>
      <c r="D20" s="10" t="s">
        <v>77</v>
      </c>
      <c r="F20" s="10" t="s">
        <v>78</v>
      </c>
      <c r="G20" s="11" t="n">
        <f aca="false">BoardQty*1</f>
        <v>2</v>
      </c>
      <c r="H20" s="12" t="n">
        <f aca="true">MINA(INDIRECT(ADDRESS(ROW(),COLUMN(mouser_part_data)+2)))</f>
        <v>0.16</v>
      </c>
      <c r="I20" s="12" t="n">
        <f aca="false">IFERROR(G20*H20,"")</f>
        <v>0.32</v>
      </c>
      <c r="J20" s="13" t="n">
        <v>40000</v>
      </c>
      <c r="L20" s="12" t="n">
        <f aca="false">IFERROR(LOOKUP(IF(K20="",G20,K20),{0,1,10,50,100,1000,10000},{0,0.16,0.037,0.037,0.013,0.01,0.006}),"")</f>
        <v>0.16</v>
      </c>
      <c r="M20" s="12" t="n">
        <f aca="false">IFERROR(IF(K20="",G20,K20)*L20,"")</f>
        <v>0.32</v>
      </c>
      <c r="N20" s="14" t="s">
        <v>79</v>
      </c>
    </row>
    <row r="21" customFormat="false" ht="15" hidden="false" customHeight="false" outlineLevel="0" collapsed="false">
      <c r="A21" s="10" t="s">
        <v>80</v>
      </c>
      <c r="B21" s="10" t="s">
        <v>81</v>
      </c>
      <c r="D21" s="10" t="s">
        <v>77</v>
      </c>
      <c r="F21" s="10" t="s">
        <v>82</v>
      </c>
      <c r="G21" s="11" t="n">
        <f aca="false">BoardQty*1</f>
        <v>2</v>
      </c>
      <c r="H21" s="12" t="n">
        <f aca="true">MINA(INDIRECT(ADDRESS(ROW(),COLUMN(mouser_part_data)+2)))</f>
        <v>0.16</v>
      </c>
      <c r="I21" s="12" t="n">
        <f aca="false">IFERROR(G21*H21,"")</f>
        <v>0.32</v>
      </c>
      <c r="J21" s="13" t="n">
        <v>34238</v>
      </c>
      <c r="L21" s="12" t="n">
        <f aca="false">IFERROR(LOOKUP(IF(K21="",G21,K21),{0,1,10,50,100,1000,10000},{0,0.16,0.037,0.037,0.013,0.01,0.006}),"")</f>
        <v>0.16</v>
      </c>
      <c r="M21" s="12" t="n">
        <f aca="false">IFERROR(IF(K21="",G21,K21)*L21,"")</f>
        <v>0.32</v>
      </c>
      <c r="N21" s="14" t="s">
        <v>83</v>
      </c>
    </row>
    <row r="22" customFormat="false" ht="15" hidden="false" customHeight="false" outlineLevel="0" collapsed="false">
      <c r="A22" s="10" t="s">
        <v>84</v>
      </c>
      <c r="B22" s="10" t="s">
        <v>85</v>
      </c>
      <c r="D22" s="10" t="s">
        <v>77</v>
      </c>
      <c r="F22" s="10" t="s">
        <v>86</v>
      </c>
      <c r="G22" s="11" t="n">
        <f aca="false">BoardQty*1</f>
        <v>2</v>
      </c>
      <c r="H22" s="12" t="n">
        <f aca="true">MINA(INDIRECT(ADDRESS(ROW(),COLUMN(mouser_part_data)+2)))</f>
        <v>0.14</v>
      </c>
      <c r="I22" s="12" t="n">
        <f aca="false">IFERROR(G22*H22,"")</f>
        <v>0.28</v>
      </c>
      <c r="J22" s="13" t="n">
        <v>9461</v>
      </c>
      <c r="L22" s="12" t="n">
        <f aca="false">IFERROR(LOOKUP(IF(K22="",G22,K22),{0,1,10,50,100,1000,10000},{0,0.14,0.077,0.064,0.043,0.02,0.02}),"")</f>
        <v>0.14</v>
      </c>
      <c r="M22" s="12" t="n">
        <f aca="false">IFERROR(IF(K22="",G22,K22)*L22,"")</f>
        <v>0.28</v>
      </c>
      <c r="N22" s="14" t="s">
        <v>87</v>
      </c>
    </row>
    <row r="23" customFormat="false" ht="15" hidden="false" customHeight="false" outlineLevel="0" collapsed="false">
      <c r="A23" s="10" t="s">
        <v>88</v>
      </c>
      <c r="B23" s="10" t="s">
        <v>89</v>
      </c>
      <c r="D23" s="10" t="s">
        <v>77</v>
      </c>
      <c r="F23" s="10" t="s">
        <v>90</v>
      </c>
      <c r="G23" s="11" t="n">
        <f aca="false">BoardQty*1</f>
        <v>2</v>
      </c>
      <c r="H23" s="12" t="n">
        <f aca="true">MINA(INDIRECT(ADDRESS(ROW(),COLUMN(mouser_part_data)+2)))</f>
        <v>0.14</v>
      </c>
      <c r="I23" s="12" t="n">
        <f aca="false">IFERROR(G23*H23,"")</f>
        <v>0.28</v>
      </c>
      <c r="J23" s="13" t="n">
        <v>57611</v>
      </c>
      <c r="L23" s="12" t="n">
        <f aca="false">IFERROR(LOOKUP(IF(K23="",G23,K23),{0,1,10,50,100,1000,10000},{0,0.14,0.065,0.065,0.035,0.012,0.006}),"")</f>
        <v>0.14</v>
      </c>
      <c r="M23" s="12" t="n">
        <f aca="false">IFERROR(IF(K23="",G23,K23)*L23,"")</f>
        <v>0.28</v>
      </c>
      <c r="N23" s="14" t="s">
        <v>91</v>
      </c>
    </row>
    <row r="24" customFormat="false" ht="15" hidden="false" customHeight="false" outlineLevel="0" collapsed="false">
      <c r="A24" s="10" t="s">
        <v>92</v>
      </c>
      <c r="B24" s="10" t="s">
        <v>93</v>
      </c>
      <c r="D24" s="10" t="s">
        <v>77</v>
      </c>
      <c r="F24" s="10" t="s">
        <v>94</v>
      </c>
      <c r="G24" s="11" t="n">
        <f aca="false">BoardQty*2</f>
        <v>4</v>
      </c>
      <c r="H24" s="12" t="n">
        <f aca="true">MINA(INDIRECT(ADDRESS(ROW(),COLUMN(mouser_part_data)+2)))</f>
        <v>0.14</v>
      </c>
      <c r="I24" s="12" t="n">
        <f aca="false">IFERROR(G24*H24,"")</f>
        <v>0.56</v>
      </c>
      <c r="J24" s="13" t="n">
        <v>9594</v>
      </c>
      <c r="L24" s="12" t="n">
        <f aca="false">IFERROR(LOOKUP(IF(K24="",G24,K24),{0,1,10,50,100,1000,10000},{0,0.14,0.077,0.064,0.043,0.02,0.02}),"")</f>
        <v>0.14</v>
      </c>
      <c r="M24" s="12" t="n">
        <f aca="false">IFERROR(IF(K24="",G24,K24)*L24,"")</f>
        <v>0.56</v>
      </c>
      <c r="N24" s="14" t="s">
        <v>95</v>
      </c>
    </row>
    <row r="25" customFormat="false" ht="15" hidden="false" customHeight="false" outlineLevel="0" collapsed="false">
      <c r="A25" s="10" t="s">
        <v>96</v>
      </c>
      <c r="B25" s="10" t="s">
        <v>97</v>
      </c>
      <c r="D25" s="10" t="s">
        <v>77</v>
      </c>
      <c r="F25" s="10" t="s">
        <v>98</v>
      </c>
      <c r="G25" s="11" t="n">
        <f aca="false">BoardQty*1</f>
        <v>2</v>
      </c>
      <c r="H25" s="12" t="n">
        <f aca="true">MINA(INDIRECT(ADDRESS(ROW(),COLUMN(mouser_part_data)+2)))</f>
        <v>0.23</v>
      </c>
      <c r="I25" s="12" t="n">
        <f aca="false">IFERROR(G25*H25,"")</f>
        <v>0.46</v>
      </c>
      <c r="J25" s="13" t="n">
        <v>5828</v>
      </c>
      <c r="L25" s="12" t="n">
        <f aca="false">IFERROR(LOOKUP(IF(K25="",G25,K25),{0,1,10,50,100,1000,10000},{0,0.23,0.23,0.179,0.154,0.115,0.085}),"")</f>
        <v>0.23</v>
      </c>
      <c r="M25" s="12" t="n">
        <f aca="false">IFERROR(IF(K25="",G25,K25)*L25,"")</f>
        <v>0.46</v>
      </c>
      <c r="N25" s="14" t="s">
        <v>99</v>
      </c>
    </row>
    <row r="26" customFormat="false" ht="15" hidden="false" customHeight="false" outlineLevel="0" collapsed="false">
      <c r="A26" s="10" t="s">
        <v>100</v>
      </c>
      <c r="B26" s="10" t="s">
        <v>101</v>
      </c>
      <c r="D26" s="10" t="s">
        <v>77</v>
      </c>
      <c r="F26" s="10" t="s">
        <v>102</v>
      </c>
      <c r="G26" s="11" t="n">
        <f aca="false">BoardQty*1</f>
        <v>2</v>
      </c>
      <c r="H26" s="12" t="n">
        <f aca="true">MINA(INDIRECT(ADDRESS(ROW(),COLUMN(mouser_part_data)+2)))</f>
        <v>0.12</v>
      </c>
      <c r="I26" s="12" t="n">
        <f aca="false">IFERROR(G26*H26,"")</f>
        <v>0.24</v>
      </c>
      <c r="J26" s="13" t="n">
        <v>4746</v>
      </c>
      <c r="L26" s="12" t="n">
        <f aca="false">IFERROR(LOOKUP(IF(K26="",G26,K26),{0,1,10,50,100,1000,10000},{0,0.12,0.064,0.064,0.023,0.016,0.01}),"")</f>
        <v>0.12</v>
      </c>
      <c r="M26" s="12" t="n">
        <f aca="false">IFERROR(IF(K26="",G26,K26)*L26,"")</f>
        <v>0.24</v>
      </c>
      <c r="N26" s="14" t="s">
        <v>103</v>
      </c>
    </row>
    <row r="27" customFormat="false" ht="14.9" hidden="false" customHeight="false" outlineLevel="0" collapsed="false">
      <c r="A27" s="10" t="s">
        <v>104</v>
      </c>
      <c r="B27" s="10" t="s">
        <v>105</v>
      </c>
      <c r="C27" s="15" t="s">
        <v>56</v>
      </c>
      <c r="D27" s="10" t="s">
        <v>106</v>
      </c>
      <c r="G27" s="11" t="n">
        <f aca="false">BoardQty*1</f>
        <v>2</v>
      </c>
      <c r="H27" s="12" t="n">
        <f aca="true">MINA(INDIRECT(ADDRESS(ROW(),COLUMN(mouser_part_data)+2)))</f>
        <v>0</v>
      </c>
      <c r="I27" s="12" t="n">
        <f aca="false">IFERROR(G27*H27,"")</f>
        <v>0</v>
      </c>
    </row>
    <row r="28" customFormat="false" ht="15" hidden="false" customHeight="false" outlineLevel="0" collapsed="false">
      <c r="A28" s="10" t="s">
        <v>107</v>
      </c>
      <c r="B28" s="10" t="s">
        <v>108</v>
      </c>
      <c r="C28" s="0" t="s">
        <v>72</v>
      </c>
      <c r="G28" s="11" t="n">
        <f aca="false">BoardQty*1</f>
        <v>2</v>
      </c>
      <c r="H28" s="12" t="n">
        <f aca="true">MINA(INDIRECT(ADDRESS(ROW(),COLUMN(mouser_part_data)+2)))</f>
        <v>0</v>
      </c>
      <c r="I28" s="12" t="n">
        <f aca="false">IFERROR(G28*H28,"")</f>
        <v>0</v>
      </c>
    </row>
    <row r="29" customFormat="false" ht="14.9" hidden="false" customHeight="false" outlineLevel="0" collapsed="false">
      <c r="A29" s="10" t="s">
        <v>109</v>
      </c>
      <c r="B29" s="10" t="s">
        <v>110</v>
      </c>
      <c r="C29" s="15" t="s">
        <v>56</v>
      </c>
      <c r="D29" s="10" t="s">
        <v>111</v>
      </c>
      <c r="G29" s="11" t="n">
        <f aca="false">BoardQty*1</f>
        <v>2</v>
      </c>
      <c r="H29" s="12" t="n">
        <f aca="true">MINA(INDIRECT(ADDRESS(ROW(),COLUMN(mouser_part_data)+2)))</f>
        <v>0</v>
      </c>
      <c r="I29" s="12" t="n">
        <f aca="false">IFERROR(G29*H29,"")</f>
        <v>0</v>
      </c>
    </row>
    <row r="30" customFormat="false" ht="14.9" hidden="false" customHeight="false" outlineLevel="0" collapsed="false">
      <c r="A30" s="10" t="s">
        <v>112</v>
      </c>
      <c r="B30" s="10" t="s">
        <v>113</v>
      </c>
      <c r="C30" s="15" t="s">
        <v>56</v>
      </c>
      <c r="G30" s="11" t="n">
        <f aca="false">BoardQty*1</f>
        <v>2</v>
      </c>
      <c r="H30" s="12" t="n">
        <f aca="true">MINA(INDIRECT(ADDRESS(ROW(),COLUMN(mouser_part_data)+2)))</f>
        <v>0</v>
      </c>
      <c r="I30" s="12" t="n">
        <f aca="false">IFERROR(G30*H30,"")</f>
        <v>0</v>
      </c>
    </row>
    <row r="31" customFormat="false" ht="14.9" hidden="false" customHeight="false" outlineLevel="0" collapsed="false">
      <c r="A31" s="10" t="s">
        <v>114</v>
      </c>
      <c r="B31" s="10" t="s">
        <v>115</v>
      </c>
      <c r="C31" s="0" t="s">
        <v>72</v>
      </c>
      <c r="D31" s="10" t="s">
        <v>116</v>
      </c>
      <c r="F31" s="10" t="s">
        <v>117</v>
      </c>
      <c r="G31" s="11" t="n">
        <f aca="false">BoardQty*1</f>
        <v>2</v>
      </c>
      <c r="H31" s="12" t="n">
        <f aca="true">MINA(INDIRECT(ADDRESS(ROW(),COLUMN(mouser_part_data)+2)))</f>
        <v>2.04</v>
      </c>
      <c r="I31" s="12" t="n">
        <f aca="false">IFERROR(G31*H31,"")</f>
        <v>4.08</v>
      </c>
      <c r="J31" s="13" t="n">
        <v>110828</v>
      </c>
      <c r="L31" s="12" t="n">
        <f aca="false">IFERROR(LOOKUP(IF(K31="",G31,K31),{0,1,10,50,100,1000,10000},{0,2.04,2.04,1.97,1.9,1.46,1.4}),"")</f>
        <v>2.04</v>
      </c>
      <c r="M31" s="12" t="n">
        <f aca="false">IFERROR(IF(K31="",G31,K31)*L31,"")</f>
        <v>4.08</v>
      </c>
      <c r="N31" s="14" t="s">
        <v>118</v>
      </c>
    </row>
    <row r="32" customFormat="false" ht="14.9" hidden="false" customHeight="false" outlineLevel="0" collapsed="false">
      <c r="A32" s="10" t="s">
        <v>119</v>
      </c>
      <c r="B32" s="10" t="s">
        <v>120</v>
      </c>
      <c r="C32" s="0" t="s">
        <v>72</v>
      </c>
      <c r="D32" s="10" t="s">
        <v>121</v>
      </c>
      <c r="F32" s="10" t="s">
        <v>122</v>
      </c>
      <c r="G32" s="11" t="n">
        <f aca="false">BoardQty*2</f>
        <v>4</v>
      </c>
      <c r="H32" s="12" t="n">
        <f aca="true">MINA(INDIRECT(ADDRESS(ROW(),COLUMN(mouser_part_data)+2)))</f>
        <v>2.15</v>
      </c>
      <c r="I32" s="12" t="n">
        <f aca="false">IFERROR(G32*H32,"")</f>
        <v>8.6</v>
      </c>
      <c r="J32" s="13" t="n">
        <v>26564</v>
      </c>
      <c r="L32" s="12" t="n">
        <f aca="false">IFERROR(LOOKUP(IF(K32="",G32,K32),{0,1,10,50,100,1000,10000},{0,2.15,1.83,1.83,1.46,1.06,0.949}),"")</f>
        <v>2.15</v>
      </c>
      <c r="M32" s="12" t="n">
        <f aca="false">IFERROR(IF(K32="",G32,K32)*L32,"")</f>
        <v>8.6</v>
      </c>
      <c r="N32" s="14" t="s">
        <v>123</v>
      </c>
    </row>
    <row r="33" customFormat="false" ht="14.9" hidden="false" customHeight="false" outlineLevel="0" collapsed="false">
      <c r="A33" s="10" t="s">
        <v>124</v>
      </c>
      <c r="B33" s="10" t="s">
        <v>125</v>
      </c>
      <c r="C33" s="0" t="s">
        <v>72</v>
      </c>
      <c r="D33" s="10" t="s">
        <v>126</v>
      </c>
      <c r="E33" s="10" t="s">
        <v>127</v>
      </c>
      <c r="F33" s="10" t="s">
        <v>125</v>
      </c>
      <c r="G33" s="11" t="n">
        <f aca="false">BoardQty*1</f>
        <v>2</v>
      </c>
      <c r="H33" s="12" t="n">
        <f aca="true">MINA(INDIRECT(ADDRESS(ROW(),COLUMN(mouser_part_data)+2)))</f>
        <v>0</v>
      </c>
      <c r="I33" s="12" t="n">
        <f aca="false">IFERROR(G33*H33,"")</f>
        <v>0</v>
      </c>
    </row>
    <row r="34" customFormat="false" ht="14.9" hidden="false" customHeight="false" outlineLevel="0" collapsed="false">
      <c r="A34" s="10" t="s">
        <v>128</v>
      </c>
      <c r="B34" s="10" t="s">
        <v>129</v>
      </c>
      <c r="C34" s="0" t="s">
        <v>72</v>
      </c>
      <c r="D34" s="10" t="s">
        <v>130</v>
      </c>
      <c r="F34" s="10" t="s">
        <v>129</v>
      </c>
      <c r="G34" s="11" t="n">
        <f aca="false">BoardQty*1</f>
        <v>2</v>
      </c>
      <c r="H34" s="12" t="n">
        <f aca="true">MINA(INDIRECT(ADDRESS(ROW(),COLUMN(mouser_part_data)+2)))</f>
        <v>2.46</v>
      </c>
      <c r="I34" s="12" t="n">
        <f aca="false">IFERROR(G34*H34,"")</f>
        <v>4.92</v>
      </c>
      <c r="J34" s="13" t="n">
        <v>1891</v>
      </c>
      <c r="L34" s="12" t="n">
        <f aca="false">IFERROR(LOOKUP(IF(K34="",G34,K34),{0,1,10,50,100,1000,10000},{0,2.46,2.09,2.09,1.68,1.22,1.09}),"")</f>
        <v>2.46</v>
      </c>
      <c r="M34" s="12" t="n">
        <f aca="false">IFERROR(IF(K34="",G34,K34)*L34,"")</f>
        <v>4.92</v>
      </c>
      <c r="N34" s="14" t="s">
        <v>131</v>
      </c>
    </row>
    <row r="35" customFormat="false" ht="15" hidden="false" customHeight="false" outlineLevel="0" collapsed="false">
      <c r="A35" s="10" t="s">
        <v>132</v>
      </c>
      <c r="B35" s="10" t="s">
        <v>133</v>
      </c>
      <c r="C35" s="0" t="s">
        <v>56</v>
      </c>
      <c r="D35" s="10" t="s">
        <v>134</v>
      </c>
      <c r="G35" s="11" t="n">
        <f aca="false">BoardQty*1</f>
        <v>2</v>
      </c>
      <c r="H35" s="12" t="n">
        <f aca="true">MINA(INDIRECT(ADDRESS(ROW(),COLUMN(mouser_part_data)+2)))</f>
        <v>0</v>
      </c>
      <c r="I35" s="12" t="n">
        <f aca="false">IFERROR(G35*H35,"")</f>
        <v>0</v>
      </c>
    </row>
    <row r="37" customFormat="false" ht="15" hidden="false" customHeight="false" outlineLevel="0" collapsed="false">
      <c r="A37" s="2" t="s">
        <v>135</v>
      </c>
      <c r="H37" s="1" t="s">
        <v>136</v>
      </c>
      <c r="I37" s="5" t="n">
        <f aca="true">SUM(INDIRECT(ADDRESS(ROW(),COLUMN(mouser_part_data)+3)))</f>
        <v>0</v>
      </c>
      <c r="K37" s="6" t="str">
        <f aca="false">IFERROR(IF(OR(K7:K35),COUNTIFS(K7:K35,"&gt;0",M7:M35,"&lt;&gt;")&amp;" of "&amp;(ROWS(M7:M35)-COUNTBLANK(M7:M35))&amp;" parts purchased",""),"")</f>
        <v/>
      </c>
      <c r="M37" s="5" t="n">
        <f aca="false">SUMIF(K7:K35,"&gt;0",M7:M35)</f>
        <v>0</v>
      </c>
    </row>
    <row r="38" customFormat="false" ht="15" hidden="false" customHeight="false" outlineLevel="0" collapsed="false">
      <c r="K38" s="0" t="str">
        <f aca="false" t="array" ref="K38:K38">IFERROR(CONCATENATE((INDEX($N$7:$N$35,SMALL(IF($N$7:$N$35&lt;&gt;"",IF($K$7:$K$35&lt;&gt;"",ROW($K$7:$K$35)-MIN(ROW($K$7:$K$35))+1,""),""),ROW()-ROW(A$38)+1))),"|"),"")</f>
        <v/>
      </c>
      <c r="L38" s="0" t="str">
        <f aca="false" t="array" ref="L38:L38">IFERROR(CONCATENATE(TEXT(INDEX($K$7:$K$35,SMALL(IF($N$7:$N$35&lt;&gt;"",IF($K$7:$K$35&lt;&gt;"",ROW($K$7:$K$35)-MIN(ROW($K$7:$K$35))+1,""),""),ROW()-ROW(A$38)+1)),"##0"),"|"),"")</f>
        <v/>
      </c>
      <c r="M38" s="0" t="str">
        <f aca="false" t="array" ref="M38:M38">IFERROR(CONCATENATE((INDEX($A$7:$A$35,SMALL(IF($N$7:$N$35&lt;&gt;"",IF($K$7:$K$35&lt;&gt;"",ROW($K$7:$K$35)-MIN(ROW($K$7:$K$35))+1,""),""),ROW()-ROW(A$38)+1))),),"")</f>
        <v/>
      </c>
    </row>
    <row r="39" customFormat="false" ht="15" hidden="false" customHeight="false" outlineLevel="0" collapsed="false">
      <c r="K39" s="0" t="str">
        <f aca="false" t="array" ref="K39:K39">IFERROR(CONCATENATE((INDEX($N$7:$N$35,SMALL(IF($N$7:$N$35&lt;&gt;"",IF($K$7:$K$35&lt;&gt;"",ROW($K$7:$K$35)-MIN(ROW($K$7:$K$35))+1,""),""),ROW()-ROW(A$38)+1))),"|"),"")</f>
        <v/>
      </c>
      <c r="L39" s="0" t="str">
        <f aca="false" t="array" ref="L39:L39">IFERROR(CONCATENATE(TEXT(INDEX($K$7:$K$35,SMALL(IF($N$7:$N$35&lt;&gt;"",IF($K$7:$K$35&lt;&gt;"",ROW($K$7:$K$35)-MIN(ROW($K$7:$K$35))+1,""),""),ROW()-ROW(A$38)+1)),"##0"),"|"),"")</f>
        <v/>
      </c>
      <c r="M39" s="0" t="str">
        <f aca="false" t="array" ref="M39:M39">IFERROR(CONCATENATE((INDEX($A$7:$A$35,SMALL(IF($N$7:$N$35&lt;&gt;"",IF($K$7:$K$35&lt;&gt;"",ROW($K$7:$K$35)-MIN(ROW($K$7:$K$35))+1,""),""),ROW()-ROW(A$38)+1))),),"")</f>
        <v/>
      </c>
    </row>
    <row r="40" customFormat="false" ht="15" hidden="false" customHeight="false" outlineLevel="0" collapsed="false">
      <c r="K40" s="0" t="str">
        <f aca="false" t="array" ref="K40:K40">IFERROR(CONCATENATE((INDEX($N$7:$N$35,SMALL(IF($N$7:$N$35&lt;&gt;"",IF($K$7:$K$35&lt;&gt;"",ROW($K$7:$K$35)-MIN(ROW($K$7:$K$35))+1,""),""),ROW()-ROW(A$38)+1))),"|"),"")</f>
        <v/>
      </c>
      <c r="L40" s="0" t="str">
        <f aca="false" t="array" ref="L40:L40">IFERROR(CONCATENATE(TEXT(INDEX($K$7:$K$35,SMALL(IF($N$7:$N$35&lt;&gt;"",IF($K$7:$K$35&lt;&gt;"",ROW($K$7:$K$35)-MIN(ROW($K$7:$K$35))+1,""),""),ROW()-ROW(A$38)+1)),"##0"),"|"),"")</f>
        <v/>
      </c>
      <c r="M40" s="0" t="str">
        <f aca="false" t="array" ref="M40:M40">IFERROR(CONCATENATE((INDEX($A$7:$A$35,SMALL(IF($N$7:$N$35&lt;&gt;"",IF($K$7:$K$35&lt;&gt;"",ROW($K$7:$K$35)-MIN(ROW($K$7:$K$35))+1,""),""),ROW()-ROW(A$38)+1))),),"")</f>
        <v/>
      </c>
    </row>
    <row r="41" customFormat="false" ht="15" hidden="false" customHeight="false" outlineLevel="0" collapsed="false">
      <c r="K41" s="0" t="str">
        <f aca="false" t="array" ref="K41:K41">IFERROR(CONCATENATE((INDEX($N$7:$N$35,SMALL(IF($N$7:$N$35&lt;&gt;"",IF($K$7:$K$35&lt;&gt;"",ROW($K$7:$K$35)-MIN(ROW($K$7:$K$35))+1,""),""),ROW()-ROW(A$38)+1))),"|"),"")</f>
        <v/>
      </c>
      <c r="L41" s="0" t="str">
        <f aca="false" t="array" ref="L41:L41">IFERROR(CONCATENATE(TEXT(INDEX($K$7:$K$35,SMALL(IF($N$7:$N$35&lt;&gt;"",IF($K$7:$K$35&lt;&gt;"",ROW($K$7:$K$35)-MIN(ROW($K$7:$K$35))+1,""),""),ROW()-ROW(A$38)+1)),"##0"),"|"),"")</f>
        <v/>
      </c>
      <c r="M41" s="0" t="str">
        <f aca="false" t="array" ref="M41:M41">IFERROR(CONCATENATE((INDEX($A$7:$A$35,SMALL(IF($N$7:$N$35&lt;&gt;"",IF($K$7:$K$35&lt;&gt;"",ROW($K$7:$K$35)-MIN(ROW($K$7:$K$35))+1,""),""),ROW()-ROW(A$38)+1))),),"")</f>
        <v/>
      </c>
    </row>
    <row r="42" customFormat="false" ht="15" hidden="false" customHeight="false" outlineLevel="0" collapsed="false">
      <c r="K42" s="0" t="str">
        <f aca="false" t="array" ref="K42:K42">IFERROR(CONCATENATE((INDEX($N$7:$N$35,SMALL(IF($N$7:$N$35&lt;&gt;"",IF($K$7:$K$35&lt;&gt;"",ROW($K$7:$K$35)-MIN(ROW($K$7:$K$35))+1,""),""),ROW()-ROW(A$38)+1))),"|"),"")</f>
        <v/>
      </c>
      <c r="L42" s="0" t="str">
        <f aca="false" t="array" ref="L42:L42">IFERROR(CONCATENATE(TEXT(INDEX($K$7:$K$35,SMALL(IF($N$7:$N$35&lt;&gt;"",IF($K$7:$K$35&lt;&gt;"",ROW($K$7:$K$35)-MIN(ROW($K$7:$K$35))+1,""),""),ROW()-ROW(A$38)+1)),"##0"),"|"),"")</f>
        <v/>
      </c>
      <c r="M42" s="0" t="str">
        <f aca="false" t="array" ref="M42:M42">IFERROR(CONCATENATE((INDEX($A$7:$A$35,SMALL(IF($N$7:$N$35&lt;&gt;"",IF($K$7:$K$35&lt;&gt;"",ROW($K$7:$K$35)-MIN(ROW($K$7:$K$35))+1,""),""),ROW()-ROW(A$38)+1))),),"")</f>
        <v/>
      </c>
    </row>
    <row r="43" customFormat="false" ht="15" hidden="false" customHeight="false" outlineLevel="0" collapsed="false">
      <c r="K43" s="0" t="str">
        <f aca="false" t="array" ref="K43:K43">IFERROR(CONCATENATE((INDEX($N$7:$N$35,SMALL(IF($N$7:$N$35&lt;&gt;"",IF($K$7:$K$35&lt;&gt;"",ROW($K$7:$K$35)-MIN(ROW($K$7:$K$35))+1,""),""),ROW()-ROW(A$38)+1))),"|"),"")</f>
        <v/>
      </c>
      <c r="L43" s="0" t="str">
        <f aca="false" t="array" ref="L43:L43">IFERROR(CONCATENATE(TEXT(INDEX($K$7:$K$35,SMALL(IF($N$7:$N$35&lt;&gt;"",IF($K$7:$K$35&lt;&gt;"",ROW($K$7:$K$35)-MIN(ROW($K$7:$K$35))+1,""),""),ROW()-ROW(A$38)+1)),"##0"),"|"),"")</f>
        <v/>
      </c>
      <c r="M43" s="0" t="str">
        <f aca="false" t="array" ref="M43:M43">IFERROR(CONCATENATE((INDEX($A$7:$A$35,SMALL(IF($N$7:$N$35&lt;&gt;"",IF($K$7:$K$35&lt;&gt;"",ROW($K$7:$K$35)-MIN(ROW($K$7:$K$35))+1,""),""),ROW()-ROW(A$38)+1))),),"")</f>
        <v/>
      </c>
    </row>
    <row r="44" customFormat="false" ht="15" hidden="false" customHeight="false" outlineLevel="0" collapsed="false">
      <c r="K44" s="0" t="str">
        <f aca="false" t="array" ref="K44:K44">IFERROR(CONCATENATE((INDEX($N$7:$N$35,SMALL(IF($N$7:$N$35&lt;&gt;"",IF($K$7:$K$35&lt;&gt;"",ROW($K$7:$K$35)-MIN(ROW($K$7:$K$35))+1,""),""),ROW()-ROW(A$38)+1))),"|"),"")</f>
        <v/>
      </c>
      <c r="L44" s="0" t="str">
        <f aca="false" t="array" ref="L44:L44">IFERROR(CONCATENATE(TEXT(INDEX($K$7:$K$35,SMALL(IF($N$7:$N$35&lt;&gt;"",IF($K$7:$K$35&lt;&gt;"",ROW($K$7:$K$35)-MIN(ROW($K$7:$K$35))+1,""),""),ROW()-ROW(A$38)+1)),"##0"),"|"),"")</f>
        <v/>
      </c>
      <c r="M44" s="0" t="str">
        <f aca="false" t="array" ref="M44:M44">IFERROR(CONCATENATE((INDEX($A$7:$A$35,SMALL(IF($N$7:$N$35&lt;&gt;"",IF($K$7:$K$35&lt;&gt;"",ROW($K$7:$K$35)-MIN(ROW($K$7:$K$35))+1,""),""),ROW()-ROW(A$38)+1))),),"")</f>
        <v/>
      </c>
    </row>
    <row r="45" customFormat="false" ht="15" hidden="false" customHeight="false" outlineLevel="0" collapsed="false">
      <c r="K45" s="0" t="str">
        <f aca="false" t="array" ref="K45:K45">IFERROR(CONCATENATE((INDEX($N$7:$N$35,SMALL(IF($N$7:$N$35&lt;&gt;"",IF($K$7:$K$35&lt;&gt;"",ROW($K$7:$K$35)-MIN(ROW($K$7:$K$35))+1,""),""),ROW()-ROW(A$38)+1))),"|"),"")</f>
        <v/>
      </c>
      <c r="L45" s="0" t="str">
        <f aca="false" t="array" ref="L45:L45">IFERROR(CONCATENATE(TEXT(INDEX($K$7:$K$35,SMALL(IF($N$7:$N$35&lt;&gt;"",IF($K$7:$K$35&lt;&gt;"",ROW($K$7:$K$35)-MIN(ROW($K$7:$K$35))+1,""),""),ROW()-ROW(A$38)+1)),"##0"),"|"),"")</f>
        <v/>
      </c>
      <c r="M45" s="0" t="str">
        <f aca="false" t="array" ref="M45:M45">IFERROR(CONCATENATE((INDEX($A$7:$A$35,SMALL(IF($N$7:$N$35&lt;&gt;"",IF($K$7:$K$35&lt;&gt;"",ROW($K$7:$K$35)-MIN(ROW($K$7:$K$35))+1,""),""),ROW()-ROW(A$38)+1))),),"")</f>
        <v/>
      </c>
    </row>
    <row r="46" customFormat="false" ht="15" hidden="false" customHeight="false" outlineLevel="0" collapsed="false">
      <c r="K46" s="0" t="str">
        <f aca="false" t="array" ref="K46:K46">IFERROR(CONCATENATE((INDEX($N$7:$N$35,SMALL(IF($N$7:$N$35&lt;&gt;"",IF($K$7:$K$35&lt;&gt;"",ROW($K$7:$K$35)-MIN(ROW($K$7:$K$35))+1,""),""),ROW()-ROW(A$38)+1))),"|"),"")</f>
        <v/>
      </c>
      <c r="L46" s="0" t="str">
        <f aca="false" t="array" ref="L46:L46">IFERROR(CONCATENATE(TEXT(INDEX($K$7:$K$35,SMALL(IF($N$7:$N$35&lt;&gt;"",IF($K$7:$K$35&lt;&gt;"",ROW($K$7:$K$35)-MIN(ROW($K$7:$K$35))+1,""),""),ROW()-ROW(A$38)+1)),"##0"),"|"),"")</f>
        <v/>
      </c>
      <c r="M46" s="0" t="str">
        <f aca="false" t="array" ref="M46:M46">IFERROR(CONCATENATE((INDEX($A$7:$A$35,SMALL(IF($N$7:$N$35&lt;&gt;"",IF($K$7:$K$35&lt;&gt;"",ROW($K$7:$K$35)-MIN(ROW($K$7:$K$35))+1,""),""),ROW()-ROW(A$38)+1))),),"")</f>
        <v/>
      </c>
    </row>
    <row r="47" customFormat="false" ht="15" hidden="false" customHeight="false" outlineLevel="0" collapsed="false">
      <c r="K47" s="0" t="str">
        <f aca="false" t="array" ref="K47:K47">IFERROR(CONCATENATE((INDEX($N$7:$N$35,SMALL(IF($N$7:$N$35&lt;&gt;"",IF($K$7:$K$35&lt;&gt;"",ROW($K$7:$K$35)-MIN(ROW($K$7:$K$35))+1,""),""),ROW()-ROW(A$38)+1))),"|"),"")</f>
        <v/>
      </c>
      <c r="L47" s="0" t="str">
        <f aca="false" t="array" ref="L47:L47">IFERROR(CONCATENATE(TEXT(INDEX($K$7:$K$35,SMALL(IF($N$7:$N$35&lt;&gt;"",IF($K$7:$K$35&lt;&gt;"",ROW($K$7:$K$35)-MIN(ROW($K$7:$K$35))+1,""),""),ROW()-ROW(A$38)+1)),"##0"),"|"),"")</f>
        <v/>
      </c>
      <c r="M47" s="0" t="str">
        <f aca="false" t="array" ref="M47:M47">IFERROR(CONCATENATE((INDEX($A$7:$A$35,SMALL(IF($N$7:$N$35&lt;&gt;"",IF($K$7:$K$35&lt;&gt;"",ROW($K$7:$K$35)-MIN(ROW($K$7:$K$35))+1,""),""),ROW()-ROW(A$38)+1))),),"")</f>
        <v/>
      </c>
    </row>
    <row r="48" customFormat="false" ht="15" hidden="false" customHeight="false" outlineLevel="0" collapsed="false">
      <c r="K48" s="0" t="str">
        <f aca="false" t="array" ref="K48:K48">IFERROR(CONCATENATE((INDEX($N$7:$N$35,SMALL(IF($N$7:$N$35&lt;&gt;"",IF($K$7:$K$35&lt;&gt;"",ROW($K$7:$K$35)-MIN(ROW($K$7:$K$35))+1,""),""),ROW()-ROW(A$38)+1))),"|"),"")</f>
        <v/>
      </c>
      <c r="L48" s="0" t="str">
        <f aca="false" t="array" ref="L48:L48">IFERROR(CONCATENATE(TEXT(INDEX($K$7:$K$35,SMALL(IF($N$7:$N$35&lt;&gt;"",IF($K$7:$K$35&lt;&gt;"",ROW($K$7:$K$35)-MIN(ROW($K$7:$K$35))+1,""),""),ROW()-ROW(A$38)+1)),"##0"),"|"),"")</f>
        <v/>
      </c>
      <c r="M48" s="0" t="str">
        <f aca="false" t="array" ref="M48:M48">IFERROR(CONCATENATE((INDEX($A$7:$A$35,SMALL(IF($N$7:$N$35&lt;&gt;"",IF($K$7:$K$35&lt;&gt;"",ROW($K$7:$K$35)-MIN(ROW($K$7:$K$35))+1,""),""),ROW()-ROW(A$38)+1))),),"")</f>
        <v/>
      </c>
    </row>
    <row r="49" customFormat="false" ht="15" hidden="false" customHeight="false" outlineLevel="0" collapsed="false">
      <c r="K49" s="0" t="str">
        <f aca="false" t="array" ref="K49:K49">IFERROR(CONCATENATE((INDEX($N$7:$N$35,SMALL(IF($N$7:$N$35&lt;&gt;"",IF($K$7:$K$35&lt;&gt;"",ROW($K$7:$K$35)-MIN(ROW($K$7:$K$35))+1,""),""),ROW()-ROW(A$38)+1))),"|"),"")</f>
        <v/>
      </c>
      <c r="L49" s="0" t="str">
        <f aca="false" t="array" ref="L49:L49">IFERROR(CONCATENATE(TEXT(INDEX($K$7:$K$35,SMALL(IF($N$7:$N$35&lt;&gt;"",IF($K$7:$K$35&lt;&gt;"",ROW($K$7:$K$35)-MIN(ROW($K$7:$K$35))+1,""),""),ROW()-ROW(A$38)+1)),"##0"),"|"),"")</f>
        <v/>
      </c>
      <c r="M49" s="0" t="str">
        <f aca="false" t="array" ref="M49:M49">IFERROR(CONCATENATE((INDEX($A$7:$A$35,SMALL(IF($N$7:$N$35&lt;&gt;"",IF($K$7:$K$35&lt;&gt;"",ROW($K$7:$K$35)-MIN(ROW($K$7:$K$35))+1,""),""),ROW()-ROW(A$38)+1))),),"")</f>
        <v/>
      </c>
    </row>
    <row r="50" customFormat="false" ht="15" hidden="false" customHeight="false" outlineLevel="0" collapsed="false">
      <c r="K50" s="0" t="str">
        <f aca="false" t="array" ref="K50:K50">IFERROR(CONCATENATE((INDEX($N$7:$N$35,SMALL(IF($N$7:$N$35&lt;&gt;"",IF($K$7:$K$35&lt;&gt;"",ROW($K$7:$K$35)-MIN(ROW($K$7:$K$35))+1,""),""),ROW()-ROW(A$38)+1))),"|"),"")</f>
        <v/>
      </c>
      <c r="L50" s="0" t="str">
        <f aca="false" t="array" ref="L50:L50">IFERROR(CONCATENATE(TEXT(INDEX($K$7:$K$35,SMALL(IF($N$7:$N$35&lt;&gt;"",IF($K$7:$K$35&lt;&gt;"",ROW($K$7:$K$35)-MIN(ROW($K$7:$K$35))+1,""),""),ROW()-ROW(A$38)+1)),"##0"),"|"),"")</f>
        <v/>
      </c>
      <c r="M50" s="0" t="str">
        <f aca="false" t="array" ref="M50:M50">IFERROR(CONCATENATE((INDEX($A$7:$A$35,SMALL(IF($N$7:$N$35&lt;&gt;"",IF($K$7:$K$35&lt;&gt;"",ROW($K$7:$K$35)-MIN(ROW($K$7:$K$35))+1,""),""),ROW()-ROW(A$38)+1))),),"")</f>
        <v/>
      </c>
    </row>
    <row r="51" customFormat="false" ht="15" hidden="false" customHeight="false" outlineLevel="0" collapsed="false">
      <c r="K51" s="0" t="str">
        <f aca="false" t="array" ref="K51:K51">IFERROR(CONCATENATE((INDEX($N$7:$N$35,SMALL(IF($N$7:$N$35&lt;&gt;"",IF($K$7:$K$35&lt;&gt;"",ROW($K$7:$K$35)-MIN(ROW($K$7:$K$35))+1,""),""),ROW()-ROW(A$38)+1))),"|"),"")</f>
        <v/>
      </c>
      <c r="L51" s="0" t="str">
        <f aca="false" t="array" ref="L51:L51">IFERROR(CONCATENATE(TEXT(INDEX($K$7:$K$35,SMALL(IF($N$7:$N$35&lt;&gt;"",IF($K$7:$K$35&lt;&gt;"",ROW($K$7:$K$35)-MIN(ROW($K$7:$K$35))+1,""),""),ROW()-ROW(A$38)+1)),"##0"),"|"),"")</f>
        <v/>
      </c>
      <c r="M51" s="0" t="str">
        <f aca="false" t="array" ref="M51:M51">IFERROR(CONCATENATE((INDEX($A$7:$A$35,SMALL(IF($N$7:$N$35&lt;&gt;"",IF($K$7:$K$35&lt;&gt;"",ROW($K$7:$K$35)-MIN(ROW($K$7:$K$35))+1,""),""),ROW()-ROW(A$38)+1))),),"")</f>
        <v/>
      </c>
    </row>
    <row r="52" customFormat="false" ht="15" hidden="false" customHeight="false" outlineLevel="0" collapsed="false">
      <c r="K52" s="0" t="str">
        <f aca="false" t="array" ref="K52:K52">IFERROR(CONCATENATE((INDEX($N$7:$N$35,SMALL(IF($N$7:$N$35&lt;&gt;"",IF($K$7:$K$35&lt;&gt;"",ROW($K$7:$K$35)-MIN(ROW($K$7:$K$35))+1,""),""),ROW()-ROW(A$38)+1))),"|"),"")</f>
        <v/>
      </c>
      <c r="L52" s="0" t="str">
        <f aca="false" t="array" ref="L52:L52">IFERROR(CONCATENATE(TEXT(INDEX($K$7:$K$35,SMALL(IF($N$7:$N$35&lt;&gt;"",IF($K$7:$K$35&lt;&gt;"",ROW($K$7:$K$35)-MIN(ROW($K$7:$K$35))+1,""),""),ROW()-ROW(A$38)+1)),"##0"),"|"),"")</f>
        <v/>
      </c>
      <c r="M52" s="0" t="str">
        <f aca="false" t="array" ref="M52:M52">IFERROR(CONCATENATE((INDEX($A$7:$A$35,SMALL(IF($N$7:$N$35&lt;&gt;"",IF($K$7:$K$35&lt;&gt;"",ROW($K$7:$K$35)-MIN(ROW($K$7:$K$35))+1,""),""),ROW()-ROW(A$38)+1))),),"")</f>
        <v/>
      </c>
    </row>
    <row r="53" customFormat="false" ht="15" hidden="false" customHeight="false" outlineLevel="0" collapsed="false">
      <c r="K53" s="0" t="str">
        <f aca="false" t="array" ref="K53:K53">IFERROR(CONCATENATE((INDEX($N$7:$N$35,SMALL(IF($N$7:$N$35&lt;&gt;"",IF($K$7:$K$35&lt;&gt;"",ROW($K$7:$K$35)-MIN(ROW($K$7:$K$35))+1,""),""),ROW()-ROW(A$38)+1))),"|"),"")</f>
        <v/>
      </c>
      <c r="L53" s="0" t="str">
        <f aca="false" t="array" ref="L53:L53">IFERROR(CONCATENATE(TEXT(INDEX($K$7:$K$35,SMALL(IF($N$7:$N$35&lt;&gt;"",IF($K$7:$K$35&lt;&gt;"",ROW($K$7:$K$35)-MIN(ROW($K$7:$K$35))+1,""),""),ROW()-ROW(A$38)+1)),"##0"),"|"),"")</f>
        <v/>
      </c>
      <c r="M53" s="0" t="str">
        <f aca="false" t="array" ref="M53:M53">IFERROR(CONCATENATE((INDEX($A$7:$A$35,SMALL(IF($N$7:$N$35&lt;&gt;"",IF($K$7:$K$35&lt;&gt;"",ROW($K$7:$K$35)-MIN(ROW($K$7:$K$35))+1,""),""),ROW()-ROW(A$38)+1))),),"")</f>
        <v/>
      </c>
    </row>
    <row r="54" customFormat="false" ht="15" hidden="false" customHeight="false" outlineLevel="0" collapsed="false">
      <c r="K54" s="0" t="str">
        <f aca="false" t="array" ref="K54:K54">IFERROR(CONCATENATE((INDEX($N$7:$N$35,SMALL(IF($N$7:$N$35&lt;&gt;"",IF($K$7:$K$35&lt;&gt;"",ROW($K$7:$K$35)-MIN(ROW($K$7:$K$35))+1,""),""),ROW()-ROW(A$38)+1))),"|"),"")</f>
        <v/>
      </c>
      <c r="L54" s="0" t="str">
        <f aca="false" t="array" ref="L54:L54">IFERROR(CONCATENATE(TEXT(INDEX($K$7:$K$35,SMALL(IF($N$7:$N$35&lt;&gt;"",IF($K$7:$K$35&lt;&gt;"",ROW($K$7:$K$35)-MIN(ROW($K$7:$K$35))+1,""),""),ROW()-ROW(A$38)+1)),"##0"),"|"),"")</f>
        <v/>
      </c>
      <c r="M54" s="0" t="str">
        <f aca="false" t="array" ref="M54:M54">IFERROR(CONCATENATE((INDEX($A$7:$A$35,SMALL(IF($N$7:$N$35&lt;&gt;"",IF($K$7:$K$35&lt;&gt;"",ROW($K$7:$K$35)-MIN(ROW($K$7:$K$35))+1,""),""),ROW()-ROW(A$38)+1))),),"")</f>
        <v/>
      </c>
    </row>
    <row r="55" customFormat="false" ht="15" hidden="false" customHeight="false" outlineLevel="0" collapsed="false">
      <c r="K55" s="0" t="str">
        <f aca="false" t="array" ref="K55:K55">IFERROR(CONCATENATE((INDEX($N$7:$N$35,SMALL(IF($N$7:$N$35&lt;&gt;"",IF($K$7:$K$35&lt;&gt;"",ROW($K$7:$K$35)-MIN(ROW($K$7:$K$35))+1,""),""),ROW()-ROW(A$38)+1))),"|"),"")</f>
        <v/>
      </c>
      <c r="L55" s="0" t="str">
        <f aca="false" t="array" ref="L55:L55">IFERROR(CONCATENATE(TEXT(INDEX($K$7:$K$35,SMALL(IF($N$7:$N$35&lt;&gt;"",IF($K$7:$K$35&lt;&gt;"",ROW($K$7:$K$35)-MIN(ROW($K$7:$K$35))+1,""),""),ROW()-ROW(A$38)+1)),"##0"),"|"),"")</f>
        <v/>
      </c>
      <c r="M55" s="0" t="str">
        <f aca="false" t="array" ref="M55:M55">IFERROR(CONCATENATE((INDEX($A$7:$A$35,SMALL(IF($N$7:$N$35&lt;&gt;"",IF($K$7:$K$35&lt;&gt;"",ROW($K$7:$K$35)-MIN(ROW($K$7:$K$35))+1,""),""),ROW()-ROW(A$38)+1))),),"")</f>
        <v/>
      </c>
    </row>
    <row r="56" customFormat="false" ht="15" hidden="false" customHeight="false" outlineLevel="0" collapsed="false">
      <c r="K56" s="0" t="str">
        <f aca="false" t="array" ref="K56:K56">IFERROR(CONCATENATE((INDEX($N$7:$N$35,SMALL(IF($N$7:$N$35&lt;&gt;"",IF($K$7:$K$35&lt;&gt;"",ROW($K$7:$K$35)-MIN(ROW($K$7:$K$35))+1,""),""),ROW()-ROW(A$38)+1))),"|"),"")</f>
        <v/>
      </c>
      <c r="L56" s="0" t="str">
        <f aca="false" t="array" ref="L56:L56">IFERROR(CONCATENATE(TEXT(INDEX($K$7:$K$35,SMALL(IF($N$7:$N$35&lt;&gt;"",IF($K$7:$K$35&lt;&gt;"",ROW($K$7:$K$35)-MIN(ROW($K$7:$K$35))+1,""),""),ROW()-ROW(A$38)+1)),"##0"),"|"),"")</f>
        <v/>
      </c>
      <c r="M56" s="0" t="str">
        <f aca="false" t="array" ref="M56:M56">IFERROR(CONCATENATE((INDEX($A$7:$A$35,SMALL(IF($N$7:$N$35&lt;&gt;"",IF($K$7:$K$35&lt;&gt;"",ROW($K$7:$K$35)-MIN(ROW($K$7:$K$35))+1,""),""),ROW()-ROW(A$38)+1))),),"")</f>
        <v/>
      </c>
    </row>
    <row r="57" customFormat="false" ht="15" hidden="false" customHeight="false" outlineLevel="0" collapsed="false">
      <c r="K57" s="0" t="str">
        <f aca="false" t="array" ref="K57:K57">IFERROR(CONCATENATE((INDEX($N$7:$N$35,SMALL(IF($N$7:$N$35&lt;&gt;"",IF($K$7:$K$35&lt;&gt;"",ROW($K$7:$K$35)-MIN(ROW($K$7:$K$35))+1,""),""),ROW()-ROW(A$38)+1))),"|"),"")</f>
        <v/>
      </c>
      <c r="L57" s="0" t="str">
        <f aca="false" t="array" ref="L57:L57">IFERROR(CONCATENATE(TEXT(INDEX($K$7:$K$35,SMALL(IF($N$7:$N$35&lt;&gt;"",IF($K$7:$K$35&lt;&gt;"",ROW($K$7:$K$35)-MIN(ROW($K$7:$K$35))+1,""),""),ROW()-ROW(A$38)+1)),"##0"),"|"),"")</f>
        <v/>
      </c>
      <c r="M57" s="0" t="str">
        <f aca="false" t="array" ref="M57:M57">IFERROR(CONCATENATE((INDEX($A$7:$A$35,SMALL(IF($N$7:$N$35&lt;&gt;"",IF($K$7:$K$35&lt;&gt;"",ROW($K$7:$K$35)-MIN(ROW($K$7:$K$35))+1,""),""),ROW()-ROW(A$38)+1))),),"")</f>
        <v/>
      </c>
    </row>
    <row r="58" customFormat="false" ht="15" hidden="false" customHeight="false" outlineLevel="0" collapsed="false">
      <c r="K58" s="0" t="str">
        <f aca="false" t="array" ref="K58:K58">IFERROR(CONCATENATE((INDEX($N$7:$N$35,SMALL(IF($N$7:$N$35&lt;&gt;"",IF($K$7:$K$35&lt;&gt;"",ROW($K$7:$K$35)-MIN(ROW($K$7:$K$35))+1,""),""),ROW()-ROW(A$38)+1))),"|"),"")</f>
        <v/>
      </c>
      <c r="L58" s="0" t="str">
        <f aca="false" t="array" ref="L58:L58">IFERROR(CONCATENATE(TEXT(INDEX($K$7:$K$35,SMALL(IF($N$7:$N$35&lt;&gt;"",IF($K$7:$K$35&lt;&gt;"",ROW($K$7:$K$35)-MIN(ROW($K$7:$K$35))+1,""),""),ROW()-ROW(A$38)+1)),"##0"),"|"),"")</f>
        <v/>
      </c>
      <c r="M58" s="0" t="str">
        <f aca="false" t="array" ref="M58:M58">IFERROR(CONCATENATE((INDEX($A$7:$A$35,SMALL(IF($N$7:$N$35&lt;&gt;"",IF($K$7:$K$35&lt;&gt;"",ROW($K$7:$K$35)-MIN(ROW($K$7:$K$35))+1,""),""),ROW()-ROW(A$38)+1))),),"")</f>
        <v/>
      </c>
    </row>
    <row r="59" customFormat="false" ht="15" hidden="false" customHeight="false" outlineLevel="0" collapsed="false">
      <c r="K59" s="0" t="str">
        <f aca="false" t="array" ref="K59:K59">IFERROR(CONCATENATE((INDEX($N$7:$N$35,SMALL(IF($N$7:$N$35&lt;&gt;"",IF($K$7:$K$35&lt;&gt;"",ROW($K$7:$K$35)-MIN(ROW($K$7:$K$35))+1,""),""),ROW()-ROW(A$38)+1))),"|"),"")</f>
        <v/>
      </c>
      <c r="L59" s="0" t="str">
        <f aca="false" t="array" ref="L59:L59">IFERROR(CONCATENATE(TEXT(INDEX($K$7:$K$35,SMALL(IF($N$7:$N$35&lt;&gt;"",IF($K$7:$K$35&lt;&gt;"",ROW($K$7:$K$35)-MIN(ROW($K$7:$K$35))+1,""),""),ROW()-ROW(A$38)+1)),"##0"),"|"),"")</f>
        <v/>
      </c>
      <c r="M59" s="0" t="str">
        <f aca="false" t="array" ref="M59:M59">IFERROR(CONCATENATE((INDEX($A$7:$A$35,SMALL(IF($N$7:$N$35&lt;&gt;"",IF($K$7:$K$35&lt;&gt;"",ROW($K$7:$K$35)-MIN(ROW($K$7:$K$35))+1,""),""),ROW()-ROW(A$38)+1))),),"")</f>
        <v/>
      </c>
    </row>
    <row r="60" customFormat="false" ht="15" hidden="false" customHeight="false" outlineLevel="0" collapsed="false">
      <c r="K60" s="0" t="str">
        <f aca="false" t="array" ref="K60:K60">IFERROR(CONCATENATE((INDEX($N$7:$N$35,SMALL(IF($N$7:$N$35&lt;&gt;"",IF($K$7:$K$35&lt;&gt;"",ROW($K$7:$K$35)-MIN(ROW($K$7:$K$35))+1,""),""),ROW()-ROW(A$38)+1))),"|"),"")</f>
        <v/>
      </c>
      <c r="L60" s="0" t="str">
        <f aca="false" t="array" ref="L60:L60">IFERROR(CONCATENATE(TEXT(INDEX($K$7:$K$35,SMALL(IF($N$7:$N$35&lt;&gt;"",IF($K$7:$K$35&lt;&gt;"",ROW($K$7:$K$35)-MIN(ROW($K$7:$K$35))+1,""),""),ROW()-ROW(A$38)+1)),"##0"),"|"),"")</f>
        <v/>
      </c>
      <c r="M60" s="0" t="str">
        <f aca="false" t="array" ref="M60:M60">IFERROR(CONCATENATE((INDEX($A$7:$A$35,SMALL(IF($N$7:$N$35&lt;&gt;"",IF($K$7:$K$35&lt;&gt;"",ROW($K$7:$K$35)-MIN(ROW($K$7:$K$35))+1,""),""),ROW()-ROW(A$38)+1))),),"")</f>
        <v/>
      </c>
    </row>
    <row r="61" customFormat="false" ht="15" hidden="false" customHeight="false" outlineLevel="0" collapsed="false">
      <c r="K61" s="0" t="str">
        <f aca="false" t="array" ref="K61:K61">IFERROR(CONCATENATE((INDEX($N$7:$N$35,SMALL(IF($N$7:$N$35&lt;&gt;"",IF($K$7:$K$35&lt;&gt;"",ROW($K$7:$K$35)-MIN(ROW($K$7:$K$35))+1,""),""),ROW()-ROW(A$38)+1))),"|"),"")</f>
        <v/>
      </c>
      <c r="L61" s="0" t="str">
        <f aca="false" t="array" ref="L61:L61">IFERROR(CONCATENATE(TEXT(INDEX($K$7:$K$35,SMALL(IF($N$7:$N$35&lt;&gt;"",IF($K$7:$K$35&lt;&gt;"",ROW($K$7:$K$35)-MIN(ROW($K$7:$K$35))+1,""),""),ROW()-ROW(A$38)+1)),"##0"),"|"),"")</f>
        <v/>
      </c>
      <c r="M61" s="0" t="str">
        <f aca="false" t="array" ref="M61:M61">IFERROR(CONCATENATE((INDEX($A$7:$A$35,SMALL(IF($N$7:$N$35&lt;&gt;"",IF($K$7:$K$35&lt;&gt;"",ROW($K$7:$K$35)-MIN(ROW($K$7:$K$35))+1,""),""),ROW()-ROW(A$38)+1))),),"")</f>
        <v/>
      </c>
    </row>
    <row r="62" customFormat="false" ht="15" hidden="false" customHeight="false" outlineLevel="0" collapsed="false">
      <c r="K62" s="0" t="str">
        <f aca="false" t="array" ref="K62:K62">IFERROR(CONCATENATE((INDEX($N$7:$N$35,SMALL(IF($N$7:$N$35&lt;&gt;"",IF($K$7:$K$35&lt;&gt;"",ROW($K$7:$K$35)-MIN(ROW($K$7:$K$35))+1,""),""),ROW()-ROW(A$38)+1))),"|"),"")</f>
        <v/>
      </c>
      <c r="L62" s="0" t="str">
        <f aca="false" t="array" ref="L62:L62">IFERROR(CONCATENATE(TEXT(INDEX($K$7:$K$35,SMALL(IF($N$7:$N$35&lt;&gt;"",IF($K$7:$K$35&lt;&gt;"",ROW($K$7:$K$35)-MIN(ROW($K$7:$K$35))+1,""),""),ROW()-ROW(A$38)+1)),"##0"),"|"),"")</f>
        <v/>
      </c>
      <c r="M62" s="0" t="str">
        <f aca="false" t="array" ref="M62:M62">IFERROR(CONCATENATE((INDEX($A$7:$A$35,SMALL(IF($N$7:$N$35&lt;&gt;"",IF($K$7:$K$35&lt;&gt;"",ROW($K$7:$K$35)-MIN(ROW($K$7:$K$35))+1,""),""),ROW()-ROW(A$38)+1))),),"")</f>
        <v/>
      </c>
    </row>
    <row r="63" customFormat="false" ht="15" hidden="false" customHeight="false" outlineLevel="0" collapsed="false">
      <c r="K63" s="0" t="str">
        <f aca="false" t="array" ref="K63:K63">IFERROR(CONCATENATE((INDEX($N$7:$N$35,SMALL(IF($N$7:$N$35&lt;&gt;"",IF($K$7:$K$35&lt;&gt;"",ROW($K$7:$K$35)-MIN(ROW($K$7:$K$35))+1,""),""),ROW()-ROW(A$38)+1))),"|"),"")</f>
        <v/>
      </c>
      <c r="L63" s="0" t="str">
        <f aca="false" t="array" ref="L63:L63">IFERROR(CONCATENATE(TEXT(INDEX($K$7:$K$35,SMALL(IF($N$7:$N$35&lt;&gt;"",IF($K$7:$K$35&lt;&gt;"",ROW($K$7:$K$35)-MIN(ROW($K$7:$K$35))+1,""),""),ROW()-ROW(A$38)+1)),"##0"),"|"),"")</f>
        <v/>
      </c>
      <c r="M63" s="0" t="str">
        <f aca="false" t="array" ref="M63:M63">IFERROR(CONCATENATE((INDEX($A$7:$A$35,SMALL(IF($N$7:$N$35&lt;&gt;"",IF($K$7:$K$35&lt;&gt;"",ROW($K$7:$K$35)-MIN(ROW($K$7:$K$35))+1,""),""),ROW()-ROW(A$38)+1))),),"")</f>
        <v/>
      </c>
    </row>
    <row r="64" customFormat="false" ht="15" hidden="false" customHeight="false" outlineLevel="0" collapsed="false">
      <c r="K64" s="0" t="str">
        <f aca="false" t="array" ref="K64:K64">IFERROR(CONCATENATE((INDEX($N$7:$N$35,SMALL(IF($N$7:$N$35&lt;&gt;"",IF($K$7:$K$35&lt;&gt;"",ROW($K$7:$K$35)-MIN(ROW($K$7:$K$35))+1,""),""),ROW()-ROW(A$38)+1))),"|"),"")</f>
        <v/>
      </c>
      <c r="L64" s="0" t="str">
        <f aca="false" t="array" ref="L64:L64">IFERROR(CONCATENATE(TEXT(INDEX($K$7:$K$35,SMALL(IF($N$7:$N$35&lt;&gt;"",IF($K$7:$K$35&lt;&gt;"",ROW($K$7:$K$35)-MIN(ROW($K$7:$K$35))+1,""),""),ROW()-ROW(A$38)+1)),"##0"),"|"),"")</f>
        <v/>
      </c>
      <c r="M64" s="0" t="str">
        <f aca="false" t="array" ref="M64:M64">IFERROR(CONCATENATE((INDEX($A$7:$A$35,SMALL(IF($N$7:$N$35&lt;&gt;"",IF($K$7:$K$35&lt;&gt;"",ROW($K$7:$K$35)-MIN(ROW($K$7:$K$35))+1,""),""),ROW()-ROW(A$38)+1))),),"")</f>
        <v/>
      </c>
    </row>
    <row r="65" customFormat="false" ht="15" hidden="false" customHeight="false" outlineLevel="0" collapsed="false">
      <c r="K65" s="0" t="str">
        <f aca="false" t="array" ref="K65:K65">IFERROR(CONCATENATE((INDEX($N$7:$N$35,SMALL(IF($N$7:$N$35&lt;&gt;"",IF($K$7:$K$35&lt;&gt;"",ROW($K$7:$K$35)-MIN(ROW($K$7:$K$35))+1,""),""),ROW()-ROW(A$38)+1))),"|"),"")</f>
        <v/>
      </c>
      <c r="L65" s="0" t="str">
        <f aca="false" t="array" ref="L65:L65">IFERROR(CONCATENATE(TEXT(INDEX($K$7:$K$35,SMALL(IF($N$7:$N$35&lt;&gt;"",IF($K$7:$K$35&lt;&gt;"",ROW($K$7:$K$35)-MIN(ROW($K$7:$K$35))+1,""),""),ROW()-ROW(A$38)+1)),"##0"),"|"),"")</f>
        <v/>
      </c>
      <c r="M65" s="0" t="str">
        <f aca="false" t="array" ref="M65:M65">IFERROR(CONCATENATE((INDEX($A$7:$A$35,SMALL(IF($N$7:$N$35&lt;&gt;"",IF($K$7:$K$35&lt;&gt;"",ROW($K$7:$K$35)-MIN(ROW($K$7:$K$35))+1,""),""),ROW()-ROW(A$38)+1))),),"")</f>
        <v/>
      </c>
    </row>
    <row r="66" customFormat="false" ht="15" hidden="false" customHeight="false" outlineLevel="0" collapsed="false">
      <c r="K66" s="0" t="str">
        <f aca="false" t="array" ref="K66:K66">IFERROR(CONCATENATE((INDEX($N$7:$N$35,SMALL(IF($N$7:$N$35&lt;&gt;"",IF($K$7:$K$35&lt;&gt;"",ROW($K$7:$K$35)-MIN(ROW($K$7:$K$35))+1,""),""),ROW()-ROW(A$38)+1))),"|"),"")</f>
        <v/>
      </c>
      <c r="L66" s="0" t="str">
        <f aca="false" t="array" ref="L66:L66">IFERROR(CONCATENATE(TEXT(INDEX($K$7:$K$35,SMALL(IF($N$7:$N$35&lt;&gt;"",IF($K$7:$K$35&lt;&gt;"",ROW($K$7:$K$35)-MIN(ROW($K$7:$K$35))+1,""),""),ROW()-ROW(A$38)+1)),"##0"),"|"),"")</f>
        <v/>
      </c>
      <c r="M66" s="0" t="str">
        <f aca="false" t="array" ref="M66:M66">IFERROR(CONCATENATE((INDEX($A$7:$A$35,SMALL(IF($N$7:$N$35&lt;&gt;"",IF($K$7:$K$35&lt;&gt;"",ROW($K$7:$K$35)-MIN(ROW($K$7:$K$35))+1,""),""),ROW()-ROW(A$38)+1))),),"")</f>
        <v/>
      </c>
    </row>
  </sheetData>
  <mergeCells count="2">
    <mergeCell ref="A5:I5"/>
    <mergeCell ref="J5:N5"/>
  </mergeCells>
  <conditionalFormatting sqref="G10">
    <cfRule type="expression" priority="2" aboveAverage="0" equalAverage="0" bottom="0" percent="0" rank="0" text="" dxfId="0">
      <formula>AND(ISBLANK(F10),ISBLANK(INDIRECT(ADDRESS(ROW(),COLUMN(mouser_part_data)+4))))</formula>
    </cfRule>
    <cfRule type="expression" priority="3" aboveAverage="0" equalAverage="0" bottom="0" percent="0" rank="0" text="" dxfId="1">
      <formula>IF(SUM(INDIRECT(ADDRESS(ROW(),COLUMN(mouser_part_data)+0)))=0,1,0)</formula>
    </cfRule>
    <cfRule type="cellIs" priority="4" operator="greaterThan" aboveAverage="0" equalAverage="0" bottom="0" percent="0" rank="0" text="" dxfId="2">
      <formula>SUM(INDIRECT(ADDRESS(ROW(),COLUMN(mouser_part_data)+0)))</formula>
    </cfRule>
    <cfRule type="cellIs" priority="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1">
    <cfRule type="expression" priority="6" aboveAverage="0" equalAverage="0" bottom="0" percent="0" rank="0" text="" dxfId="0">
      <formula>AND(ISBLANK(F11),ISBLANK(INDIRECT(ADDRESS(ROW(),COLUMN(mouser_part_data)+4))))</formula>
    </cfRule>
    <cfRule type="expression" priority="7" aboveAverage="0" equalAverage="0" bottom="0" percent="0" rank="0" text="" dxfId="1">
      <formula>IF(SUM(INDIRECT(ADDRESS(ROW(),COLUMN(mouser_part_data)+0)))=0,1,0)</formula>
    </cfRule>
    <cfRule type="cellIs" priority="8" operator="greaterThan" aboveAverage="0" equalAverage="0" bottom="0" percent="0" rank="0" text="" dxfId="2">
      <formula>SUM(INDIRECT(ADDRESS(ROW(),COLUMN(mouser_part_data)+0)))</formula>
    </cfRule>
    <cfRule type="cellIs" priority="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2">
    <cfRule type="expression" priority="10" aboveAverage="0" equalAverage="0" bottom="0" percent="0" rank="0" text="" dxfId="0">
      <formula>AND(ISBLANK(F12),ISBLANK(INDIRECT(ADDRESS(ROW(),COLUMN(mouser_part_data)+4))))</formula>
    </cfRule>
    <cfRule type="expression" priority="11" aboveAverage="0" equalAverage="0" bottom="0" percent="0" rank="0" text="" dxfId="1">
      <formula>IF(SUM(INDIRECT(ADDRESS(ROW(),COLUMN(mouser_part_data)+0)))=0,1,0)</formula>
    </cfRule>
    <cfRule type="cellIs" priority="12" operator="greaterThan" aboveAverage="0" equalAverage="0" bottom="0" percent="0" rank="0" text="" dxfId="2">
      <formula>SUM(INDIRECT(ADDRESS(ROW(),COLUMN(mouser_part_data)+0)))</formula>
    </cfRule>
    <cfRule type="cellIs" priority="1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3">
    <cfRule type="expression" priority="14" aboveAverage="0" equalAverage="0" bottom="0" percent="0" rank="0" text="" dxfId="0">
      <formula>AND(ISBLANK(F13),ISBLANK(INDIRECT(ADDRESS(ROW(),COLUMN(mouser_part_data)+4))))</formula>
    </cfRule>
    <cfRule type="expression" priority="15" aboveAverage="0" equalAverage="0" bottom="0" percent="0" rank="0" text="" dxfId="1">
      <formula>IF(SUM(INDIRECT(ADDRESS(ROW(),COLUMN(mouser_part_data)+0)))=0,1,0)</formula>
    </cfRule>
    <cfRule type="cellIs" priority="16" operator="greaterThan" aboveAverage="0" equalAverage="0" bottom="0" percent="0" rank="0" text="" dxfId="2">
      <formula>SUM(INDIRECT(ADDRESS(ROW(),COLUMN(mouser_part_data)+0)))</formula>
    </cfRule>
    <cfRule type="cellIs" priority="1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4">
    <cfRule type="expression" priority="18" aboveAverage="0" equalAverage="0" bottom="0" percent="0" rank="0" text="" dxfId="0">
      <formula>AND(ISBLANK(F14),ISBLANK(INDIRECT(ADDRESS(ROW(),COLUMN(mouser_part_data)+4))))</formula>
    </cfRule>
    <cfRule type="expression" priority="19" aboveAverage="0" equalAverage="0" bottom="0" percent="0" rank="0" text="" dxfId="1">
      <formula>IF(SUM(INDIRECT(ADDRESS(ROW(),COLUMN(mouser_part_data)+0)))=0,1,0)</formula>
    </cfRule>
    <cfRule type="cellIs" priority="20" operator="greaterThan" aboveAverage="0" equalAverage="0" bottom="0" percent="0" rank="0" text="" dxfId="2">
      <formula>SUM(INDIRECT(ADDRESS(ROW(),COLUMN(mouser_part_data)+0)))</formula>
    </cfRule>
    <cfRule type="cellIs" priority="2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5">
    <cfRule type="expression" priority="22" aboveAverage="0" equalAverage="0" bottom="0" percent="0" rank="0" text="" dxfId="0">
      <formula>AND(ISBLANK(F15),ISBLANK(INDIRECT(ADDRESS(ROW(),COLUMN(mouser_part_data)+4))))</formula>
    </cfRule>
    <cfRule type="expression" priority="23" aboveAverage="0" equalAverage="0" bottom="0" percent="0" rank="0" text="" dxfId="1">
      <formula>IF(SUM(INDIRECT(ADDRESS(ROW(),COLUMN(mouser_part_data)+0)))=0,1,0)</formula>
    </cfRule>
    <cfRule type="cellIs" priority="24" operator="greaterThan" aboveAverage="0" equalAverage="0" bottom="0" percent="0" rank="0" text="" dxfId="2">
      <formula>SUM(INDIRECT(ADDRESS(ROW(),COLUMN(mouser_part_data)+0)))</formula>
    </cfRule>
    <cfRule type="cellIs" priority="2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6">
    <cfRule type="expression" priority="26" aboveAverage="0" equalAverage="0" bottom="0" percent="0" rank="0" text="" dxfId="0">
      <formula>AND(ISBLANK(F16),ISBLANK(INDIRECT(ADDRESS(ROW(),COLUMN(mouser_part_data)+4))))</formula>
    </cfRule>
    <cfRule type="expression" priority="27" aboveAverage="0" equalAverage="0" bottom="0" percent="0" rank="0" text="" dxfId="1">
      <formula>IF(SUM(INDIRECT(ADDRESS(ROW(),COLUMN(mouser_part_data)+0)))=0,1,0)</formula>
    </cfRule>
    <cfRule type="cellIs" priority="28" operator="greaterThan" aboveAverage="0" equalAverage="0" bottom="0" percent="0" rank="0" text="" dxfId="2">
      <formula>SUM(INDIRECT(ADDRESS(ROW(),COLUMN(mouser_part_data)+0)))</formula>
    </cfRule>
    <cfRule type="cellIs" priority="2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7">
    <cfRule type="expression" priority="30" aboveAverage="0" equalAverage="0" bottom="0" percent="0" rank="0" text="" dxfId="0">
      <formula>AND(ISBLANK(F17),ISBLANK(INDIRECT(ADDRESS(ROW(),COLUMN(mouser_part_data)+4))))</formula>
    </cfRule>
    <cfRule type="expression" priority="31" aboveAverage="0" equalAverage="0" bottom="0" percent="0" rank="0" text="" dxfId="1">
      <formula>IF(SUM(INDIRECT(ADDRESS(ROW(),COLUMN(mouser_part_data)+0)))=0,1,0)</formula>
    </cfRule>
    <cfRule type="cellIs" priority="32" operator="greaterThan" aboveAverage="0" equalAverage="0" bottom="0" percent="0" rank="0" text="" dxfId="2">
      <formula>SUM(INDIRECT(ADDRESS(ROW(),COLUMN(mouser_part_data)+0)))</formula>
    </cfRule>
    <cfRule type="cellIs" priority="3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8">
    <cfRule type="expression" priority="34" aboveAverage="0" equalAverage="0" bottom="0" percent="0" rank="0" text="" dxfId="0">
      <formula>AND(ISBLANK(F18),ISBLANK(INDIRECT(ADDRESS(ROW(),COLUMN(mouser_part_data)+4))))</formula>
    </cfRule>
    <cfRule type="expression" priority="35" aboveAverage="0" equalAverage="0" bottom="0" percent="0" rank="0" text="" dxfId="1">
      <formula>IF(SUM(INDIRECT(ADDRESS(ROW(),COLUMN(mouser_part_data)+0)))=0,1,0)</formula>
    </cfRule>
    <cfRule type="cellIs" priority="36" operator="greaterThan" aboveAverage="0" equalAverage="0" bottom="0" percent="0" rank="0" text="" dxfId="2">
      <formula>SUM(INDIRECT(ADDRESS(ROW(),COLUMN(mouser_part_data)+0)))</formula>
    </cfRule>
    <cfRule type="cellIs" priority="3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19">
    <cfRule type="expression" priority="38" aboveAverage="0" equalAverage="0" bottom="0" percent="0" rank="0" text="" dxfId="0">
      <formula>AND(ISBLANK(F19),ISBLANK(INDIRECT(ADDRESS(ROW(),COLUMN(mouser_part_data)+4))))</formula>
    </cfRule>
    <cfRule type="expression" priority="39" aboveAverage="0" equalAverage="0" bottom="0" percent="0" rank="0" text="" dxfId="1">
      <formula>IF(SUM(INDIRECT(ADDRESS(ROW(),COLUMN(mouser_part_data)+0)))=0,1,0)</formula>
    </cfRule>
    <cfRule type="cellIs" priority="40" operator="greaterThan" aboveAverage="0" equalAverage="0" bottom="0" percent="0" rank="0" text="" dxfId="2">
      <formula>SUM(INDIRECT(ADDRESS(ROW(),COLUMN(mouser_part_data)+0)))</formula>
    </cfRule>
    <cfRule type="cellIs" priority="4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0">
    <cfRule type="expression" priority="42" aboveAverage="0" equalAverage="0" bottom="0" percent="0" rank="0" text="" dxfId="0">
      <formula>AND(ISBLANK(F20),ISBLANK(INDIRECT(ADDRESS(ROW(),COLUMN(mouser_part_data)+4))))</formula>
    </cfRule>
    <cfRule type="expression" priority="43" aboveAverage="0" equalAverage="0" bottom="0" percent="0" rank="0" text="" dxfId="1">
      <formula>IF(SUM(INDIRECT(ADDRESS(ROW(),COLUMN(mouser_part_data)+0)))=0,1,0)</formula>
    </cfRule>
    <cfRule type="cellIs" priority="44" operator="greaterThan" aboveAverage="0" equalAverage="0" bottom="0" percent="0" rank="0" text="" dxfId="2">
      <formula>SUM(INDIRECT(ADDRESS(ROW(),COLUMN(mouser_part_data)+0)))</formula>
    </cfRule>
    <cfRule type="cellIs" priority="4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1">
    <cfRule type="expression" priority="46" aboveAverage="0" equalAverage="0" bottom="0" percent="0" rank="0" text="" dxfId="0">
      <formula>AND(ISBLANK(F21),ISBLANK(INDIRECT(ADDRESS(ROW(),COLUMN(mouser_part_data)+4))))</formula>
    </cfRule>
    <cfRule type="expression" priority="47" aboveAverage="0" equalAverage="0" bottom="0" percent="0" rank="0" text="" dxfId="1">
      <formula>IF(SUM(INDIRECT(ADDRESS(ROW(),COLUMN(mouser_part_data)+0)))=0,1,0)</formula>
    </cfRule>
    <cfRule type="cellIs" priority="48" operator="greaterThan" aboveAverage="0" equalAverage="0" bottom="0" percent="0" rank="0" text="" dxfId="2">
      <formula>SUM(INDIRECT(ADDRESS(ROW(),COLUMN(mouser_part_data)+0)))</formula>
    </cfRule>
    <cfRule type="cellIs" priority="4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2">
    <cfRule type="expression" priority="50" aboveAverage="0" equalAverage="0" bottom="0" percent="0" rank="0" text="" dxfId="0">
      <formula>AND(ISBLANK(F22),ISBLANK(INDIRECT(ADDRESS(ROW(),COLUMN(mouser_part_data)+4))))</formula>
    </cfRule>
    <cfRule type="expression" priority="51" aboveAverage="0" equalAverage="0" bottom="0" percent="0" rank="0" text="" dxfId="1">
      <formula>IF(SUM(INDIRECT(ADDRESS(ROW(),COLUMN(mouser_part_data)+0)))=0,1,0)</formula>
    </cfRule>
    <cfRule type="cellIs" priority="52" operator="greaterThan" aboveAverage="0" equalAverage="0" bottom="0" percent="0" rank="0" text="" dxfId="2">
      <formula>SUM(INDIRECT(ADDRESS(ROW(),COLUMN(mouser_part_data)+0)))</formula>
    </cfRule>
    <cfRule type="cellIs" priority="5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3">
    <cfRule type="expression" priority="54" aboveAverage="0" equalAverage="0" bottom="0" percent="0" rank="0" text="" dxfId="0">
      <formula>AND(ISBLANK(F23),ISBLANK(INDIRECT(ADDRESS(ROW(),COLUMN(mouser_part_data)+4))))</formula>
    </cfRule>
    <cfRule type="expression" priority="55" aboveAverage="0" equalAverage="0" bottom="0" percent="0" rank="0" text="" dxfId="1">
      <formula>IF(SUM(INDIRECT(ADDRESS(ROW(),COLUMN(mouser_part_data)+0)))=0,1,0)</formula>
    </cfRule>
    <cfRule type="cellIs" priority="56" operator="greaterThan" aboveAverage="0" equalAverage="0" bottom="0" percent="0" rank="0" text="" dxfId="2">
      <formula>SUM(INDIRECT(ADDRESS(ROW(),COLUMN(mouser_part_data)+0)))</formula>
    </cfRule>
    <cfRule type="cellIs" priority="5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4">
    <cfRule type="expression" priority="58" aboveAverage="0" equalAverage="0" bottom="0" percent="0" rank="0" text="" dxfId="0">
      <formula>AND(ISBLANK(F24),ISBLANK(INDIRECT(ADDRESS(ROW(),COLUMN(mouser_part_data)+4))))</formula>
    </cfRule>
    <cfRule type="expression" priority="59" aboveAverage="0" equalAverage="0" bottom="0" percent="0" rank="0" text="" dxfId="1">
      <formula>IF(SUM(INDIRECT(ADDRESS(ROW(),COLUMN(mouser_part_data)+0)))=0,1,0)</formula>
    </cfRule>
    <cfRule type="cellIs" priority="60" operator="greaterThan" aboveAverage="0" equalAverage="0" bottom="0" percent="0" rank="0" text="" dxfId="2">
      <formula>SUM(INDIRECT(ADDRESS(ROW(),COLUMN(mouser_part_data)+0)))</formula>
    </cfRule>
    <cfRule type="cellIs" priority="6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5">
    <cfRule type="expression" priority="62" aboveAverage="0" equalAverage="0" bottom="0" percent="0" rank="0" text="" dxfId="0">
      <formula>AND(ISBLANK(F25),ISBLANK(INDIRECT(ADDRESS(ROW(),COLUMN(mouser_part_data)+4))))</formula>
    </cfRule>
    <cfRule type="expression" priority="63" aboveAverage="0" equalAverage="0" bottom="0" percent="0" rank="0" text="" dxfId="1">
      <formula>IF(SUM(INDIRECT(ADDRESS(ROW(),COLUMN(mouser_part_data)+0)))=0,1,0)</formula>
    </cfRule>
    <cfRule type="cellIs" priority="64" operator="greaterThan" aboveAverage="0" equalAverage="0" bottom="0" percent="0" rank="0" text="" dxfId="2">
      <formula>SUM(INDIRECT(ADDRESS(ROW(),COLUMN(mouser_part_data)+0)))</formula>
    </cfRule>
    <cfRule type="cellIs" priority="6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6">
    <cfRule type="expression" priority="66" aboveAverage="0" equalAverage="0" bottom="0" percent="0" rank="0" text="" dxfId="0">
      <formula>AND(ISBLANK(F26),ISBLANK(INDIRECT(ADDRESS(ROW(),COLUMN(mouser_part_data)+4))))</formula>
    </cfRule>
    <cfRule type="expression" priority="67" aboveAverage="0" equalAverage="0" bottom="0" percent="0" rank="0" text="" dxfId="1">
      <formula>IF(SUM(INDIRECT(ADDRESS(ROW(),COLUMN(mouser_part_data)+0)))=0,1,0)</formula>
    </cfRule>
    <cfRule type="cellIs" priority="68" operator="greaterThan" aboveAverage="0" equalAverage="0" bottom="0" percent="0" rank="0" text="" dxfId="2">
      <formula>SUM(INDIRECT(ADDRESS(ROW(),COLUMN(mouser_part_data)+0)))</formula>
    </cfRule>
    <cfRule type="cellIs" priority="6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7">
    <cfRule type="expression" priority="70" aboveAverage="0" equalAverage="0" bottom="0" percent="0" rank="0" text="" dxfId="0">
      <formula>AND(ISBLANK(F27),ISBLANK(INDIRECT(ADDRESS(ROW(),COLUMN(mouser_part_data)+4))))</formula>
    </cfRule>
    <cfRule type="expression" priority="71" aboveAverage="0" equalAverage="0" bottom="0" percent="0" rank="0" text="" dxfId="1">
      <formula>IF(SUM(INDIRECT(ADDRESS(ROW(),COLUMN(mouser_part_data)+0)))=0,1,0)</formula>
    </cfRule>
    <cfRule type="cellIs" priority="72" operator="greaterThan" aboveAverage="0" equalAverage="0" bottom="0" percent="0" rank="0" text="" dxfId="2">
      <formula>SUM(INDIRECT(ADDRESS(ROW(),COLUMN(mouser_part_data)+0)))</formula>
    </cfRule>
    <cfRule type="cellIs" priority="7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8">
    <cfRule type="expression" priority="74" aboveAverage="0" equalAverage="0" bottom="0" percent="0" rank="0" text="" dxfId="0">
      <formula>AND(ISBLANK(F28),ISBLANK(INDIRECT(ADDRESS(ROW(),COLUMN(mouser_part_data)+4))))</formula>
    </cfRule>
    <cfRule type="expression" priority="75" aboveAverage="0" equalAverage="0" bottom="0" percent="0" rank="0" text="" dxfId="1">
      <formula>IF(SUM(INDIRECT(ADDRESS(ROW(),COLUMN(mouser_part_data)+0)))=0,1,0)</formula>
    </cfRule>
    <cfRule type="cellIs" priority="76" operator="greaterThan" aboveAverage="0" equalAverage="0" bottom="0" percent="0" rank="0" text="" dxfId="2">
      <formula>SUM(INDIRECT(ADDRESS(ROW(),COLUMN(mouser_part_data)+0)))</formula>
    </cfRule>
    <cfRule type="cellIs" priority="7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29">
    <cfRule type="expression" priority="78" aboveAverage="0" equalAverage="0" bottom="0" percent="0" rank="0" text="" dxfId="0">
      <formula>AND(ISBLANK(F29),ISBLANK(INDIRECT(ADDRESS(ROW(),COLUMN(mouser_part_data)+4))))</formula>
    </cfRule>
    <cfRule type="expression" priority="79" aboveAverage="0" equalAverage="0" bottom="0" percent="0" rank="0" text="" dxfId="1">
      <formula>IF(SUM(INDIRECT(ADDRESS(ROW(),COLUMN(mouser_part_data)+0)))=0,1,0)</formula>
    </cfRule>
    <cfRule type="cellIs" priority="80" operator="greaterThan" aboveAverage="0" equalAverage="0" bottom="0" percent="0" rank="0" text="" dxfId="2">
      <formula>SUM(INDIRECT(ADDRESS(ROW(),COLUMN(mouser_part_data)+0)))</formula>
    </cfRule>
    <cfRule type="cellIs" priority="8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30">
    <cfRule type="expression" priority="82" aboveAverage="0" equalAverage="0" bottom="0" percent="0" rank="0" text="" dxfId="0">
      <formula>AND(ISBLANK(F30),ISBLANK(INDIRECT(ADDRESS(ROW(),COLUMN(mouser_part_data)+4))))</formula>
    </cfRule>
    <cfRule type="expression" priority="83" aboveAverage="0" equalAverage="0" bottom="0" percent="0" rank="0" text="" dxfId="1">
      <formula>IF(SUM(INDIRECT(ADDRESS(ROW(),COLUMN(mouser_part_data)+0)))=0,1,0)</formula>
    </cfRule>
    <cfRule type="cellIs" priority="84" operator="greaterThan" aboveAverage="0" equalAverage="0" bottom="0" percent="0" rank="0" text="" dxfId="2">
      <formula>SUM(INDIRECT(ADDRESS(ROW(),COLUMN(mouser_part_data)+0)))</formula>
    </cfRule>
    <cfRule type="cellIs" priority="8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31">
    <cfRule type="expression" priority="86" aboveAverage="0" equalAverage="0" bottom="0" percent="0" rank="0" text="" dxfId="0">
      <formula>AND(ISBLANK(F31),ISBLANK(INDIRECT(ADDRESS(ROW(),COLUMN(mouser_part_data)+4))))</formula>
    </cfRule>
    <cfRule type="expression" priority="87" aboveAverage="0" equalAverage="0" bottom="0" percent="0" rank="0" text="" dxfId="1">
      <formula>IF(SUM(INDIRECT(ADDRESS(ROW(),COLUMN(mouser_part_data)+0)))=0,1,0)</formula>
    </cfRule>
    <cfRule type="cellIs" priority="88" operator="greaterThan" aboveAverage="0" equalAverage="0" bottom="0" percent="0" rank="0" text="" dxfId="2">
      <formula>SUM(INDIRECT(ADDRESS(ROW(),COLUMN(mouser_part_data)+0)))</formula>
    </cfRule>
    <cfRule type="cellIs" priority="8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32">
    <cfRule type="expression" priority="90" aboveAverage="0" equalAverage="0" bottom="0" percent="0" rank="0" text="" dxfId="0">
      <formula>AND(ISBLANK(F32),ISBLANK(INDIRECT(ADDRESS(ROW(),COLUMN(mouser_part_data)+4))))</formula>
    </cfRule>
    <cfRule type="expression" priority="91" aboveAverage="0" equalAverage="0" bottom="0" percent="0" rank="0" text="" dxfId="1">
      <formula>IF(SUM(INDIRECT(ADDRESS(ROW(),COLUMN(mouser_part_data)+0)))=0,1,0)</formula>
    </cfRule>
    <cfRule type="cellIs" priority="92" operator="greaterThan" aboveAverage="0" equalAverage="0" bottom="0" percent="0" rank="0" text="" dxfId="2">
      <formula>SUM(INDIRECT(ADDRESS(ROW(),COLUMN(mouser_part_data)+0)))</formula>
    </cfRule>
    <cfRule type="cellIs" priority="9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33">
    <cfRule type="expression" priority="94" aboveAverage="0" equalAverage="0" bottom="0" percent="0" rank="0" text="" dxfId="0">
      <formula>AND(ISBLANK(F33),ISBLANK(INDIRECT(ADDRESS(ROW(),COLUMN(mouser_part_data)+4))))</formula>
    </cfRule>
    <cfRule type="expression" priority="95" aboveAverage="0" equalAverage="0" bottom="0" percent="0" rank="0" text="" dxfId="1">
      <formula>IF(SUM(INDIRECT(ADDRESS(ROW(),COLUMN(mouser_part_data)+0)))=0,1,0)</formula>
    </cfRule>
    <cfRule type="cellIs" priority="96" operator="greaterThan" aboveAverage="0" equalAverage="0" bottom="0" percent="0" rank="0" text="" dxfId="2">
      <formula>SUM(INDIRECT(ADDRESS(ROW(),COLUMN(mouser_part_data)+0)))</formula>
    </cfRule>
    <cfRule type="cellIs" priority="9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34">
    <cfRule type="expression" priority="98" aboveAverage="0" equalAverage="0" bottom="0" percent="0" rank="0" text="" dxfId="0">
      <formula>AND(ISBLANK(F34),ISBLANK(INDIRECT(ADDRESS(ROW(),COLUMN(mouser_part_data)+4))))</formula>
    </cfRule>
    <cfRule type="expression" priority="99" aboveAverage="0" equalAverage="0" bottom="0" percent="0" rank="0" text="" dxfId="1">
      <formula>IF(SUM(INDIRECT(ADDRESS(ROW(),COLUMN(mouser_part_data)+0)))=0,1,0)</formula>
    </cfRule>
    <cfRule type="cellIs" priority="100" operator="greaterThan" aboveAverage="0" equalAverage="0" bottom="0" percent="0" rank="0" text="" dxfId="2">
      <formula>SUM(INDIRECT(ADDRESS(ROW(),COLUMN(mouser_part_data)+0)))</formula>
    </cfRule>
    <cfRule type="cellIs" priority="101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35">
    <cfRule type="expression" priority="102" aboveAverage="0" equalAverage="0" bottom="0" percent="0" rank="0" text="" dxfId="0">
      <formula>AND(ISBLANK(F35),ISBLANK(INDIRECT(ADDRESS(ROW(),COLUMN(mouser_part_data)+4))))</formula>
    </cfRule>
    <cfRule type="expression" priority="103" aboveAverage="0" equalAverage="0" bottom="0" percent="0" rank="0" text="" dxfId="1">
      <formula>IF(SUM(INDIRECT(ADDRESS(ROW(),COLUMN(mouser_part_data)+0)))=0,1,0)</formula>
    </cfRule>
    <cfRule type="cellIs" priority="104" operator="greaterThan" aboveAverage="0" equalAverage="0" bottom="0" percent="0" rank="0" text="" dxfId="2">
      <formula>SUM(INDIRECT(ADDRESS(ROW(),COLUMN(mouser_part_data)+0)))</formula>
    </cfRule>
    <cfRule type="cellIs" priority="105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7">
    <cfRule type="expression" priority="106" aboveAverage="0" equalAverage="0" bottom="0" percent="0" rank="0" text="" dxfId="0">
      <formula>AND(ISBLANK(F7),ISBLANK(INDIRECT(ADDRESS(ROW(),COLUMN(mouser_part_data)+4))))</formula>
    </cfRule>
    <cfRule type="expression" priority="107" aboveAverage="0" equalAverage="0" bottom="0" percent="0" rank="0" text="" dxfId="1">
      <formula>IF(SUM(INDIRECT(ADDRESS(ROW(),COLUMN(mouser_part_data)+0)))=0,1,0)</formula>
    </cfRule>
    <cfRule type="cellIs" priority="108" operator="greaterThan" aboveAverage="0" equalAverage="0" bottom="0" percent="0" rank="0" text="" dxfId="2">
      <formula>SUM(INDIRECT(ADDRESS(ROW(),COLUMN(mouser_part_data)+0)))</formula>
    </cfRule>
    <cfRule type="cellIs" priority="109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8">
    <cfRule type="expression" priority="110" aboveAverage="0" equalAverage="0" bottom="0" percent="0" rank="0" text="" dxfId="0">
      <formula>AND(ISBLANK(F8),ISBLANK(INDIRECT(ADDRESS(ROW(),COLUMN(mouser_part_data)+4))))</formula>
    </cfRule>
    <cfRule type="expression" priority="111" aboveAverage="0" equalAverage="0" bottom="0" percent="0" rank="0" text="" dxfId="1">
      <formula>IF(SUM(INDIRECT(ADDRESS(ROW(),COLUMN(mouser_part_data)+0)))=0,1,0)</formula>
    </cfRule>
    <cfRule type="cellIs" priority="112" operator="greaterThan" aboveAverage="0" equalAverage="0" bottom="0" percent="0" rank="0" text="" dxfId="2">
      <formula>SUM(INDIRECT(ADDRESS(ROW(),COLUMN(mouser_part_data)+0)))</formula>
    </cfRule>
    <cfRule type="cellIs" priority="113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G9">
    <cfRule type="expression" priority="114" aboveAverage="0" equalAverage="0" bottom="0" percent="0" rank="0" text="" dxfId="0">
      <formula>AND(ISBLANK(F9),ISBLANK(INDIRECT(ADDRESS(ROW(),COLUMN(mouser_part_data)+4))))</formula>
    </cfRule>
    <cfRule type="expression" priority="115" aboveAverage="0" equalAverage="0" bottom="0" percent="0" rank="0" text="" dxfId="1">
      <formula>IF(SUM(INDIRECT(ADDRESS(ROW(),COLUMN(mouser_part_data)+0)))=0,1,0)</formula>
    </cfRule>
    <cfRule type="cellIs" priority="116" operator="greaterThan" aboveAverage="0" equalAverage="0" bottom="0" percent="0" rank="0" text="" dxfId="2">
      <formula>SUM(INDIRECT(ADDRESS(ROW(),COLUMN(mouser_part_data)+0)))</formula>
    </cfRule>
    <cfRule type="cellIs" priority="117" operator="greaterThan" aboveAverage="0" equalAverage="0" bottom="0" percent="0" rank="0" text="" dxfId="3">
      <formula>SUM(IF(ISNUMBER(INDIRECT(ADDRESS(ROW(),COLUMN(mouser_part_data)+2))),INDIRECT(ADDRESS(ROW(),COLUMN(mouser_part_data)+1)),0))</formula>
    </cfRule>
  </conditionalFormatting>
  <conditionalFormatting sqref="J10">
    <cfRule type="cellIs" priority="118" operator="equal" aboveAverage="0" equalAverage="0" bottom="0" percent="0" rank="0" text="" dxfId="1">
      <formula>0</formula>
    </cfRule>
    <cfRule type="cellIs" priority="119" operator="lessThan" aboveAverage="0" equalAverage="0" bottom="0" percent="0" rank="0" text="" dxfId="2">
      <formula>G10</formula>
    </cfRule>
  </conditionalFormatting>
  <conditionalFormatting sqref="J11">
    <cfRule type="cellIs" priority="120" operator="equal" aboveAverage="0" equalAverage="0" bottom="0" percent="0" rank="0" text="" dxfId="1">
      <formula>0</formula>
    </cfRule>
    <cfRule type="cellIs" priority="121" operator="lessThan" aboveAverage="0" equalAverage="0" bottom="0" percent="0" rank="0" text="" dxfId="2">
      <formula>G11</formula>
    </cfRule>
  </conditionalFormatting>
  <conditionalFormatting sqref="J12">
    <cfRule type="cellIs" priority="122" operator="equal" aboveAverage="0" equalAverage="0" bottom="0" percent="0" rank="0" text="" dxfId="1">
      <formula>0</formula>
    </cfRule>
    <cfRule type="cellIs" priority="123" operator="lessThan" aboveAverage="0" equalAverage="0" bottom="0" percent="0" rank="0" text="" dxfId="2">
      <formula>G12</formula>
    </cfRule>
  </conditionalFormatting>
  <conditionalFormatting sqref="J13">
    <cfRule type="cellIs" priority="124" operator="equal" aboveAverage="0" equalAverage="0" bottom="0" percent="0" rank="0" text="" dxfId="1">
      <formula>0</formula>
    </cfRule>
    <cfRule type="cellIs" priority="125" operator="lessThan" aboveAverage="0" equalAverage="0" bottom="0" percent="0" rank="0" text="" dxfId="2">
      <formula>G13</formula>
    </cfRule>
  </conditionalFormatting>
  <conditionalFormatting sqref="J16">
    <cfRule type="cellIs" priority="126" operator="equal" aboveAverage="0" equalAverage="0" bottom="0" percent="0" rank="0" text="" dxfId="1">
      <formula>0</formula>
    </cfRule>
    <cfRule type="cellIs" priority="127" operator="lessThan" aboveAverage="0" equalAverage="0" bottom="0" percent="0" rank="0" text="" dxfId="2">
      <formula>G16</formula>
    </cfRule>
  </conditionalFormatting>
  <conditionalFormatting sqref="J20">
    <cfRule type="cellIs" priority="128" operator="equal" aboveAverage="0" equalAverage="0" bottom="0" percent="0" rank="0" text="" dxfId="1">
      <formula>0</formula>
    </cfRule>
    <cfRule type="cellIs" priority="129" operator="lessThan" aboveAverage="0" equalAverage="0" bottom="0" percent="0" rank="0" text="" dxfId="2">
      <formula>G20</formula>
    </cfRule>
  </conditionalFormatting>
  <conditionalFormatting sqref="J21">
    <cfRule type="cellIs" priority="130" operator="equal" aboveAverage="0" equalAverage="0" bottom="0" percent="0" rank="0" text="" dxfId="1">
      <formula>0</formula>
    </cfRule>
    <cfRule type="cellIs" priority="131" operator="lessThan" aboveAverage="0" equalAverage="0" bottom="0" percent="0" rank="0" text="" dxfId="2">
      <formula>G21</formula>
    </cfRule>
  </conditionalFormatting>
  <conditionalFormatting sqref="J22">
    <cfRule type="cellIs" priority="132" operator="equal" aboveAverage="0" equalAverage="0" bottom="0" percent="0" rank="0" text="" dxfId="1">
      <formula>0</formula>
    </cfRule>
    <cfRule type="cellIs" priority="133" operator="lessThan" aboveAverage="0" equalAverage="0" bottom="0" percent="0" rank="0" text="" dxfId="2">
      <formula>G22</formula>
    </cfRule>
  </conditionalFormatting>
  <conditionalFormatting sqref="J23">
    <cfRule type="cellIs" priority="134" operator="equal" aboveAverage="0" equalAverage="0" bottom="0" percent="0" rank="0" text="" dxfId="1">
      <formula>0</formula>
    </cfRule>
    <cfRule type="cellIs" priority="135" operator="lessThan" aboveAverage="0" equalAverage="0" bottom="0" percent="0" rank="0" text="" dxfId="2">
      <formula>G23</formula>
    </cfRule>
  </conditionalFormatting>
  <conditionalFormatting sqref="J24">
    <cfRule type="cellIs" priority="136" operator="equal" aboveAverage="0" equalAverage="0" bottom="0" percent="0" rank="0" text="" dxfId="1">
      <formula>0</formula>
    </cfRule>
    <cfRule type="cellIs" priority="137" operator="lessThan" aboveAverage="0" equalAverage="0" bottom="0" percent="0" rank="0" text="" dxfId="2">
      <formula>G24</formula>
    </cfRule>
  </conditionalFormatting>
  <conditionalFormatting sqref="J25">
    <cfRule type="cellIs" priority="138" operator="equal" aboveAverage="0" equalAverage="0" bottom="0" percent="0" rank="0" text="" dxfId="1">
      <formula>0</formula>
    </cfRule>
    <cfRule type="cellIs" priority="139" operator="lessThan" aboveAverage="0" equalAverage="0" bottom="0" percent="0" rank="0" text="" dxfId="2">
      <formula>G25</formula>
    </cfRule>
  </conditionalFormatting>
  <conditionalFormatting sqref="J26">
    <cfRule type="cellIs" priority="140" operator="equal" aboveAverage="0" equalAverage="0" bottom="0" percent="0" rank="0" text="" dxfId="1">
      <formula>0</formula>
    </cfRule>
    <cfRule type="cellIs" priority="141" operator="lessThan" aboveAverage="0" equalAverage="0" bottom="0" percent="0" rank="0" text="" dxfId="2">
      <formula>G26</formula>
    </cfRule>
  </conditionalFormatting>
  <conditionalFormatting sqref="J31">
    <cfRule type="cellIs" priority="142" operator="equal" aboveAverage="0" equalAverage="0" bottom="0" percent="0" rank="0" text="" dxfId="1">
      <formula>0</formula>
    </cfRule>
    <cfRule type="cellIs" priority="143" operator="lessThan" aboveAverage="0" equalAverage="0" bottom="0" percent="0" rank="0" text="" dxfId="2">
      <formula>G31</formula>
    </cfRule>
  </conditionalFormatting>
  <conditionalFormatting sqref="J32">
    <cfRule type="cellIs" priority="144" operator="equal" aboveAverage="0" equalAverage="0" bottom="0" percent="0" rank="0" text="" dxfId="1">
      <formula>0</formula>
    </cfRule>
    <cfRule type="cellIs" priority="145" operator="lessThan" aboveAverage="0" equalAverage="0" bottom="0" percent="0" rank="0" text="" dxfId="2">
      <formula>G32</formula>
    </cfRule>
  </conditionalFormatting>
  <conditionalFormatting sqref="J34">
    <cfRule type="cellIs" priority="146" operator="equal" aboveAverage="0" equalAverage="0" bottom="0" percent="0" rank="0" text="" dxfId="1">
      <formula>0</formula>
    </cfRule>
    <cfRule type="cellIs" priority="147" operator="lessThan" aboveAverage="0" equalAverage="0" bottom="0" percent="0" rank="0" text="" dxfId="2">
      <formula>G34</formula>
    </cfRule>
  </conditionalFormatting>
  <conditionalFormatting sqref="J7">
    <cfRule type="cellIs" priority="148" operator="equal" aboveAverage="0" equalAverage="0" bottom="0" percent="0" rank="0" text="" dxfId="1">
      <formula>0</formula>
    </cfRule>
    <cfRule type="cellIs" priority="149" operator="lessThan" aboveAverage="0" equalAverage="0" bottom="0" percent="0" rank="0" text="" dxfId="2">
      <formula>G7</formula>
    </cfRule>
  </conditionalFormatting>
  <conditionalFormatting sqref="J8">
    <cfRule type="cellIs" priority="150" operator="equal" aboveAverage="0" equalAverage="0" bottom="0" percent="0" rank="0" text="" dxfId="1">
      <formula>0</formula>
    </cfRule>
    <cfRule type="cellIs" priority="151" operator="lessThan" aboveAverage="0" equalAverage="0" bottom="0" percent="0" rank="0" text="" dxfId="2">
      <formula>G8</formula>
    </cfRule>
  </conditionalFormatting>
  <conditionalFormatting sqref="J9">
    <cfRule type="cellIs" priority="152" operator="equal" aboveAverage="0" equalAverage="0" bottom="0" percent="0" rank="0" text="" dxfId="1">
      <formula>0</formula>
    </cfRule>
    <cfRule type="cellIs" priority="153" operator="lessThan" aboveAverage="0" equalAverage="0" bottom="0" percent="0" rank="0" text="" dxfId="2">
      <formula>G9</formula>
    </cfRule>
  </conditionalFormatting>
  <conditionalFormatting sqref="K10">
    <cfRule type="cellIs" priority="154" operator="greaterThan" aboveAverage="0" equalAverage="0" bottom="0" percent="0" rank="0" text="" dxfId="1">
      <formula>J10</formula>
    </cfRule>
  </conditionalFormatting>
  <conditionalFormatting sqref="K11">
    <cfRule type="cellIs" priority="155" operator="greaterThan" aboveAverage="0" equalAverage="0" bottom="0" percent="0" rank="0" text="" dxfId="1">
      <formula>J11</formula>
    </cfRule>
  </conditionalFormatting>
  <conditionalFormatting sqref="K12">
    <cfRule type="cellIs" priority="156" operator="greaterThan" aboveAverage="0" equalAverage="0" bottom="0" percent="0" rank="0" text="" dxfId="1">
      <formula>J12</formula>
    </cfRule>
  </conditionalFormatting>
  <conditionalFormatting sqref="K13">
    <cfRule type="cellIs" priority="157" operator="greaterThan" aboveAverage="0" equalAverage="0" bottom="0" percent="0" rank="0" text="" dxfId="1">
      <formula>J13</formula>
    </cfRule>
  </conditionalFormatting>
  <conditionalFormatting sqref="K16">
    <cfRule type="cellIs" priority="158" operator="greaterThan" aboveAverage="0" equalAverage="0" bottom="0" percent="0" rank="0" text="" dxfId="1">
      <formula>J16</formula>
    </cfRule>
  </conditionalFormatting>
  <conditionalFormatting sqref="K20">
    <cfRule type="cellIs" priority="159" operator="greaterThan" aboveAverage="0" equalAverage="0" bottom="0" percent="0" rank="0" text="" dxfId="1">
      <formula>J20</formula>
    </cfRule>
  </conditionalFormatting>
  <conditionalFormatting sqref="K21">
    <cfRule type="cellIs" priority="160" operator="greaterThan" aboveAverage="0" equalAverage="0" bottom="0" percent="0" rank="0" text="" dxfId="1">
      <formula>J21</formula>
    </cfRule>
  </conditionalFormatting>
  <conditionalFormatting sqref="K22">
    <cfRule type="cellIs" priority="161" operator="greaterThan" aboveAverage="0" equalAverage="0" bottom="0" percent="0" rank="0" text="" dxfId="1">
      <formula>J22</formula>
    </cfRule>
  </conditionalFormatting>
  <conditionalFormatting sqref="K23">
    <cfRule type="cellIs" priority="162" operator="greaterThan" aboveAverage="0" equalAverage="0" bottom="0" percent="0" rank="0" text="" dxfId="1">
      <formula>J23</formula>
    </cfRule>
  </conditionalFormatting>
  <conditionalFormatting sqref="K24">
    <cfRule type="cellIs" priority="163" operator="greaterThan" aboveAverage="0" equalAverage="0" bottom="0" percent="0" rank="0" text="" dxfId="1">
      <formula>J24</formula>
    </cfRule>
  </conditionalFormatting>
  <conditionalFormatting sqref="K25">
    <cfRule type="cellIs" priority="164" operator="greaterThan" aboveAverage="0" equalAverage="0" bottom="0" percent="0" rank="0" text="" dxfId="1">
      <formula>J25</formula>
    </cfRule>
  </conditionalFormatting>
  <conditionalFormatting sqref="K26">
    <cfRule type="cellIs" priority="165" operator="greaterThan" aboveAverage="0" equalAverage="0" bottom="0" percent="0" rank="0" text="" dxfId="1">
      <formula>J26</formula>
    </cfRule>
  </conditionalFormatting>
  <conditionalFormatting sqref="K31">
    <cfRule type="cellIs" priority="166" operator="greaterThan" aboveAverage="0" equalAverage="0" bottom="0" percent="0" rank="0" text="" dxfId="1">
      <formula>J31</formula>
    </cfRule>
  </conditionalFormatting>
  <conditionalFormatting sqref="K32">
    <cfRule type="cellIs" priority="167" operator="greaterThan" aboveAverage="0" equalAverage="0" bottom="0" percent="0" rank="0" text="" dxfId="1">
      <formula>J32</formula>
    </cfRule>
  </conditionalFormatting>
  <conditionalFormatting sqref="K34">
    <cfRule type="cellIs" priority="168" operator="greaterThan" aboveAverage="0" equalAverage="0" bottom="0" percent="0" rank="0" text="" dxfId="1">
      <formula>J34</formula>
    </cfRule>
  </conditionalFormatting>
  <conditionalFormatting sqref="K7">
    <cfRule type="cellIs" priority="169" operator="greaterThan" aboveAverage="0" equalAverage="0" bottom="0" percent="0" rank="0" text="" dxfId="1">
      <formula>J7</formula>
    </cfRule>
  </conditionalFormatting>
  <conditionalFormatting sqref="K8">
    <cfRule type="cellIs" priority="170" operator="greaterThan" aboveAverage="0" equalAverage="0" bottom="0" percent="0" rank="0" text="" dxfId="1">
      <formula>J8</formula>
    </cfRule>
  </conditionalFormatting>
  <conditionalFormatting sqref="K9">
    <cfRule type="cellIs" priority="171" operator="greaterThan" aboveAverage="0" equalAverage="0" bottom="0" percent="0" rank="0" text="" dxfId="1">
      <formula>J9</formula>
    </cfRule>
  </conditionalFormatting>
  <hyperlinks>
    <hyperlink ref="N7" r:id="rId2" display="474-PRT-00119"/>
    <hyperlink ref="F8" r:id="rId3" display="C0805X106K8RACAUTO"/>
    <hyperlink ref="N8" r:id="rId4" display="80-C0805X106K8RAUTO"/>
    <hyperlink ref="F9" r:id="rId5" display="08055C224K4T4A"/>
    <hyperlink ref="N9" r:id="rId6" display="581-08055C224K4T4A"/>
    <hyperlink ref="F10" r:id="rId7" display="C0805C105Z5VACTU"/>
    <hyperlink ref="N10" r:id="rId8" display="80-C0805C105Z5VACTU"/>
    <hyperlink ref="F11" r:id="rId9" display="CGA4J1X8L1C335K125AC"/>
    <hyperlink ref="N11" r:id="rId10" display="810-CGA4J1X8L335K125"/>
    <hyperlink ref="F12" r:id="rId11" display="08056C225KAT2A"/>
    <hyperlink ref="N12" r:id="rId12" display="581-08056C225KAT2A"/>
    <hyperlink ref="F13" r:id="rId13" display="C0805X104K4RACAUTO"/>
    <hyperlink ref="N13" r:id="rId14" display="80-C0805X104K4RAUTO"/>
    <hyperlink ref="N16" r:id="rId15" display="81-DFE201612PD1R0P2"/>
    <hyperlink ref="F20" r:id="rId16" display="AC0805FR-10470KL"/>
    <hyperlink ref="N20" r:id="rId17" display="603-AC0805FR-10470KL"/>
    <hyperlink ref="F21" r:id="rId18" display="AC0805FR-13100KL"/>
    <hyperlink ref="N21" r:id="rId19" display="603-AC0805FR-13100KL"/>
    <hyperlink ref="F22" r:id="rId20" display="ERJ-6RED5603V"/>
    <hyperlink ref="N22" r:id="rId21" display="667-ERJ-6RED5603V"/>
    <hyperlink ref="F23" r:id="rId22" display="CRCW0805150KFKEAC"/>
    <hyperlink ref="N23" r:id="rId23" display="71-CRCW0805150KFKEAC"/>
    <hyperlink ref="F24" r:id="rId24" display="ERJ-6RBD3900V"/>
    <hyperlink ref="N24" r:id="rId25" display="667-ERJ-6RBD3900V"/>
    <hyperlink ref="F25" r:id="rId26" display="SG73G2ATTD1001D"/>
    <hyperlink ref="N25" r:id="rId27" display="660-SG73G2ATTD1001D"/>
    <hyperlink ref="F26" r:id="rId28" display="RT0805FRE07158RL"/>
    <hyperlink ref="N26" r:id="rId29" display="603-RT0805FRE07158RL"/>
    <hyperlink ref="F31" r:id="rId30" display="FT230XS-R"/>
    <hyperlink ref="N31" r:id="rId31" display="895-FT230XS-R"/>
    <hyperlink ref="F32" r:id="rId32" display="TPS62147RGXR"/>
    <hyperlink ref="N32" r:id="rId33" display="595-TPS62147RGXR"/>
    <hyperlink ref="F34" r:id="rId34" display="MSP430G2553IPW20"/>
    <hyperlink ref="N34" r:id="rId35" display="595-MSP430G2553IPW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2019-03-21T00:19:26Z</dcterms:created>
  <dc:creator/>
  <dc:description/>
  <dc:language>en-US</dc:language>
  <cp:lastModifiedBy/>
  <dcterms:modified xsi:type="dcterms:W3CDTF">2019-03-20T20:21:44Z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