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ospinner. " sheetId="1" r:id="rId1"/>
  </sheets>
  <definedNames>
    <definedName name="BoardQty">'electrospinner. '!$H$1</definedName>
    <definedName name="global_part_data">'electrospinner. '!$A$5:$H$35</definedName>
    <definedName name="mouser_part_data">'electrospinner. '!$I$5:$M$35</definedName>
    <definedName name="TotalCost">'electrospinner. 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$2.95      $2.95
    10   $2.95     $29.50
    50   $2.95    $147.50
   100   $2.95    $295.00
  1000   $2.95  $2,950.00
 10000   $2.95 $29,500.00</t>
        </r>
      </text>
    </comment>
    <comment ref="K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$1.25      $1.25
    10   $1.25     $12.50
    50   $1.25     $62.50
   100   $1.25    $125.00
  1000   $1.25  $1,250.00
 10000   $1.25 $12,500.00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$0.67      $0.67
    10   $0.46      $4.61
    50   $0.46     $23.05
   100   $0.26     $26.20
  1000   $0.16    $165.00
 10000   $0.14  $1,360.00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$1.06      $1.06
    10   $0.75      $7.50
    50   $0.75     $37.50
   100   $0.47     $47.30
  1000   $0.39    $388.00
 10000   $0.25  $2,470.00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$0.48      $4.83
    50   $0.48     $24.15
   100   $0.28     $27.60
  1000   $0.17    $174.00
 10000   $0.14  $1,430.00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$0.59      $0.59
    10   $0.34      $3.44
    50   $0.34     $17.20
   100   $0.23     $23.30
  1000   $0.19    $194.00
 10000   $0.12  $1,190.00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$0.11      $1.13
    50   $0.11      $5.65
   100   $0.08      $7.60
  1000   $0.06     $62.00
 10000   $0.04    $420.00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$0.26      $2.64
    50   $0.26     $13.20
   100   $0.15     $15.00
  1000   $0.09     $92.00
 10000   $0.07    $690.00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$0.73      $0.73
    10   $0.64      $6.37
    50   $0.64     $31.85
   100   $0.45     $45.40
  1000   $0.27    $269.00
 10000   $0.24  $2,370.00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$0.03      $0.31
    50   $0.03      $1.55
   100   $0.02      $1.70
  1000   $0.01     $10.00
 10000   $0.01     $70.00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$0.23      $0.23
    10   $0.23      $2.30
    50   $0.18      $8.95
   100   $0.15     $15.40
  1000   $0.12    $115.00
 10000   $0.08    $850.00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$0.06      $0.65
    50   $0.06      $3.25
   100   $0.04      $3.50
  1000   $0.01     $12.00
 10000   $0.01     $60.00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$0.23      $0.23
    10   $0.23      $2.30
    50   $0.18      $8.95
   100   $0.15     $15.40
  1000   $0.12    $115.00
 10000   $0.08    $850.00</t>
        </r>
      </text>
    </comment>
    <comment ref="I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10   $0.33      $3.34
    50   $0.24     $12.10
   100   $0.23     $23.30
  1000   $0.17    $166.00
 10000   $0.14  $1,430.00</t>
        </r>
      </text>
    </comment>
    <comment ref="K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$2.04      $2.04
    10   $2.04     $20.40
    50   $1.97     $98.50
   100   $1.90    $190.00
  1000   $1.46  $1,460.00
 10000   $1.40 $14,000.00</t>
        </r>
      </text>
    </comment>
    <comment ref="K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$2.15      $2.15
    10   $1.83     $18.30
    50   $1.83     $91.50
   100   $1.46    $146.00
  1000   $1.06  $1,060.00
 10000   $0.95  $9,490.00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$2.46      $2.46
    10   $2.09     $20.90
    50   $2.09    $104.50
   100   $1.68    $168.00
  1000   $1.22  $1,220.00
 10000   $1.09 $10,900.00</t>
        </r>
      </text>
    </comment>
    <comment ref="G3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<sst xmlns="http://schemas.openxmlformats.org/spreadsheetml/2006/main" count="178" uniqueCount="146">
  <si>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</si>
  <si>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</si>
  <si>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</si>
  <si>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</si>
  <si>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</si>
  <si>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</si>
  <si>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</si>
  <si>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</si>
  <si>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</si>
  <si>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A1</t>
  </si>
  <si>
    <t>Pololu_Breakout_DRV8825</t>
  </si>
  <si>
    <t>Module:Pololu_Breakout-16_15.2x20.3mm</t>
  </si>
  <si>
    <t>Pololu</t>
  </si>
  <si>
    <t>2977</t>
  </si>
  <si>
    <t>Barrel_Jack1</t>
  </si>
  <si>
    <t>BarrelJack</t>
  </si>
  <si>
    <t>Connector_BarrelJack:BarrelJack_Horizontal</t>
  </si>
  <si>
    <t>PRT-00119</t>
  </si>
  <si>
    <t>C1</t>
  </si>
  <si>
    <t>0.1uF</t>
  </si>
  <si>
    <t>Capacitor_SMD:C_0805_2012Metric</t>
  </si>
  <si>
    <t>Yageo</t>
  </si>
  <si>
    <t>AS0805KKX7R9BB104</t>
  </si>
  <si>
    <t>C2</t>
  </si>
  <si>
    <t>10uF</t>
  </si>
  <si>
    <t>C0805X106K8RACAUTO</t>
  </si>
  <si>
    <t>C3</t>
  </si>
  <si>
    <t>100uF</t>
  </si>
  <si>
    <t>Capacitor_SMD:CP_Elec_6.3x5.8</t>
  </si>
  <si>
    <t>United Chemi-Con</t>
  </si>
  <si>
    <t>EMZR250ARA101MF61G</t>
  </si>
  <si>
    <t>C4</t>
  </si>
  <si>
    <t>3.3uF</t>
  </si>
  <si>
    <t>CGA4J1X8L1C335K125AC</t>
  </si>
  <si>
    <t>C5,C7-C11</t>
  </si>
  <si>
    <t>Capacitor_SMD:C_0603_1608Metric</t>
  </si>
  <si>
    <t>TDK</t>
  </si>
  <si>
    <t>CGB1T3X6S0G104M022BB</t>
  </si>
  <si>
    <t>C6</t>
  </si>
  <si>
    <t>2.2uF</t>
  </si>
  <si>
    <t>08056C225KAT2A</t>
  </si>
  <si>
    <t>D1</t>
  </si>
  <si>
    <t>RXLED</t>
  </si>
  <si>
    <t>LED_SMD:LED_0603_1608Metric</t>
  </si>
  <si>
    <t>D2</t>
  </si>
  <si>
    <t>TXLED</t>
  </si>
  <si>
    <t>J1</t>
  </si>
  <si>
    <t>Header_02x02</t>
  </si>
  <si>
    <t>Connector_PinHeader_1.00mm:PinHeader_2x02_P1.00mm_Vertical</t>
  </si>
  <si>
    <t>L2</t>
  </si>
  <si>
    <t>1uH</t>
  </si>
  <si>
    <t>Inductor_SMD:L_0805_2012Metric</t>
  </si>
  <si>
    <t>DFE201612PD-1R0M=P2</t>
  </si>
  <si>
    <t>MotorConnector_Female1</t>
  </si>
  <si>
    <t>JST_1x6_Female</t>
  </si>
  <si>
    <t>Connector_JST:JST_EH_B02B-EH-A_1x06_P2.50mm_Vertical</t>
  </si>
  <si>
    <t>MotorConnector_Male1</t>
  </si>
  <si>
    <t>JST_1x6_Male</t>
  </si>
  <si>
    <t>Pt1</t>
  </si>
  <si>
    <t>RS Pro 2371607</t>
  </si>
  <si>
    <t>Emea</t>
  </si>
  <si>
    <t>0900766b815bb283</t>
  </si>
  <si>
    <t>R1</t>
  </si>
  <si>
    <t>158</t>
  </si>
  <si>
    <t>Resistor_SMD:R_0603</t>
  </si>
  <si>
    <t>Bourns</t>
  </si>
  <si>
    <t>CR0603-FX-1580ELF</t>
  </si>
  <si>
    <t>R2</t>
  </si>
  <si>
    <t>100</t>
  </si>
  <si>
    <t>Resistor_SMD:R_0805_2012Metric</t>
  </si>
  <si>
    <t>KOA Speer</t>
  </si>
  <si>
    <t>SG73G2ATTD1000D</t>
  </si>
  <si>
    <t>R3</t>
  </si>
  <si>
    <t>560k</t>
  </si>
  <si>
    <t>ERJ-6RED5603V</t>
  </si>
  <si>
    <t>R4</t>
  </si>
  <si>
    <t>150k</t>
  </si>
  <si>
    <t>CRCW0805150KFKEAC</t>
  </si>
  <si>
    <t>R5,R6</t>
  </si>
  <si>
    <t>390</t>
  </si>
  <si>
    <t>ERJ-6RBD3900V</t>
  </si>
  <si>
    <t>R7</t>
  </si>
  <si>
    <t>10k</t>
  </si>
  <si>
    <t>SG73G2ATTD1001D</t>
  </si>
  <si>
    <t>SW1</t>
  </si>
  <si>
    <t>ResetBTN</t>
  </si>
  <si>
    <t>Button_Switch_THT:SW_PUSH_6mm_H5mm</t>
  </si>
  <si>
    <t>StepperMotor1</t>
  </si>
  <si>
    <t>SY42STH47-1206A</t>
  </si>
  <si>
    <t>1200</t>
  </si>
  <si>
    <t>Temp_Female1</t>
  </si>
  <si>
    <t>JST_1x2_Female</t>
  </si>
  <si>
    <t>Connector_JST:JST_EH_B02B-EH-A_1x02_P2.50mm_Vertical</t>
  </si>
  <si>
    <t>Temp_Male1</t>
  </si>
  <si>
    <t>JST_1x2_Male</t>
  </si>
  <si>
    <t>U1</t>
  </si>
  <si>
    <t>FT230XS</t>
  </si>
  <si>
    <t>Package_SO:SSOP-16_3.9x4.9mm_P0.635mm</t>
  </si>
  <si>
    <t>FT230XS-R</t>
  </si>
  <si>
    <t>U3</t>
  </si>
  <si>
    <t>TPS62147</t>
  </si>
  <si>
    <t>footprints:TPS62147RGXR</t>
  </si>
  <si>
    <t>TPS62147RGXR</t>
  </si>
  <si>
    <t>U5</t>
  </si>
  <si>
    <t>MSP430G2553IPW20</t>
  </si>
  <si>
    <t>Package_SO:TSSOP-20_4.4x6.5mm_P0.65mm</t>
  </si>
  <si>
    <t>USB_B_Header1</t>
  </si>
  <si>
    <t>USB</t>
  </si>
  <si>
    <t>Connector_USB:USB_B_OST_USB-B1HSxx_Horizontal</t>
  </si>
  <si>
    <t>Total Purchase:</t>
  </si>
  <si>
    <t>Prj:</t>
  </si>
  <si>
    <t>Electrospinner PCB</t>
  </si>
  <si>
    <t>Co.:</t>
  </si>
  <si>
    <t>PEDC</t>
  </si>
  <si>
    <t>Prj date:</t>
  </si>
  <si>
    <t>Tue 09 Apr 2019 01:19:35 PM EDT</t>
  </si>
  <si>
    <t>Board Qty:</t>
  </si>
  <si>
    <t>Total Cost:</t>
  </si>
  <si>
    <t>Unit Cost:</t>
  </si>
  <si>
    <t>$ date:</t>
  </si>
  <si>
    <t>2019-04-09 13:20:00</t>
  </si>
  <si>
    <t>Mouser</t>
  </si>
  <si>
    <t>Avail</t>
  </si>
  <si>
    <t>Purch</t>
  </si>
  <si>
    <t>Cat#</t>
  </si>
  <si>
    <t>485-2977</t>
  </si>
  <si>
    <t>474-PRT-00119</t>
  </si>
  <si>
    <t>603-AS0805KKX79BB104</t>
  </si>
  <si>
    <t>80-C0805X106K8RAUTO</t>
  </si>
  <si>
    <t>661-EMZR250ARA101MF6</t>
  </si>
  <si>
    <t>810-CGA4J1X8L335K125</t>
  </si>
  <si>
    <t>810-CGB1T3X6S0G104MB</t>
  </si>
  <si>
    <t>581-08056C225KAT2A</t>
  </si>
  <si>
    <t>81-DFE201612PD1R0P2</t>
  </si>
  <si>
    <t>652-CR0603FX-1580ELF</t>
  </si>
  <si>
    <t>660-SG73G2ATTD1000D</t>
  </si>
  <si>
    <t>667-ERJ-6RED5603V</t>
  </si>
  <si>
    <t>71-CRCW0805150KFKEAC</t>
  </si>
  <si>
    <t>667-ERJ-6RBD3900V</t>
  </si>
  <si>
    <t>660-SG73G2ATTD1001D</t>
  </si>
  <si>
    <t>502-1200</t>
  </si>
  <si>
    <t>NonStk</t>
  </si>
  <si>
    <t>895-FT230XS-R</t>
  </si>
  <si>
    <t>595-TPS62147RGXR</t>
  </si>
  <si>
    <t>595-MSP430G2553IPW20</t>
  </si>
  <si>
    <t>KiCost® v.1.0.5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</si>
</sst>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olu.com/product/2977" TargetMode="External"/><Relationship Id="rId2" Type="http://schemas.openxmlformats.org/officeDocument/2006/relationships/hyperlink" Target="https://octopart.com/click/track?ak=&amp;sig=0ba7423&amp;sid=2401&amp;ppid=71539682&amp;vpid=456349057&amp;ct=offers" TargetMode="External"/><Relationship Id="rId3" Type="http://schemas.openxmlformats.org/officeDocument/2006/relationships/hyperlink" Target="https://octopart.com/click/track?ak=&amp;sig=0cbe72c&amp;sid=2401&amp;ppid=4003427&amp;vpid=460594490&amp;ct=offers" TargetMode="External"/><Relationship Id="rId4" Type="http://schemas.openxmlformats.org/officeDocument/2006/relationships/hyperlink" Target="https://www.mouser.com/datasheet/2/447/yageodocoutput-1313910.pdf" TargetMode="External"/><Relationship Id="rId5" Type="http://schemas.openxmlformats.org/officeDocument/2006/relationships/hyperlink" Target="https://octopart.com/click/track?ak=&amp;sig=0d39007&amp;sid=2401&amp;ppid=91316496&amp;vpid=478009974&amp;ct=offers" TargetMode="External"/><Relationship Id="rId6" Type="http://schemas.openxmlformats.org/officeDocument/2006/relationships/hyperlink" Target="https://www.mouser.com/datasheet/2/212/KEM_C1078_X7R_FT-CAP_AUTO_SMD-1103315.pdf" TargetMode="External"/><Relationship Id="rId7" Type="http://schemas.openxmlformats.org/officeDocument/2006/relationships/hyperlink" Target="https://octopart.com/click/track?ak=&amp;sig=01e5ab8&amp;sid=2401&amp;ppid=84766740&amp;vpid=441341344&amp;ct=offers" TargetMode="External"/><Relationship Id="rId8" Type="http://schemas.openxmlformats.org/officeDocument/2006/relationships/hyperlink" Target="https://www.mouser.com/datasheet/2/420/United-Chemi-Con-776012.pdf" TargetMode="External"/><Relationship Id="rId9" Type="http://schemas.openxmlformats.org/officeDocument/2006/relationships/hyperlink" Target="https://octopart.com/click/track?ak=&amp;sig=06aace5&amp;sid=2401&amp;ppid=91407007&amp;vpid=477153286&amp;ct=offers" TargetMode="External"/><Relationship Id="rId10" Type="http://schemas.openxmlformats.org/officeDocument/2006/relationships/hyperlink" Target="https://www.mouser.com/datasheet/2/400/lcc_automotive_general_en-843974.pdf" TargetMode="External"/><Relationship Id="rId11" Type="http://schemas.openxmlformats.org/officeDocument/2006/relationships/hyperlink" Target="https://octopart.com/click/track?ak=&amp;sig=07e70e7&amp;sid=2401&amp;ppid=87960321&amp;vpid=454661318&amp;ct=offers" TargetMode="External"/><Relationship Id="rId12" Type="http://schemas.openxmlformats.org/officeDocument/2006/relationships/hyperlink" Target="https://www.mouser.com/datasheet/2/400/lcc_commercial_lowprofile_en-520027.pdf" TargetMode="External"/><Relationship Id="rId13" Type="http://schemas.openxmlformats.org/officeDocument/2006/relationships/hyperlink" Target="https://octopart.com/click/track?ak=&amp;sig=0b6b6a8&amp;sid=2401&amp;ppid=30238793&amp;vpid=89300256&amp;ct=offers" TargetMode="External"/><Relationship Id="rId14" Type="http://schemas.openxmlformats.org/officeDocument/2006/relationships/hyperlink" Target="https://www.mouser.com/datasheet/2/40/X7RDielectric-777024.pdf" TargetMode="External"/><Relationship Id="rId15" Type="http://schemas.openxmlformats.org/officeDocument/2006/relationships/hyperlink" Target="https://octopart.com/click/track?ak=&amp;sig=061e3c9&amp;sid=2401&amp;ppid=13247388&amp;vpid=448728367&amp;ct=offers" TargetMode="External"/><Relationship Id="rId16" Type="http://schemas.openxmlformats.org/officeDocument/2006/relationships/hyperlink" Target="https://octopart.com/click/track?ak=&amp;sig=0c8c9b7&amp;sid=2401&amp;ppid=91359931&amp;vpid=476946955&amp;ct=offers" TargetMode="External"/><Relationship Id="rId17" Type="http://schemas.openxmlformats.org/officeDocument/2006/relationships/hyperlink" Target="https://www.mouser.com/datasheet/2/54/hpreztr-777398.pdf" TargetMode="External"/><Relationship Id="rId18" Type="http://schemas.openxmlformats.org/officeDocument/2006/relationships/hyperlink" Target="https://octopart.com/click/track?ak=&amp;sig=0b7fb12&amp;sid=2401&amp;ppid=3858954&amp;vpid=412324783&amp;ct=offers" TargetMode="External"/><Relationship Id="rId19" Type="http://schemas.openxmlformats.org/officeDocument/2006/relationships/hyperlink" Target="https://www.mouser.com/datasheet/2/219/SG73G-1316861.pdf" TargetMode="External"/><Relationship Id="rId20" Type="http://schemas.openxmlformats.org/officeDocument/2006/relationships/hyperlink" Target="https://octopart.com/click/track?ak=&amp;sig=078f9bc&amp;sid=2401&amp;ppid=91328775&amp;vpid=476765708&amp;ct=offers" TargetMode="External"/><Relationship Id="rId21" Type="http://schemas.openxmlformats.org/officeDocument/2006/relationships/hyperlink" Target="https://www.mouser.com/datasheet/2/315/AOA0000C304-1149620.pdf" TargetMode="External"/><Relationship Id="rId22" Type="http://schemas.openxmlformats.org/officeDocument/2006/relationships/hyperlink" Target="https://octopart.com/click/track?ak=&amp;sig=02ed54b&amp;sid=2401&amp;ppid=34853565&amp;vpid=458472497&amp;ct=offers" TargetMode="External"/><Relationship Id="rId23" Type="http://schemas.openxmlformats.org/officeDocument/2006/relationships/hyperlink" Target="https://www.mouser.com/datasheet/2/427/crcwce3-1223726.pdf" TargetMode="External"/><Relationship Id="rId24" Type="http://schemas.openxmlformats.org/officeDocument/2006/relationships/hyperlink" Target="https://octopart.com/click/track?ak=&amp;sig=04ddaae&amp;sid=2401&amp;ppid=10547453&amp;vpid=458954011&amp;ct=offers" TargetMode="External"/><Relationship Id="rId25" Type="http://schemas.openxmlformats.org/officeDocument/2006/relationships/hyperlink" Target="https://www.mouser.com/datasheet/2/315/AOA0000C304-1149620.pdf" TargetMode="External"/><Relationship Id="rId26" Type="http://schemas.openxmlformats.org/officeDocument/2006/relationships/hyperlink" Target="https://octopart.com/click/track?ak=&amp;sig=08792d5&amp;sid=2401&amp;ppid=34853399&amp;vpid=458472180&amp;ct=offers" TargetMode="External"/><Relationship Id="rId27" Type="http://schemas.openxmlformats.org/officeDocument/2006/relationships/hyperlink" Target="https://www.mouser.com/datasheet/2/219/SG73G-1316861.pdf" TargetMode="External"/><Relationship Id="rId28" Type="http://schemas.openxmlformats.org/officeDocument/2006/relationships/hyperlink" Target="https://octopart.com/click/track?ak=&amp;sig=092d196&amp;sid=2401&amp;ppid=91328777&amp;vpid=476765710&amp;ct=offers" TargetMode="External"/><Relationship Id="rId29" Type="http://schemas.openxmlformats.org/officeDocument/2006/relationships/hyperlink" Target="http://datasheet.octopart.com/1200-Keystone-datasheet-15715096.pdf" TargetMode="External"/><Relationship Id="rId30" Type="http://schemas.openxmlformats.org/officeDocument/2006/relationships/hyperlink" Target="https://octopart.com/click/track?c=1&amp;ak=&amp;sig=06d60ec&amp;sid=2401&amp;ppid=603911&amp;vpid=458695195&amp;ct=offers" TargetMode="External"/><Relationship Id="rId31" Type="http://schemas.openxmlformats.org/officeDocument/2006/relationships/hyperlink" Target="http://www.ftdichip.com/Products/ICs/FT230X.html" TargetMode="External"/><Relationship Id="rId32" Type="http://schemas.openxmlformats.org/officeDocument/2006/relationships/hyperlink" Target="https://octopart.com/click/track?ak=&amp;sig=0c6bc06&amp;sid=2401&amp;ppid=22061505&amp;vpid=46538345&amp;ct=offers" TargetMode="External"/><Relationship Id="rId33" Type="http://schemas.openxmlformats.org/officeDocument/2006/relationships/hyperlink" Target="http://www.ti.com/lit/gpn/tps62147" TargetMode="External"/><Relationship Id="rId34" Type="http://schemas.openxmlformats.org/officeDocument/2006/relationships/hyperlink" Target="https://octopart.com/click/track?ak=&amp;sig=04c5498&amp;sid=2401&amp;ppid=91272356&amp;vpid=478302134&amp;ct=offers" TargetMode="External"/><Relationship Id="rId35" Type="http://schemas.openxmlformats.org/officeDocument/2006/relationships/hyperlink" Target="http://www.ti.com/lit/ds/symlink/msp430g2553.pdf" TargetMode="External"/><Relationship Id="rId36" Type="http://schemas.openxmlformats.org/officeDocument/2006/relationships/hyperlink" Target="https://octopart.com/click/track?ak=&amp;sig=05f71f1&amp;sid=2401&amp;ppid=20025578&amp;vpid=52739346&amp;ct=offers" TargetMode="Externa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</cols>
  <sheetData>
    <row r="1" spans="1:13">
      <c r="A1" s="2" t="s">
        <v>110</v>
      </c>
      <c r="B1" s="3" t="s">
        <v>111</v>
      </c>
      <c r="G1" s="4" t="s">
        <v>116</v>
      </c>
      <c r="H1" s="4">
        <v>100</v>
      </c>
    </row>
    <row r="2" spans="1:13">
      <c r="A2" s="2" t="s">
        <v>112</v>
      </c>
      <c r="B2" s="3" t="s">
        <v>113</v>
      </c>
      <c r="G2" s="2" t="s">
        <v>118</v>
      </c>
      <c r="H2" s="5">
        <f>TotalCost/BoardQty</f>
        <v>0</v>
      </c>
    </row>
    <row r="3" spans="1:13">
      <c r="A3" s="2" t="s">
        <v>114</v>
      </c>
      <c r="B3" s="3" t="s">
        <v>115</v>
      </c>
      <c r="G3" s="2" t="s">
        <v>117</v>
      </c>
      <c r="H3" s="6">
        <f>SUM(H7:H35)</f>
        <v>0</v>
      </c>
      <c r="L3" s="6">
        <f>SUM(L7:L35)</f>
        <v>0</v>
      </c>
      <c r="M3" s="7">
        <f>(ROWS(L7:L35)-COUNTBLANK(L7:L35))&amp;" of "&amp;ROWS(L7:L35)&amp;" parts found"</f>
        <v>0</v>
      </c>
    </row>
    <row r="4" spans="1:13">
      <c r="A4" s="2" t="s">
        <v>119</v>
      </c>
      <c r="B4" s="3" t="s">
        <v>120</v>
      </c>
    </row>
    <row r="5" spans="1:13">
      <c r="A5" s="8" t="s">
        <v>0</v>
      </c>
      <c r="B5" s="8"/>
      <c r="C5" s="8"/>
      <c r="D5" s="8"/>
      <c r="E5" s="8"/>
      <c r="F5" s="8"/>
      <c r="G5" s="8"/>
      <c r="H5" s="8"/>
      <c r="I5" s="9" t="s">
        <v>121</v>
      </c>
      <c r="J5" s="9"/>
      <c r="K5" s="9"/>
      <c r="L5" s="9"/>
      <c r="M5" s="9"/>
    </row>
    <row r="6" spans="1:13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122</v>
      </c>
      <c r="J6" s="10" t="s">
        <v>123</v>
      </c>
      <c r="K6" s="10" t="s">
        <v>7</v>
      </c>
      <c r="L6" s="10" t="s">
        <v>8</v>
      </c>
      <c r="M6" s="10" t="s">
        <v>124</v>
      </c>
    </row>
    <row r="7" spans="1:13">
      <c r="A7" s="11" t="s">
        <v>9</v>
      </c>
      <c r="B7" s="11" t="s">
        <v>10</v>
      </c>
      <c r="C7" s="11" t="s">
        <v>11</v>
      </c>
      <c r="D7" s="11" t="s">
        <v>12</v>
      </c>
      <c r="E7" s="11" t="s">
        <v>13</v>
      </c>
      <c r="F7" s="11">
        <f>BoardQty*1</f>
        <v>0</v>
      </c>
      <c r="G7" s="12">
        <f>MINA(INDIRECT(ADDRESS(ROW(),COLUMN(mouser_part_data)+2)))</f>
        <v>0</v>
      </c>
      <c r="H7" s="12">
        <f>iferror(F7*G7,"")</f>
        <v>0</v>
      </c>
      <c r="I7" s="11">
        <v>6</v>
      </c>
      <c r="K7" s="12">
        <f>iferror(lookup(if(J7="",F7,J7),{0,1,10,50,100,1000,10000},{0.0,2.95,2.95,2.95,2.95,2.95,2.95}),"")</f>
        <v>0</v>
      </c>
      <c r="L7" s="12">
        <f>iferror(if(J7="",F7,J7)*K7,"")</f>
        <v>0</v>
      </c>
      <c r="M7" s="13" t="s">
        <v>125</v>
      </c>
    </row>
    <row r="8" spans="1:13">
      <c r="A8" s="11" t="s">
        <v>14</v>
      </c>
      <c r="B8" s="11" t="s">
        <v>15</v>
      </c>
      <c r="C8" s="11" t="s">
        <v>16</v>
      </c>
      <c r="E8" s="11" t="s">
        <v>17</v>
      </c>
      <c r="F8" s="11">
        <f>BoardQty*1</f>
        <v>0</v>
      </c>
      <c r="G8" s="12">
        <f>MINA(INDIRECT(ADDRESS(ROW(),COLUMN(mouser_part_data)+2)))</f>
        <v>0</v>
      </c>
      <c r="H8" s="12">
        <f>iferror(F8*G8,"")</f>
        <v>0</v>
      </c>
      <c r="I8" s="11">
        <v>1106</v>
      </c>
      <c r="K8" s="12">
        <f>iferror(lookup(if(J8="",F8,J8),{0,1,10,50,100,1000,10000},{0.0,1.25,1.25,1.25,1.25,1.25,1.25}),"")</f>
        <v>0</v>
      </c>
      <c r="L8" s="12">
        <f>iferror(if(J8="",F8,J8)*K8,"")</f>
        <v>0</v>
      </c>
      <c r="M8" s="13" t="s">
        <v>126</v>
      </c>
    </row>
    <row r="9" spans="1:13">
      <c r="A9" s="11" t="s">
        <v>18</v>
      </c>
      <c r="B9" s="11" t="s">
        <v>19</v>
      </c>
      <c r="C9" s="11" t="s">
        <v>20</v>
      </c>
      <c r="D9" s="11" t="s">
        <v>21</v>
      </c>
      <c r="E9" s="11" t="s">
        <v>22</v>
      </c>
      <c r="F9" s="11">
        <f>BoardQty*1</f>
        <v>0</v>
      </c>
      <c r="G9" s="12">
        <f>MINA(INDIRECT(ADDRESS(ROW(),COLUMN(mouser_part_data)+2)))</f>
        <v>0</v>
      </c>
      <c r="H9" s="12">
        <f>iferror(F9*G9,"")</f>
        <v>0</v>
      </c>
      <c r="I9" s="11">
        <v>24156</v>
      </c>
      <c r="K9" s="12">
        <f>iferror(lookup(if(J9="",F9,J9),{0,1,10,50,100,1000,10000},{0.0,0.67,0.461,0.461,0.262,0.165,0.136}),"")</f>
        <v>0</v>
      </c>
      <c r="L9" s="12">
        <f>iferror(if(J9="",F9,J9)*K9,"")</f>
        <v>0</v>
      </c>
      <c r="M9" s="13" t="s">
        <v>127</v>
      </c>
    </row>
    <row r="10" spans="1:13">
      <c r="A10" s="11" t="s">
        <v>23</v>
      </c>
      <c r="B10" s="11" t="s">
        <v>24</v>
      </c>
      <c r="C10" s="11" t="s">
        <v>20</v>
      </c>
      <c r="E10" s="11" t="s">
        <v>25</v>
      </c>
      <c r="F10" s="11">
        <f>BoardQty*1</f>
        <v>0</v>
      </c>
      <c r="G10" s="12">
        <f>MINA(INDIRECT(ADDRESS(ROW(),COLUMN(mouser_part_data)+2)))</f>
        <v>0</v>
      </c>
      <c r="H10" s="12">
        <f>iferror(F10*G10,"")</f>
        <v>0</v>
      </c>
      <c r="I10" s="11">
        <v>35924</v>
      </c>
      <c r="K10" s="12">
        <f>iferror(lookup(if(J10="",F10,J10),{0,1,10,50,100,1000,10000},{0.0,1.06,0.75,0.75,0.473,0.388,0.24700000000000003}),"")</f>
        <v>0</v>
      </c>
      <c r="L10" s="12">
        <f>iferror(if(J10="",F10,J10)*K10,"")</f>
        <v>0</v>
      </c>
      <c r="M10" s="13" t="s">
        <v>128</v>
      </c>
    </row>
    <row r="11" spans="1:13">
      <c r="A11" s="11" t="s">
        <v>26</v>
      </c>
      <c r="B11" s="11" t="s">
        <v>27</v>
      </c>
      <c r="C11" s="11" t="s">
        <v>28</v>
      </c>
      <c r="D11" s="11" t="s">
        <v>29</v>
      </c>
      <c r="E11" s="11" t="s">
        <v>30</v>
      </c>
      <c r="F11" s="11">
        <f>BoardQty*1</f>
        <v>0</v>
      </c>
      <c r="G11" s="12">
        <f>MINA(INDIRECT(ADDRESS(ROW(),COLUMN(mouser_part_data)+2)))</f>
        <v>0</v>
      </c>
      <c r="H11" s="12">
        <f>iferror(F11*G11,"")</f>
        <v>0</v>
      </c>
      <c r="I11" s="11">
        <v>3769</v>
      </c>
      <c r="K11" s="12">
        <f>iferror(lookup(if(J11="",F11,J11),{0,1,10,50,100,1000,10000},{0.0,0.6000000000000001,0.483,0.483,0.276,0.174,0.143}),"")</f>
        <v>0</v>
      </c>
      <c r="L11" s="12">
        <f>iferror(if(J11="",F11,J11)*K11,"")</f>
        <v>0</v>
      </c>
      <c r="M11" s="13" t="s">
        <v>129</v>
      </c>
    </row>
    <row r="12" spans="1:13">
      <c r="A12" s="11" t="s">
        <v>31</v>
      </c>
      <c r="B12" s="11" t="s">
        <v>32</v>
      </c>
      <c r="C12" s="11" t="s">
        <v>20</v>
      </c>
      <c r="E12" s="11" t="s">
        <v>33</v>
      </c>
      <c r="F12" s="11">
        <f>BoardQty*1</f>
        <v>0</v>
      </c>
      <c r="G12" s="12">
        <f>MINA(INDIRECT(ADDRESS(ROW(),COLUMN(mouser_part_data)+2)))</f>
        <v>0</v>
      </c>
      <c r="H12" s="12">
        <f>iferror(F12*G12,"")</f>
        <v>0</v>
      </c>
      <c r="I12" s="11">
        <v>2644</v>
      </c>
      <c r="K12" s="12">
        <f>iferror(lookup(if(J12="",F12,J12),{0,1,10,50,100,1000,10000},{0.0,0.59,0.344,0.344,0.233,0.194,0.11899999999999998}),"")</f>
        <v>0</v>
      </c>
      <c r="L12" s="12">
        <f>iferror(if(J12="",F12,J12)*K12,"")</f>
        <v>0</v>
      </c>
      <c r="M12" s="13" t="s">
        <v>130</v>
      </c>
    </row>
    <row r="13" spans="1:13">
      <c r="A13" s="11" t="s">
        <v>34</v>
      </c>
      <c r="B13" s="11" t="s">
        <v>19</v>
      </c>
      <c r="C13" s="11" t="s">
        <v>35</v>
      </c>
      <c r="D13" s="11" t="s">
        <v>36</v>
      </c>
      <c r="E13" s="11" t="s">
        <v>37</v>
      </c>
      <c r="F13" s="11">
        <f>BoardQty*6</f>
        <v>0</v>
      </c>
      <c r="G13" s="12">
        <f>MINA(INDIRECT(ADDRESS(ROW(),COLUMN(mouser_part_data)+2)))</f>
        <v>0</v>
      </c>
      <c r="H13" s="12">
        <f>iferror(F13*G13,"")</f>
        <v>0</v>
      </c>
      <c r="I13" s="11">
        <v>378604</v>
      </c>
      <c r="K13" s="12">
        <f>iferror(lookup(if(J13="",F13,J13),{0,1,10,50,100,1000,10000},{0.0,0.24,0.113,0.113,0.076,0.062,0.042}),"")</f>
        <v>0</v>
      </c>
      <c r="L13" s="12">
        <f>iferror(if(J13="",F13,J13)*K13,"")</f>
        <v>0</v>
      </c>
      <c r="M13" s="13" t="s">
        <v>131</v>
      </c>
    </row>
    <row r="14" spans="1:13">
      <c r="A14" s="11" t="s">
        <v>38</v>
      </c>
      <c r="B14" s="11" t="s">
        <v>39</v>
      </c>
      <c r="C14" s="11" t="s">
        <v>20</v>
      </c>
      <c r="E14" s="11" t="s">
        <v>40</v>
      </c>
      <c r="F14" s="11">
        <f>BoardQty*1</f>
        <v>0</v>
      </c>
      <c r="G14" s="12">
        <f>MINA(INDIRECT(ADDRESS(ROW(),COLUMN(mouser_part_data)+2)))</f>
        <v>0</v>
      </c>
      <c r="H14" s="12">
        <f>iferror(F14*G14,"")</f>
        <v>0</v>
      </c>
      <c r="I14" s="11">
        <v>6838</v>
      </c>
      <c r="K14" s="12">
        <f>iferror(lookup(if(J14="",F14,J14),{0,1,10,50,100,1000,10000},{0.0,0.38,0.264,0.264,0.15000000000000002,0.092,0.069}),"")</f>
        <v>0</v>
      </c>
      <c r="L14" s="12">
        <f>iferror(if(J14="",F14,J14)*K14,"")</f>
        <v>0</v>
      </c>
      <c r="M14" s="13" t="s">
        <v>132</v>
      </c>
    </row>
    <row r="15" spans="1:13">
      <c r="A15" s="11" t="s">
        <v>41</v>
      </c>
      <c r="B15" s="11" t="s">
        <v>42</v>
      </c>
      <c r="C15" s="11" t="s">
        <v>43</v>
      </c>
      <c r="F15" s="11">
        <f>BoardQty*1</f>
        <v>0</v>
      </c>
      <c r="G15" s="12">
        <f>MINA(INDIRECT(ADDRESS(ROW(),COLUMN(mouser_part_data)+2)))</f>
        <v>0</v>
      </c>
      <c r="H15" s="12">
        <f>iferror(F15*G15,"")</f>
        <v>0</v>
      </c>
    </row>
    <row r="16" spans="1:13">
      <c r="A16" s="11" t="s">
        <v>44</v>
      </c>
      <c r="B16" s="11" t="s">
        <v>45</v>
      </c>
      <c r="C16" s="11" t="s">
        <v>43</v>
      </c>
      <c r="F16" s="11">
        <f>BoardQty*1</f>
        <v>0</v>
      </c>
      <c r="G16" s="12">
        <f>MINA(INDIRECT(ADDRESS(ROW(),COLUMN(mouser_part_data)+2)))</f>
        <v>0</v>
      </c>
      <c r="H16" s="12">
        <f>iferror(F16*G16,"")</f>
        <v>0</v>
      </c>
    </row>
    <row r="17" spans="1:13">
      <c r="A17" s="11" t="s">
        <v>46</v>
      </c>
      <c r="B17" s="11" t="s">
        <v>47</v>
      </c>
      <c r="C17" s="11" t="s">
        <v>48</v>
      </c>
      <c r="F17" s="11">
        <f>BoardQty*1</f>
        <v>0</v>
      </c>
      <c r="G17" s="12">
        <f>MINA(INDIRECT(ADDRESS(ROW(),COLUMN(mouser_part_data)+2)))</f>
        <v>0</v>
      </c>
      <c r="H17" s="12">
        <f>iferror(F17*G17,"")</f>
        <v>0</v>
      </c>
    </row>
    <row r="18" spans="1:13">
      <c r="A18" s="11" t="s">
        <v>49</v>
      </c>
      <c r="B18" s="11" t="s">
        <v>50</v>
      </c>
      <c r="C18" s="11" t="s">
        <v>51</v>
      </c>
      <c r="E18" s="11" t="s">
        <v>52</v>
      </c>
      <c r="F18" s="11">
        <f>BoardQty*1</f>
        <v>0</v>
      </c>
      <c r="G18" s="12">
        <f>MINA(INDIRECT(ADDRESS(ROW(),COLUMN(mouser_part_data)+2)))</f>
        <v>0</v>
      </c>
      <c r="H18" s="12">
        <f>iferror(F18*G18,"")</f>
        <v>0</v>
      </c>
      <c r="I18" s="11">
        <v>5135</v>
      </c>
      <c r="K18" s="12">
        <f>iferror(lookup(if(J18="",F18,J18),{0,1,10,50,100,1000,10000},{0.0,0.73,0.637,0.637,0.45400000000000007,0.269,0.237}),"")</f>
        <v>0</v>
      </c>
      <c r="L18" s="12">
        <f>iferror(if(J18="",F18,J18)*K18,"")</f>
        <v>0</v>
      </c>
      <c r="M18" s="13" t="s">
        <v>133</v>
      </c>
    </row>
    <row r="19" spans="1:13">
      <c r="A19" s="11" t="s">
        <v>53</v>
      </c>
      <c r="B19" s="11" t="s">
        <v>54</v>
      </c>
      <c r="C19" s="11" t="s">
        <v>55</v>
      </c>
      <c r="F19" s="11">
        <f>BoardQty*1</f>
        <v>0</v>
      </c>
      <c r="G19" s="12">
        <f>MINA(INDIRECT(ADDRESS(ROW(),COLUMN(mouser_part_data)+2)))</f>
        <v>0</v>
      </c>
      <c r="H19" s="12">
        <f>iferror(F19*G19,"")</f>
        <v>0</v>
      </c>
    </row>
    <row r="20" spans="1:13">
      <c r="A20" s="11" t="s">
        <v>56</v>
      </c>
      <c r="B20" s="11" t="s">
        <v>57</v>
      </c>
      <c r="F20" s="11">
        <f>BoardQty*1</f>
        <v>0</v>
      </c>
      <c r="G20" s="12">
        <f>MINA(INDIRECT(ADDRESS(ROW(),COLUMN(mouser_part_data)+2)))</f>
        <v>0</v>
      </c>
      <c r="H20" s="12">
        <f>iferror(F20*G20,"")</f>
        <v>0</v>
      </c>
    </row>
    <row r="21" spans="1:13">
      <c r="A21" s="11" t="s">
        <v>58</v>
      </c>
      <c r="B21" s="11" t="s">
        <v>59</v>
      </c>
      <c r="D21" s="11" t="s">
        <v>60</v>
      </c>
      <c r="E21" s="11" t="s">
        <v>61</v>
      </c>
      <c r="F21" s="11">
        <f>BoardQty*1</f>
        <v>0</v>
      </c>
      <c r="G21" s="12">
        <f>MINA(INDIRECT(ADDRESS(ROW(),COLUMN(mouser_part_data)+2)))</f>
        <v>0</v>
      </c>
      <c r="H21" s="12">
        <f>iferror(F21*G21,"")</f>
        <v>0</v>
      </c>
    </row>
    <row r="22" spans="1:13">
      <c r="A22" s="11" t="s">
        <v>62</v>
      </c>
      <c r="B22" s="11" t="s">
        <v>63</v>
      </c>
      <c r="C22" s="11" t="s">
        <v>64</v>
      </c>
      <c r="D22" s="11" t="s">
        <v>65</v>
      </c>
      <c r="E22" s="11" t="s">
        <v>66</v>
      </c>
      <c r="F22" s="11">
        <f>BoardQty*1</f>
        <v>0</v>
      </c>
      <c r="G22" s="12">
        <f>MINA(INDIRECT(ADDRESS(ROW(),COLUMN(mouser_part_data)+2)))</f>
        <v>0</v>
      </c>
      <c r="H22" s="12">
        <f>iferror(F22*G22,"")</f>
        <v>0</v>
      </c>
      <c r="I22" s="11">
        <v>113570</v>
      </c>
      <c r="K22" s="12">
        <f>iferror(lookup(if(J22="",F22,J22),{0,1,10,50,100,1000,10000},{0.0,0.1,0.031,0.031,0.017,0.009999999999999998,0.007}),"")</f>
        <v>0</v>
      </c>
      <c r="L22" s="12">
        <f>iferror(if(J22="",F22,J22)*K22,"")</f>
        <v>0</v>
      </c>
      <c r="M22" s="13" t="s">
        <v>134</v>
      </c>
    </row>
    <row r="23" spans="1:13">
      <c r="A23" s="11" t="s">
        <v>67</v>
      </c>
      <c r="B23" s="11" t="s">
        <v>68</v>
      </c>
      <c r="C23" s="11" t="s">
        <v>69</v>
      </c>
      <c r="D23" s="11" t="s">
        <v>70</v>
      </c>
      <c r="E23" s="11" t="s">
        <v>71</v>
      </c>
      <c r="F23" s="11">
        <f>BoardQty*1</f>
        <v>0</v>
      </c>
      <c r="G23" s="12">
        <f>MINA(INDIRECT(ADDRESS(ROW(),COLUMN(mouser_part_data)+2)))</f>
        <v>0</v>
      </c>
      <c r="H23" s="12">
        <f>iferror(F23*G23,"")</f>
        <v>0</v>
      </c>
      <c r="I23" s="11">
        <v>14531</v>
      </c>
      <c r="K23" s="12">
        <f>iferror(lookup(if(J23="",F23,J23),{0,1,10,50,100,1000,10000},{0.0,0.23,0.23,0.17900000000000002,0.154,0.115,0.085}),"")</f>
        <v>0</v>
      </c>
      <c r="L23" s="12">
        <f>iferror(if(J23="",F23,J23)*K23,"")</f>
        <v>0</v>
      </c>
      <c r="M23" s="13" t="s">
        <v>135</v>
      </c>
    </row>
    <row r="24" spans="1:13">
      <c r="A24" s="11" t="s">
        <v>72</v>
      </c>
      <c r="B24" s="11" t="s">
        <v>73</v>
      </c>
      <c r="C24" s="11" t="s">
        <v>69</v>
      </c>
      <c r="E24" s="11" t="s">
        <v>74</v>
      </c>
      <c r="F24" s="11">
        <f>BoardQty*1</f>
        <v>0</v>
      </c>
      <c r="G24" s="12">
        <f>MINA(INDIRECT(ADDRESS(ROW(),COLUMN(mouser_part_data)+2)))</f>
        <v>0</v>
      </c>
      <c r="H24" s="12">
        <f>iferror(F24*G24,"")</f>
        <v>0</v>
      </c>
      <c r="I24" s="11">
        <v>9459</v>
      </c>
      <c r="K24" s="12">
        <f>iferror(lookup(if(J24="",F24,J24),{0,1,10,50,100,1000,10000},{0.0,0.14,0.077,0.064,0.043,0.019999999999999997,0.019999999999999997}),"")</f>
        <v>0</v>
      </c>
      <c r="L24" s="12">
        <f>iferror(if(J24="",F24,J24)*K24,"")</f>
        <v>0</v>
      </c>
      <c r="M24" s="13" t="s">
        <v>136</v>
      </c>
    </row>
    <row r="25" spans="1:13">
      <c r="A25" s="11" t="s">
        <v>75</v>
      </c>
      <c r="B25" s="11" t="s">
        <v>76</v>
      </c>
      <c r="C25" s="11" t="s">
        <v>69</v>
      </c>
      <c r="E25" s="11" t="s">
        <v>77</v>
      </c>
      <c r="F25" s="11">
        <f>BoardQty*1</f>
        <v>0</v>
      </c>
      <c r="G25" s="12">
        <f>MINA(INDIRECT(ADDRESS(ROW(),COLUMN(mouser_part_data)+2)))</f>
        <v>0</v>
      </c>
      <c r="H25" s="12">
        <f>iferror(F25*G25,"")</f>
        <v>0</v>
      </c>
      <c r="I25" s="11">
        <v>57541</v>
      </c>
      <c r="K25" s="12">
        <f>iferror(lookup(if(J25="",F25,J25),{0,1,10,50,100,1000,10000},{0.0,0.14,0.065,0.065,0.035,0.012,0.006}),"")</f>
        <v>0</v>
      </c>
      <c r="L25" s="12">
        <f>iferror(if(J25="",F25,J25)*K25,"")</f>
        <v>0</v>
      </c>
      <c r="M25" s="13" t="s">
        <v>137</v>
      </c>
    </row>
    <row r="26" spans="1:13">
      <c r="A26" s="11" t="s">
        <v>78</v>
      </c>
      <c r="B26" s="11" t="s">
        <v>79</v>
      </c>
      <c r="C26" s="11" t="s">
        <v>69</v>
      </c>
      <c r="E26" s="11" t="s">
        <v>80</v>
      </c>
      <c r="F26" s="11">
        <f>BoardQty*2</f>
        <v>0</v>
      </c>
      <c r="G26" s="12">
        <f>MINA(INDIRECT(ADDRESS(ROW(),COLUMN(mouser_part_data)+2)))</f>
        <v>0</v>
      </c>
      <c r="H26" s="12">
        <f>iferror(F26*G26,"")</f>
        <v>0</v>
      </c>
      <c r="I26" s="11">
        <v>9584</v>
      </c>
      <c r="K26" s="12">
        <f>iferror(lookup(if(J26="",F26,J26),{0,1,10,50,100,1000,10000},{0.0,0.14,0.077,0.064,0.043,0.019999999999999997,0.019999999999999997}),"")</f>
        <v>0</v>
      </c>
      <c r="L26" s="12">
        <f>iferror(if(J26="",F26,J26)*K26,"")</f>
        <v>0</v>
      </c>
      <c r="M26" s="13" t="s">
        <v>138</v>
      </c>
    </row>
    <row r="27" spans="1:13">
      <c r="A27" s="11" t="s">
        <v>81</v>
      </c>
      <c r="B27" s="11" t="s">
        <v>82</v>
      </c>
      <c r="C27" s="11" t="s">
        <v>69</v>
      </c>
      <c r="E27" s="11" t="s">
        <v>83</v>
      </c>
      <c r="F27" s="11">
        <f>BoardQty*1</f>
        <v>0</v>
      </c>
      <c r="G27" s="12">
        <f>MINA(INDIRECT(ADDRESS(ROW(),COLUMN(mouser_part_data)+2)))</f>
        <v>0</v>
      </c>
      <c r="H27" s="12">
        <f>iferror(F27*G27,"")</f>
        <v>0</v>
      </c>
      <c r="I27" s="11">
        <v>5375</v>
      </c>
      <c r="K27" s="12">
        <f>iferror(lookup(if(J27="",F27,J27),{0,1,10,50,100,1000,10000},{0.0,0.23,0.23,0.17900000000000002,0.154,0.115,0.085}),"")</f>
        <v>0</v>
      </c>
      <c r="L27" s="12">
        <f>iferror(if(J27="",F27,J27)*K27,"")</f>
        <v>0</v>
      </c>
      <c r="M27" s="13" t="s">
        <v>139</v>
      </c>
    </row>
    <row r="28" spans="1:13">
      <c r="A28" s="11" t="s">
        <v>84</v>
      </c>
      <c r="B28" s="11" t="s">
        <v>85</v>
      </c>
      <c r="C28" s="11" t="s">
        <v>86</v>
      </c>
      <c r="F28" s="11">
        <f>BoardQty*1</f>
        <v>0</v>
      </c>
      <c r="G28" s="12">
        <f>MINA(INDIRECT(ADDRESS(ROW(),COLUMN(mouser_part_data)+2)))</f>
        <v>0</v>
      </c>
      <c r="H28" s="12">
        <f>iferror(F28*G28,"")</f>
        <v>0</v>
      </c>
    </row>
    <row r="29" spans="1:13">
      <c r="A29" s="11" t="s">
        <v>87</v>
      </c>
      <c r="B29" s="11" t="s">
        <v>88</v>
      </c>
      <c r="D29" s="11" t="s">
        <v>12</v>
      </c>
      <c r="E29" s="11" t="s">
        <v>89</v>
      </c>
      <c r="F29" s="11">
        <f>BoardQty*1</f>
        <v>0</v>
      </c>
      <c r="G29" s="12">
        <f>MINA(INDIRECT(ADDRESS(ROW(),COLUMN(mouser_part_data)+2)))</f>
        <v>0</v>
      </c>
      <c r="H29" s="12">
        <f>iferror(F29*G29,"")</f>
        <v>0</v>
      </c>
      <c r="I29" s="14" t="s">
        <v>141</v>
      </c>
      <c r="K29" s="12">
        <f>iferror(lookup(if(J29="",F29,J29),{0,1,10,50,100,1000,10000},{0.0,0.35,0.334,0.242,0.233,0.166,0.143}),"")</f>
        <v>0</v>
      </c>
      <c r="L29" s="12">
        <f>iferror(if(J29="",F29,J29)*K29,"")</f>
        <v>0</v>
      </c>
      <c r="M29" s="13" t="s">
        <v>140</v>
      </c>
    </row>
    <row r="30" spans="1:13">
      <c r="A30" s="11" t="s">
        <v>90</v>
      </c>
      <c r="B30" s="11" t="s">
        <v>91</v>
      </c>
      <c r="C30" s="11" t="s">
        <v>92</v>
      </c>
      <c r="F30" s="11">
        <f>BoardQty*1</f>
        <v>0</v>
      </c>
      <c r="G30" s="12">
        <f>MINA(INDIRECT(ADDRESS(ROW(),COLUMN(mouser_part_data)+2)))</f>
        <v>0</v>
      </c>
      <c r="H30" s="12">
        <f>iferror(F30*G30,"")</f>
        <v>0</v>
      </c>
    </row>
    <row r="31" spans="1:13">
      <c r="A31" s="11" t="s">
        <v>93</v>
      </c>
      <c r="B31" s="11" t="s">
        <v>94</v>
      </c>
      <c r="F31" s="11">
        <f>BoardQty*1</f>
        <v>0</v>
      </c>
      <c r="G31" s="12">
        <f>MINA(INDIRECT(ADDRESS(ROW(),COLUMN(mouser_part_data)+2)))</f>
        <v>0</v>
      </c>
      <c r="H31" s="12">
        <f>iferror(F31*G31,"")</f>
        <v>0</v>
      </c>
    </row>
    <row r="32" spans="1:13">
      <c r="A32" s="11" t="s">
        <v>95</v>
      </c>
      <c r="B32" s="11" t="s">
        <v>96</v>
      </c>
      <c r="C32" s="11" t="s">
        <v>97</v>
      </c>
      <c r="E32" s="11" t="s">
        <v>98</v>
      </c>
      <c r="F32" s="11">
        <f>BoardQty*1</f>
        <v>0</v>
      </c>
      <c r="G32" s="12">
        <f>MINA(INDIRECT(ADDRESS(ROW(),COLUMN(mouser_part_data)+2)))</f>
        <v>0</v>
      </c>
      <c r="H32" s="12">
        <f>iferror(F32*G32,"")</f>
        <v>0</v>
      </c>
      <c r="I32" s="11">
        <v>105821</v>
      </c>
      <c r="K32" s="12">
        <f>iferror(lookup(if(J32="",F32,J32),{0,1,10,50,100,1000,10000},{0.0,2.04,2.04,1.97,1.9000000000000001,1.46,1.4}),"")</f>
        <v>0</v>
      </c>
      <c r="L32" s="12">
        <f>iferror(if(J32="",F32,J32)*K32,"")</f>
        <v>0</v>
      </c>
      <c r="M32" s="13" t="s">
        <v>142</v>
      </c>
    </row>
    <row r="33" spans="1:13">
      <c r="A33" s="11" t="s">
        <v>99</v>
      </c>
      <c r="B33" s="11" t="s">
        <v>100</v>
      </c>
      <c r="C33" s="11" t="s">
        <v>101</v>
      </c>
      <c r="E33" s="11" t="s">
        <v>102</v>
      </c>
      <c r="F33" s="11">
        <f>BoardQty*1</f>
        <v>0</v>
      </c>
      <c r="G33" s="12">
        <f>MINA(INDIRECT(ADDRESS(ROW(),COLUMN(mouser_part_data)+2)))</f>
        <v>0</v>
      </c>
      <c r="H33" s="12">
        <f>iferror(F33*G33,"")</f>
        <v>0</v>
      </c>
      <c r="I33" s="11">
        <v>26496</v>
      </c>
      <c r="K33" s="12">
        <f>iferror(lookup(if(J33="",F33,J33),{0,1,10,50,100,1000,10000},{0.0,2.15,1.83,1.83,1.46,1.06,0.949}),"")</f>
        <v>0</v>
      </c>
      <c r="L33" s="12">
        <f>iferror(if(J33="",F33,J33)*K33,"")</f>
        <v>0</v>
      </c>
      <c r="M33" s="13" t="s">
        <v>143</v>
      </c>
    </row>
    <row r="34" spans="1:13">
      <c r="A34" s="11" t="s">
        <v>103</v>
      </c>
      <c r="B34" s="11" t="s">
        <v>104</v>
      </c>
      <c r="C34" s="11" t="s">
        <v>105</v>
      </c>
      <c r="E34" s="11" t="s">
        <v>104</v>
      </c>
      <c r="F34" s="11">
        <f>BoardQty*1</f>
        <v>0</v>
      </c>
      <c r="G34" s="12">
        <f>MINA(INDIRECT(ADDRESS(ROW(),COLUMN(mouser_part_data)+2)))</f>
        <v>0</v>
      </c>
      <c r="H34" s="12">
        <f>iferror(F34*G34,"")</f>
        <v>0</v>
      </c>
      <c r="I34" s="11">
        <v>1771</v>
      </c>
      <c r="K34" s="12">
        <f>iferror(lookup(if(J34="",F34,J34),{0,1,10,50,100,1000,10000},{0.0,2.46,2.09,2.09,1.68,1.22,1.09}),"")</f>
        <v>0</v>
      </c>
      <c r="L34" s="12">
        <f>iferror(if(J34="",F34,J34)*K34,"")</f>
        <v>0</v>
      </c>
      <c r="M34" s="13" t="s">
        <v>144</v>
      </c>
    </row>
    <row r="35" spans="1:13">
      <c r="A35" s="11" t="s">
        <v>106</v>
      </c>
      <c r="B35" s="11" t="s">
        <v>107</v>
      </c>
      <c r="C35" s="11" t="s">
        <v>108</v>
      </c>
      <c r="F35" s="11">
        <f>BoardQty*1</f>
        <v>0</v>
      </c>
      <c r="G35" s="12">
        <f>MINA(INDIRECT(ADDRESS(ROW(),COLUMN(mouser_part_data)+2)))</f>
        <v>0</v>
      </c>
      <c r="H35" s="12">
        <f>iferror(F35*G35,"")</f>
        <v>0</v>
      </c>
    </row>
    <row r="37" spans="1:13">
      <c r="A37" s="3" t="s">
        <v>145</v>
      </c>
      <c r="G37" s="2" t="s">
        <v>109</v>
      </c>
      <c r="H37" s="6">
        <f>SUM(INDIRECT(ADDRESS(ROW(),COLUMN(mouser_part_data)+3)))</f>
        <v>0</v>
      </c>
      <c r="J37" s="7">
        <f>IFERROR(IF(OR(J7:J35),COUNTIFS(J7:J35,"&gt;0",L7:L35,"&lt;&gt;")&amp;" of "&amp;(ROWS(L7:L35)-COUNTBLANK(L7:L35))&amp;" parts purchased",""),"")</f>
        <v>0</v>
      </c>
      <c r="L37" s="6">
        <f>SUMIF(J7:J35,"&gt;0",L7:L35)</f>
        <v>0</v>
      </c>
    </row>
    <row r="38" spans="1:13">
      <c r="J38">
        <f t="array" ref="J38">IFERROR(CONCATENATE((INDEX($M$7:$M$35,SMALL(IF($M$7:$M$35&lt;&gt;"",IF($J$7:$J$35&lt;&gt;"",ROW($J$7:$J$35)-MIN(ROW($J$7:$J$35))+1,""),""),ROW()-ROW(A$38)+1))),"|"),"")</f>
        <v>0</v>
      </c>
      <c r="K38">
        <f t="array" ref="K38">IFERROR(CONCATENATE(TEXT(INDEX($J$7:$J$35,SMALL(IF($M$7:$M$35&lt;&gt;"",IF($J$7:$J$35&lt;&gt;"",ROW($J$7:$J$35)-MIN(ROW($J$7:$J$35))+1,""),""),ROW()-ROW(A$38)+1)),"##0"),"|"),"")</f>
        <v>0</v>
      </c>
      <c r="L38">
        <f t="array" ref="L38">IFERROR(CONCATENATE((INDEX($A$7:$A$35,SMALL(IF($M$7:$M$35&lt;&gt;"",IF($J$7:$J$35&lt;&gt;"",ROW($J$7:$J$35)-MIN(ROW($J$7:$J$35))+1,""),""),ROW()-ROW(A$38)+1))),),"")</f>
        <v>0</v>
      </c>
    </row>
    <row r="39" spans="1:13">
      <c r="J39">
        <f t="array" ref="J39">IFERROR(CONCATENATE((INDEX($M$7:$M$35,SMALL(IF($M$7:$M$35&lt;&gt;"",IF($J$7:$J$35&lt;&gt;"",ROW($J$7:$J$35)-MIN(ROW($J$7:$J$35))+1,""),""),ROW()-ROW(A$38)+1))),"|"),"")</f>
        <v>0</v>
      </c>
      <c r="K39">
        <f t="array" ref="K39">IFERROR(CONCATENATE(TEXT(INDEX($J$7:$J$35,SMALL(IF($M$7:$M$35&lt;&gt;"",IF($J$7:$J$35&lt;&gt;"",ROW($J$7:$J$35)-MIN(ROW($J$7:$J$35))+1,""),""),ROW()-ROW(A$38)+1)),"##0"),"|"),"")</f>
        <v>0</v>
      </c>
      <c r="L39">
        <f t="array" ref="L39">IFERROR(CONCATENATE((INDEX($A$7:$A$35,SMALL(IF($M$7:$M$35&lt;&gt;"",IF($J$7:$J$35&lt;&gt;"",ROW($J$7:$J$35)-MIN(ROW($J$7:$J$35))+1,""),""),ROW()-ROW(A$38)+1))),),"")</f>
        <v>0</v>
      </c>
    </row>
    <row r="40" spans="1:13">
      <c r="J40">
        <f t="array" ref="J40">IFERROR(CONCATENATE((INDEX($M$7:$M$35,SMALL(IF($M$7:$M$35&lt;&gt;"",IF($J$7:$J$35&lt;&gt;"",ROW($J$7:$J$35)-MIN(ROW($J$7:$J$35))+1,""),""),ROW()-ROW(A$38)+1))),"|"),"")</f>
        <v>0</v>
      </c>
      <c r="K40">
        <f t="array" ref="K40">IFERROR(CONCATENATE(TEXT(INDEX($J$7:$J$35,SMALL(IF($M$7:$M$35&lt;&gt;"",IF($J$7:$J$35&lt;&gt;"",ROW($J$7:$J$35)-MIN(ROW($J$7:$J$35))+1,""),""),ROW()-ROW(A$38)+1)),"##0"),"|"),"")</f>
        <v>0</v>
      </c>
      <c r="L40">
        <f t="array" ref="L40">IFERROR(CONCATENATE((INDEX($A$7:$A$35,SMALL(IF($M$7:$M$35&lt;&gt;"",IF($J$7:$J$35&lt;&gt;"",ROW($J$7:$J$35)-MIN(ROW($J$7:$J$35))+1,""),""),ROW()-ROW(A$38)+1))),),"")</f>
        <v>0</v>
      </c>
    </row>
    <row r="41" spans="1:13">
      <c r="J41">
        <f t="array" ref="J41">IFERROR(CONCATENATE((INDEX($M$7:$M$35,SMALL(IF($M$7:$M$35&lt;&gt;"",IF($J$7:$J$35&lt;&gt;"",ROW($J$7:$J$35)-MIN(ROW($J$7:$J$35))+1,""),""),ROW()-ROW(A$38)+1))),"|"),"")</f>
        <v>0</v>
      </c>
      <c r="K41">
        <f t="array" ref="K41">IFERROR(CONCATENATE(TEXT(INDEX($J$7:$J$35,SMALL(IF($M$7:$M$35&lt;&gt;"",IF($J$7:$J$35&lt;&gt;"",ROW($J$7:$J$35)-MIN(ROW($J$7:$J$35))+1,""),""),ROW()-ROW(A$38)+1)),"##0"),"|"),"")</f>
        <v>0</v>
      </c>
      <c r="L41">
        <f t="array" ref="L41">IFERROR(CONCATENATE((INDEX($A$7:$A$35,SMALL(IF($M$7:$M$35&lt;&gt;"",IF($J$7:$J$35&lt;&gt;"",ROW($J$7:$J$35)-MIN(ROW($J$7:$J$35))+1,""),""),ROW()-ROW(A$38)+1))),),"")</f>
        <v>0</v>
      </c>
    </row>
    <row r="42" spans="1:13">
      <c r="J42">
        <f t="array" ref="J42">IFERROR(CONCATENATE((INDEX($M$7:$M$35,SMALL(IF($M$7:$M$35&lt;&gt;"",IF($J$7:$J$35&lt;&gt;"",ROW($J$7:$J$35)-MIN(ROW($J$7:$J$35))+1,""),""),ROW()-ROW(A$38)+1))),"|"),"")</f>
        <v>0</v>
      </c>
      <c r="K42">
        <f t="array" ref="K42">IFERROR(CONCATENATE(TEXT(INDEX($J$7:$J$35,SMALL(IF($M$7:$M$35&lt;&gt;"",IF($J$7:$J$35&lt;&gt;"",ROW($J$7:$J$35)-MIN(ROW($J$7:$J$35))+1,""),""),ROW()-ROW(A$38)+1)),"##0"),"|"),"")</f>
        <v>0</v>
      </c>
      <c r="L42">
        <f t="array" ref="L42">IFERROR(CONCATENATE((INDEX($A$7:$A$35,SMALL(IF($M$7:$M$35&lt;&gt;"",IF($J$7:$J$35&lt;&gt;"",ROW($J$7:$J$35)-MIN(ROW($J$7:$J$35))+1,""),""),ROW()-ROW(A$38)+1))),),"")</f>
        <v>0</v>
      </c>
    </row>
    <row r="43" spans="1:13">
      <c r="J43">
        <f t="array" ref="J43">IFERROR(CONCATENATE((INDEX($M$7:$M$35,SMALL(IF($M$7:$M$35&lt;&gt;"",IF($J$7:$J$35&lt;&gt;"",ROW($J$7:$J$35)-MIN(ROW($J$7:$J$35))+1,""),""),ROW()-ROW(A$38)+1))),"|"),"")</f>
        <v>0</v>
      </c>
      <c r="K43">
        <f t="array" ref="K43">IFERROR(CONCATENATE(TEXT(INDEX($J$7:$J$35,SMALL(IF($M$7:$M$35&lt;&gt;"",IF($J$7:$J$35&lt;&gt;"",ROW($J$7:$J$35)-MIN(ROW($J$7:$J$35))+1,""),""),ROW()-ROW(A$38)+1)),"##0"),"|"),"")</f>
        <v>0</v>
      </c>
      <c r="L43">
        <f t="array" ref="L43">IFERROR(CONCATENATE((INDEX($A$7:$A$35,SMALL(IF($M$7:$M$35&lt;&gt;"",IF($J$7:$J$35&lt;&gt;"",ROW($J$7:$J$35)-MIN(ROW($J$7:$J$35))+1,""),""),ROW()-ROW(A$38)+1))),),"")</f>
        <v>0</v>
      </c>
    </row>
    <row r="44" spans="1:13">
      <c r="J44">
        <f t="array" ref="J44">IFERROR(CONCATENATE((INDEX($M$7:$M$35,SMALL(IF($M$7:$M$35&lt;&gt;"",IF($J$7:$J$35&lt;&gt;"",ROW($J$7:$J$35)-MIN(ROW($J$7:$J$35))+1,""),""),ROW()-ROW(A$38)+1))),"|"),"")</f>
        <v>0</v>
      </c>
      <c r="K44">
        <f t="array" ref="K44">IFERROR(CONCATENATE(TEXT(INDEX($J$7:$J$35,SMALL(IF($M$7:$M$35&lt;&gt;"",IF($J$7:$J$35&lt;&gt;"",ROW($J$7:$J$35)-MIN(ROW($J$7:$J$35))+1,""),""),ROW()-ROW(A$38)+1)),"##0"),"|"),"")</f>
        <v>0</v>
      </c>
      <c r="L44">
        <f t="array" ref="L44">IFERROR(CONCATENATE((INDEX($A$7:$A$35,SMALL(IF($M$7:$M$35&lt;&gt;"",IF($J$7:$J$35&lt;&gt;"",ROW($J$7:$J$35)-MIN(ROW($J$7:$J$35))+1,""),""),ROW()-ROW(A$38)+1))),),"")</f>
        <v>0</v>
      </c>
    </row>
    <row r="45" spans="1:13">
      <c r="J45">
        <f t="array" ref="J45">IFERROR(CONCATENATE((INDEX($M$7:$M$35,SMALL(IF($M$7:$M$35&lt;&gt;"",IF($J$7:$J$35&lt;&gt;"",ROW($J$7:$J$35)-MIN(ROW($J$7:$J$35))+1,""),""),ROW()-ROW(A$38)+1))),"|"),"")</f>
        <v>0</v>
      </c>
      <c r="K45">
        <f t="array" ref="K45">IFERROR(CONCATENATE(TEXT(INDEX($J$7:$J$35,SMALL(IF($M$7:$M$35&lt;&gt;"",IF($J$7:$J$35&lt;&gt;"",ROW($J$7:$J$35)-MIN(ROW($J$7:$J$35))+1,""),""),ROW()-ROW(A$38)+1)),"##0"),"|"),"")</f>
        <v>0</v>
      </c>
      <c r="L45">
        <f t="array" ref="L45">IFERROR(CONCATENATE((INDEX($A$7:$A$35,SMALL(IF($M$7:$M$35&lt;&gt;"",IF($J$7:$J$35&lt;&gt;"",ROW($J$7:$J$35)-MIN(ROW($J$7:$J$35))+1,""),""),ROW()-ROW(A$38)+1))),),"")</f>
        <v>0</v>
      </c>
    </row>
    <row r="46" spans="1:13">
      <c r="J46">
        <f t="array" ref="J46">IFERROR(CONCATENATE((INDEX($M$7:$M$35,SMALL(IF($M$7:$M$35&lt;&gt;"",IF($J$7:$J$35&lt;&gt;"",ROW($J$7:$J$35)-MIN(ROW($J$7:$J$35))+1,""),""),ROW()-ROW(A$38)+1))),"|"),"")</f>
        <v>0</v>
      </c>
      <c r="K46">
        <f t="array" ref="K46">IFERROR(CONCATENATE(TEXT(INDEX($J$7:$J$35,SMALL(IF($M$7:$M$35&lt;&gt;"",IF($J$7:$J$35&lt;&gt;"",ROW($J$7:$J$35)-MIN(ROW($J$7:$J$35))+1,""),""),ROW()-ROW(A$38)+1)),"##0"),"|"),"")</f>
        <v>0</v>
      </c>
      <c r="L46">
        <f t="array" ref="L46">IFERROR(CONCATENATE((INDEX($A$7:$A$35,SMALL(IF($M$7:$M$35&lt;&gt;"",IF($J$7:$J$35&lt;&gt;"",ROW($J$7:$J$35)-MIN(ROW($J$7:$J$35))+1,""),""),ROW()-ROW(A$38)+1))),),"")</f>
        <v>0</v>
      </c>
    </row>
    <row r="47" spans="1:13">
      <c r="J47">
        <f t="array" ref="J47">IFERROR(CONCATENATE((INDEX($M$7:$M$35,SMALL(IF($M$7:$M$35&lt;&gt;"",IF($J$7:$J$35&lt;&gt;"",ROW($J$7:$J$35)-MIN(ROW($J$7:$J$35))+1,""),""),ROW()-ROW(A$38)+1))),"|"),"")</f>
        <v>0</v>
      </c>
      <c r="K47">
        <f t="array" ref="K47">IFERROR(CONCATENATE(TEXT(INDEX($J$7:$J$35,SMALL(IF($M$7:$M$35&lt;&gt;"",IF($J$7:$J$35&lt;&gt;"",ROW($J$7:$J$35)-MIN(ROW($J$7:$J$35))+1,""),""),ROW()-ROW(A$38)+1)),"##0"),"|"),"")</f>
        <v>0</v>
      </c>
      <c r="L47">
        <f t="array" ref="L47">IFERROR(CONCATENATE((INDEX($A$7:$A$35,SMALL(IF($M$7:$M$35&lt;&gt;"",IF($J$7:$J$35&lt;&gt;"",ROW($J$7:$J$35)-MIN(ROW($J$7:$J$35))+1,""),""),ROW()-ROW(A$38)+1))),),"")</f>
        <v>0</v>
      </c>
    </row>
    <row r="48" spans="1:13">
      <c r="J48">
        <f t="array" ref="J48">IFERROR(CONCATENATE((INDEX($M$7:$M$35,SMALL(IF($M$7:$M$35&lt;&gt;"",IF($J$7:$J$35&lt;&gt;"",ROW($J$7:$J$35)-MIN(ROW($J$7:$J$35))+1,""),""),ROW()-ROW(A$38)+1))),"|"),"")</f>
        <v>0</v>
      </c>
      <c r="K48">
        <f t="array" ref="K48">IFERROR(CONCATENATE(TEXT(INDEX($J$7:$J$35,SMALL(IF($M$7:$M$35&lt;&gt;"",IF($J$7:$J$35&lt;&gt;"",ROW($J$7:$J$35)-MIN(ROW($J$7:$J$35))+1,""),""),ROW()-ROW(A$38)+1)),"##0"),"|"),"")</f>
        <v>0</v>
      </c>
      <c r="L48">
        <f t="array" ref="L48">IFERROR(CONCATENATE((INDEX($A$7:$A$35,SMALL(IF($M$7:$M$35&lt;&gt;"",IF($J$7:$J$35&lt;&gt;"",ROW($J$7:$J$35)-MIN(ROW($J$7:$J$35))+1,""),""),ROW()-ROW(A$38)+1))),),"")</f>
        <v>0</v>
      </c>
    </row>
    <row r="49" spans="10:12">
      <c r="J49">
        <f t="array" ref="J49">IFERROR(CONCATENATE((INDEX($M$7:$M$35,SMALL(IF($M$7:$M$35&lt;&gt;"",IF($J$7:$J$35&lt;&gt;"",ROW($J$7:$J$35)-MIN(ROW($J$7:$J$35))+1,""),""),ROW()-ROW(A$38)+1))),"|"),"")</f>
        <v>0</v>
      </c>
      <c r="K49">
        <f t="array" ref="K49">IFERROR(CONCATENATE(TEXT(INDEX($J$7:$J$35,SMALL(IF($M$7:$M$35&lt;&gt;"",IF($J$7:$J$35&lt;&gt;"",ROW($J$7:$J$35)-MIN(ROW($J$7:$J$35))+1,""),""),ROW()-ROW(A$38)+1)),"##0"),"|"),"")</f>
        <v>0</v>
      </c>
      <c r="L49">
        <f t="array" ref="L49">IFERROR(CONCATENATE((INDEX($A$7:$A$35,SMALL(IF($M$7:$M$35&lt;&gt;"",IF($J$7:$J$35&lt;&gt;"",ROW($J$7:$J$35)-MIN(ROW($J$7:$J$35))+1,""),""),ROW()-ROW(A$38)+1))),),"")</f>
        <v>0</v>
      </c>
    </row>
    <row r="50" spans="10:12">
      <c r="J50">
        <f t="array" ref="J50">IFERROR(CONCATENATE((INDEX($M$7:$M$35,SMALL(IF($M$7:$M$35&lt;&gt;"",IF($J$7:$J$35&lt;&gt;"",ROW($J$7:$J$35)-MIN(ROW($J$7:$J$35))+1,""),""),ROW()-ROW(A$38)+1))),"|"),"")</f>
        <v>0</v>
      </c>
      <c r="K50">
        <f t="array" ref="K50">IFERROR(CONCATENATE(TEXT(INDEX($J$7:$J$35,SMALL(IF($M$7:$M$35&lt;&gt;"",IF($J$7:$J$35&lt;&gt;"",ROW($J$7:$J$35)-MIN(ROW($J$7:$J$35))+1,""),""),ROW()-ROW(A$38)+1)),"##0"),"|"),"")</f>
        <v>0</v>
      </c>
      <c r="L50">
        <f t="array" ref="L50">IFERROR(CONCATENATE((INDEX($A$7:$A$35,SMALL(IF($M$7:$M$35&lt;&gt;"",IF($J$7:$J$35&lt;&gt;"",ROW($J$7:$J$35)-MIN(ROW($J$7:$J$35))+1,""),""),ROW()-ROW(A$38)+1))),),"")</f>
        <v>0</v>
      </c>
    </row>
    <row r="51" spans="10:12">
      <c r="J51">
        <f t="array" ref="J51">IFERROR(CONCATENATE((INDEX($M$7:$M$35,SMALL(IF($M$7:$M$35&lt;&gt;"",IF($J$7:$J$35&lt;&gt;"",ROW($J$7:$J$35)-MIN(ROW($J$7:$J$35))+1,""),""),ROW()-ROW(A$38)+1))),"|"),"")</f>
        <v>0</v>
      </c>
      <c r="K51">
        <f t="array" ref="K51">IFERROR(CONCATENATE(TEXT(INDEX($J$7:$J$35,SMALL(IF($M$7:$M$35&lt;&gt;"",IF($J$7:$J$35&lt;&gt;"",ROW($J$7:$J$35)-MIN(ROW($J$7:$J$35))+1,""),""),ROW()-ROW(A$38)+1)),"##0"),"|"),"")</f>
        <v>0</v>
      </c>
      <c r="L51">
        <f t="array" ref="L51">IFERROR(CONCATENATE((INDEX($A$7:$A$35,SMALL(IF($M$7:$M$35&lt;&gt;"",IF($J$7:$J$35&lt;&gt;"",ROW($J$7:$J$35)-MIN(ROW($J$7:$J$35))+1,""),""),ROW()-ROW(A$38)+1))),),"")</f>
        <v>0</v>
      </c>
    </row>
    <row r="52" spans="10:12">
      <c r="J52">
        <f t="array" ref="J52">IFERROR(CONCATENATE((INDEX($M$7:$M$35,SMALL(IF($M$7:$M$35&lt;&gt;"",IF($J$7:$J$35&lt;&gt;"",ROW($J$7:$J$35)-MIN(ROW($J$7:$J$35))+1,""),""),ROW()-ROW(A$38)+1))),"|"),"")</f>
        <v>0</v>
      </c>
      <c r="K52">
        <f t="array" ref="K52">IFERROR(CONCATENATE(TEXT(INDEX($J$7:$J$35,SMALL(IF($M$7:$M$35&lt;&gt;"",IF($J$7:$J$35&lt;&gt;"",ROW($J$7:$J$35)-MIN(ROW($J$7:$J$35))+1,""),""),ROW()-ROW(A$38)+1)),"##0"),"|"),"")</f>
        <v>0</v>
      </c>
      <c r="L52">
        <f t="array" ref="L52">IFERROR(CONCATENATE((INDEX($A$7:$A$35,SMALL(IF($M$7:$M$35&lt;&gt;"",IF($J$7:$J$35&lt;&gt;"",ROW($J$7:$J$35)-MIN(ROW($J$7:$J$35))+1,""),""),ROW()-ROW(A$38)+1))),),"")</f>
        <v>0</v>
      </c>
    </row>
    <row r="53" spans="10:12">
      <c r="J53">
        <f t="array" ref="J53">IFERROR(CONCATENATE((INDEX($M$7:$M$35,SMALL(IF($M$7:$M$35&lt;&gt;"",IF($J$7:$J$35&lt;&gt;"",ROW($J$7:$J$35)-MIN(ROW($J$7:$J$35))+1,""),""),ROW()-ROW(A$38)+1))),"|"),"")</f>
        <v>0</v>
      </c>
      <c r="K53">
        <f t="array" ref="K53">IFERROR(CONCATENATE(TEXT(INDEX($J$7:$J$35,SMALL(IF($M$7:$M$35&lt;&gt;"",IF($J$7:$J$35&lt;&gt;"",ROW($J$7:$J$35)-MIN(ROW($J$7:$J$35))+1,""),""),ROW()-ROW(A$38)+1)),"##0"),"|"),"")</f>
        <v>0</v>
      </c>
      <c r="L53">
        <f t="array" ref="L53">IFERROR(CONCATENATE((INDEX($A$7:$A$35,SMALL(IF($M$7:$M$35&lt;&gt;"",IF($J$7:$J$35&lt;&gt;"",ROW($J$7:$J$35)-MIN(ROW($J$7:$J$35))+1,""),""),ROW()-ROW(A$38)+1))),),"")</f>
        <v>0</v>
      </c>
    </row>
    <row r="54" spans="10:12">
      <c r="J54">
        <f t="array" ref="J54">IFERROR(CONCATENATE((INDEX($M$7:$M$35,SMALL(IF($M$7:$M$35&lt;&gt;"",IF($J$7:$J$35&lt;&gt;"",ROW($J$7:$J$35)-MIN(ROW($J$7:$J$35))+1,""),""),ROW()-ROW(A$38)+1))),"|"),"")</f>
        <v>0</v>
      </c>
      <c r="K54">
        <f t="array" ref="K54">IFERROR(CONCATENATE(TEXT(INDEX($J$7:$J$35,SMALL(IF($M$7:$M$35&lt;&gt;"",IF($J$7:$J$35&lt;&gt;"",ROW($J$7:$J$35)-MIN(ROW($J$7:$J$35))+1,""),""),ROW()-ROW(A$38)+1)),"##0"),"|"),"")</f>
        <v>0</v>
      </c>
      <c r="L54">
        <f t="array" ref="L54">IFERROR(CONCATENATE((INDEX($A$7:$A$35,SMALL(IF($M$7:$M$35&lt;&gt;"",IF($J$7:$J$35&lt;&gt;"",ROW($J$7:$J$35)-MIN(ROW($J$7:$J$35))+1,""),""),ROW()-ROW(A$38)+1))),),"")</f>
        <v>0</v>
      </c>
    </row>
    <row r="55" spans="10:12">
      <c r="J55">
        <f t="array" ref="J55">IFERROR(CONCATENATE((INDEX($M$7:$M$35,SMALL(IF($M$7:$M$35&lt;&gt;"",IF($J$7:$J$35&lt;&gt;"",ROW($J$7:$J$35)-MIN(ROW($J$7:$J$35))+1,""),""),ROW()-ROW(A$38)+1))),"|"),"")</f>
        <v>0</v>
      </c>
      <c r="K55">
        <f t="array" ref="K55">IFERROR(CONCATENATE(TEXT(INDEX($J$7:$J$35,SMALL(IF($M$7:$M$35&lt;&gt;"",IF($J$7:$J$35&lt;&gt;"",ROW($J$7:$J$35)-MIN(ROW($J$7:$J$35))+1,""),""),ROW()-ROW(A$38)+1)),"##0"),"|"),"")</f>
        <v>0</v>
      </c>
      <c r="L55">
        <f t="array" ref="L55">IFERROR(CONCATENATE((INDEX($A$7:$A$35,SMALL(IF($M$7:$M$35&lt;&gt;"",IF($J$7:$J$35&lt;&gt;"",ROW($J$7:$J$35)-MIN(ROW($J$7:$J$35))+1,""),""),ROW()-ROW(A$38)+1))),),"")</f>
        <v>0</v>
      </c>
    </row>
    <row r="56" spans="10:12">
      <c r="J56">
        <f t="array" ref="J56">IFERROR(CONCATENATE((INDEX($M$7:$M$35,SMALL(IF($M$7:$M$35&lt;&gt;"",IF($J$7:$J$35&lt;&gt;"",ROW($J$7:$J$35)-MIN(ROW($J$7:$J$35))+1,""),""),ROW()-ROW(A$38)+1))),"|"),"")</f>
        <v>0</v>
      </c>
      <c r="K56">
        <f t="array" ref="K56">IFERROR(CONCATENATE(TEXT(INDEX($J$7:$J$35,SMALL(IF($M$7:$M$35&lt;&gt;"",IF($J$7:$J$35&lt;&gt;"",ROW($J$7:$J$35)-MIN(ROW($J$7:$J$35))+1,""),""),ROW()-ROW(A$38)+1)),"##0"),"|"),"")</f>
        <v>0</v>
      </c>
      <c r="L56">
        <f t="array" ref="L56">IFERROR(CONCATENATE((INDEX($A$7:$A$35,SMALL(IF($M$7:$M$35&lt;&gt;"",IF($J$7:$J$35&lt;&gt;"",ROW($J$7:$J$35)-MIN(ROW($J$7:$J$35))+1,""),""),ROW()-ROW(A$38)+1))),),"")</f>
        <v>0</v>
      </c>
    </row>
    <row r="57" spans="10:12">
      <c r="J57">
        <f t="array" ref="J57">IFERROR(CONCATENATE((INDEX($M$7:$M$35,SMALL(IF($M$7:$M$35&lt;&gt;"",IF($J$7:$J$35&lt;&gt;"",ROW($J$7:$J$35)-MIN(ROW($J$7:$J$35))+1,""),""),ROW()-ROW(A$38)+1))),"|"),"")</f>
        <v>0</v>
      </c>
      <c r="K57">
        <f t="array" ref="K57">IFERROR(CONCATENATE(TEXT(INDEX($J$7:$J$35,SMALL(IF($M$7:$M$35&lt;&gt;"",IF($J$7:$J$35&lt;&gt;"",ROW($J$7:$J$35)-MIN(ROW($J$7:$J$35))+1,""),""),ROW()-ROW(A$38)+1)),"##0"),"|"),"")</f>
        <v>0</v>
      </c>
      <c r="L57">
        <f t="array" ref="L57">IFERROR(CONCATENATE((INDEX($A$7:$A$35,SMALL(IF($M$7:$M$35&lt;&gt;"",IF($J$7:$J$35&lt;&gt;"",ROW($J$7:$J$35)-MIN(ROW($J$7:$J$35))+1,""),""),ROW()-ROW(A$38)+1))),),"")</f>
        <v>0</v>
      </c>
    </row>
    <row r="58" spans="10:12">
      <c r="J58">
        <f t="array" ref="J58">IFERROR(CONCATENATE((INDEX($M$7:$M$35,SMALL(IF($M$7:$M$35&lt;&gt;"",IF($J$7:$J$35&lt;&gt;"",ROW($J$7:$J$35)-MIN(ROW($J$7:$J$35))+1,""),""),ROW()-ROW(A$38)+1))),"|"),"")</f>
        <v>0</v>
      </c>
      <c r="K58">
        <f t="array" ref="K58">IFERROR(CONCATENATE(TEXT(INDEX($J$7:$J$35,SMALL(IF($M$7:$M$35&lt;&gt;"",IF($J$7:$J$35&lt;&gt;"",ROW($J$7:$J$35)-MIN(ROW($J$7:$J$35))+1,""),""),ROW()-ROW(A$38)+1)),"##0"),"|"),"")</f>
        <v>0</v>
      </c>
      <c r="L58">
        <f t="array" ref="L58">IFERROR(CONCATENATE((INDEX($A$7:$A$35,SMALL(IF($M$7:$M$35&lt;&gt;"",IF($J$7:$J$35&lt;&gt;"",ROW($J$7:$J$35)-MIN(ROW($J$7:$J$35))+1,""),""),ROW()-ROW(A$38)+1))),),"")</f>
        <v>0</v>
      </c>
    </row>
    <row r="59" spans="10:12">
      <c r="J59">
        <f t="array" ref="J59">IFERROR(CONCATENATE((INDEX($M$7:$M$35,SMALL(IF($M$7:$M$35&lt;&gt;"",IF($J$7:$J$35&lt;&gt;"",ROW($J$7:$J$35)-MIN(ROW($J$7:$J$35))+1,""),""),ROW()-ROW(A$38)+1))),"|"),"")</f>
        <v>0</v>
      </c>
      <c r="K59">
        <f t="array" ref="K59">IFERROR(CONCATENATE(TEXT(INDEX($J$7:$J$35,SMALL(IF($M$7:$M$35&lt;&gt;"",IF($J$7:$J$35&lt;&gt;"",ROW($J$7:$J$35)-MIN(ROW($J$7:$J$35))+1,""),""),ROW()-ROW(A$38)+1)),"##0"),"|"),"")</f>
        <v>0</v>
      </c>
      <c r="L59">
        <f t="array" ref="L59">IFERROR(CONCATENATE((INDEX($A$7:$A$35,SMALL(IF($M$7:$M$35&lt;&gt;"",IF($J$7:$J$35&lt;&gt;"",ROW($J$7:$J$35)-MIN(ROW($J$7:$J$35))+1,""),""),ROW()-ROW(A$38)+1))),),"")</f>
        <v>0</v>
      </c>
    </row>
    <row r="60" spans="10:12">
      <c r="J60">
        <f t="array" ref="J60">IFERROR(CONCATENATE((INDEX($M$7:$M$35,SMALL(IF($M$7:$M$35&lt;&gt;"",IF($J$7:$J$35&lt;&gt;"",ROW($J$7:$J$35)-MIN(ROW($J$7:$J$35))+1,""),""),ROW()-ROW(A$38)+1))),"|"),"")</f>
        <v>0</v>
      </c>
      <c r="K60">
        <f t="array" ref="K60">IFERROR(CONCATENATE(TEXT(INDEX($J$7:$J$35,SMALL(IF($M$7:$M$35&lt;&gt;"",IF($J$7:$J$35&lt;&gt;"",ROW($J$7:$J$35)-MIN(ROW($J$7:$J$35))+1,""),""),ROW()-ROW(A$38)+1)),"##0"),"|"),"")</f>
        <v>0</v>
      </c>
      <c r="L60">
        <f t="array" ref="L60">IFERROR(CONCATENATE((INDEX($A$7:$A$35,SMALL(IF($M$7:$M$35&lt;&gt;"",IF($J$7:$J$35&lt;&gt;"",ROW($J$7:$J$35)-MIN(ROW($J$7:$J$35))+1,""),""),ROW()-ROW(A$38)+1))),),"")</f>
        <v>0</v>
      </c>
    </row>
    <row r="61" spans="10:12">
      <c r="J61">
        <f t="array" ref="J61">IFERROR(CONCATENATE((INDEX($M$7:$M$35,SMALL(IF($M$7:$M$35&lt;&gt;"",IF($J$7:$J$35&lt;&gt;"",ROW($J$7:$J$35)-MIN(ROW($J$7:$J$35))+1,""),""),ROW()-ROW(A$38)+1))),"|"),"")</f>
        <v>0</v>
      </c>
      <c r="K61">
        <f t="array" ref="K61">IFERROR(CONCATENATE(TEXT(INDEX($J$7:$J$35,SMALL(IF($M$7:$M$35&lt;&gt;"",IF($J$7:$J$35&lt;&gt;"",ROW($J$7:$J$35)-MIN(ROW($J$7:$J$35))+1,""),""),ROW()-ROW(A$38)+1)),"##0"),"|"),"")</f>
        <v>0</v>
      </c>
      <c r="L61">
        <f t="array" ref="L61">IFERROR(CONCATENATE((INDEX($A$7:$A$35,SMALL(IF($M$7:$M$35&lt;&gt;"",IF($J$7:$J$35&lt;&gt;"",ROW($J$7:$J$35)-MIN(ROW($J$7:$J$35))+1,""),""),ROW()-ROW(A$38)+1))),),"")</f>
        <v>0</v>
      </c>
    </row>
    <row r="62" spans="10:12">
      <c r="J62">
        <f t="array" ref="J62">IFERROR(CONCATENATE((INDEX($M$7:$M$35,SMALL(IF($M$7:$M$35&lt;&gt;"",IF($J$7:$J$35&lt;&gt;"",ROW($J$7:$J$35)-MIN(ROW($J$7:$J$35))+1,""),""),ROW()-ROW(A$38)+1))),"|"),"")</f>
        <v>0</v>
      </c>
      <c r="K62">
        <f t="array" ref="K62">IFERROR(CONCATENATE(TEXT(INDEX($J$7:$J$35,SMALL(IF($M$7:$M$35&lt;&gt;"",IF($J$7:$J$35&lt;&gt;"",ROW($J$7:$J$35)-MIN(ROW($J$7:$J$35))+1,""),""),ROW()-ROW(A$38)+1)),"##0"),"|"),"")</f>
        <v>0</v>
      </c>
      <c r="L62">
        <f t="array" ref="L62">IFERROR(CONCATENATE((INDEX($A$7:$A$35,SMALL(IF($M$7:$M$35&lt;&gt;"",IF($J$7:$J$35&lt;&gt;"",ROW($J$7:$J$35)-MIN(ROW($J$7:$J$35))+1,""),""),ROW()-ROW(A$38)+1))),),"")</f>
        <v>0</v>
      </c>
    </row>
    <row r="63" spans="10:12">
      <c r="J63">
        <f t="array" ref="J63">IFERROR(CONCATENATE((INDEX($M$7:$M$35,SMALL(IF($M$7:$M$35&lt;&gt;"",IF($J$7:$J$35&lt;&gt;"",ROW($J$7:$J$35)-MIN(ROW($J$7:$J$35))+1,""),""),ROW()-ROW(A$38)+1))),"|"),"")</f>
        <v>0</v>
      </c>
      <c r="K63">
        <f t="array" ref="K63">IFERROR(CONCATENATE(TEXT(INDEX($J$7:$J$35,SMALL(IF($M$7:$M$35&lt;&gt;"",IF($J$7:$J$35&lt;&gt;"",ROW($J$7:$J$35)-MIN(ROW($J$7:$J$35))+1,""),""),ROW()-ROW(A$38)+1)),"##0"),"|"),"")</f>
        <v>0</v>
      </c>
      <c r="L63">
        <f t="array" ref="L63">IFERROR(CONCATENATE((INDEX($A$7:$A$35,SMALL(IF($M$7:$M$35&lt;&gt;"",IF($J$7:$J$35&lt;&gt;"",ROW($J$7:$J$35)-MIN(ROW($J$7:$J$35))+1,""),""),ROW()-ROW(A$38)+1))),),"")</f>
        <v>0</v>
      </c>
    </row>
    <row r="64" spans="10:12">
      <c r="J64">
        <f t="array" ref="J64">IFERROR(CONCATENATE((INDEX($M$7:$M$35,SMALL(IF($M$7:$M$35&lt;&gt;"",IF($J$7:$J$35&lt;&gt;"",ROW($J$7:$J$35)-MIN(ROW($J$7:$J$35))+1,""),""),ROW()-ROW(A$38)+1))),"|"),"")</f>
        <v>0</v>
      </c>
      <c r="K64">
        <f t="array" ref="K64">IFERROR(CONCATENATE(TEXT(INDEX($J$7:$J$35,SMALL(IF($M$7:$M$35&lt;&gt;"",IF($J$7:$J$35&lt;&gt;"",ROW($J$7:$J$35)-MIN(ROW($J$7:$J$35))+1,""),""),ROW()-ROW(A$38)+1)),"##0"),"|"),"")</f>
        <v>0</v>
      </c>
      <c r="L64">
        <f t="array" ref="L64">IFERROR(CONCATENATE((INDEX($A$7:$A$35,SMALL(IF($M$7:$M$35&lt;&gt;"",IF($J$7:$J$35&lt;&gt;"",ROW($J$7:$J$35)-MIN(ROW($J$7:$J$35))+1,""),""),ROW()-ROW(A$38)+1))),),"")</f>
        <v>0</v>
      </c>
    </row>
    <row r="65" spans="10:12">
      <c r="J65">
        <f t="array" ref="J65">IFERROR(CONCATENATE((INDEX($M$7:$M$35,SMALL(IF($M$7:$M$35&lt;&gt;"",IF($J$7:$J$35&lt;&gt;"",ROW($J$7:$J$35)-MIN(ROW($J$7:$J$35))+1,""),""),ROW()-ROW(A$38)+1))),"|"),"")</f>
        <v>0</v>
      </c>
      <c r="K65">
        <f t="array" ref="K65">IFERROR(CONCATENATE(TEXT(INDEX($J$7:$J$35,SMALL(IF($M$7:$M$35&lt;&gt;"",IF($J$7:$J$35&lt;&gt;"",ROW($J$7:$J$35)-MIN(ROW($J$7:$J$35))+1,""),""),ROW()-ROW(A$38)+1)),"##0"),"|"),"")</f>
        <v>0</v>
      </c>
      <c r="L65">
        <f t="array" ref="L65">IFERROR(CONCATENATE((INDEX($A$7:$A$35,SMALL(IF($M$7:$M$35&lt;&gt;"",IF($J$7:$J$35&lt;&gt;"",ROW($J$7:$J$35)-MIN(ROW($J$7:$J$35))+1,""),""),ROW()-ROW(A$38)+1))),),"")</f>
        <v>0</v>
      </c>
    </row>
    <row r="66" spans="10:12">
      <c r="J66">
        <f t="array" ref="J66">IFERROR(CONCATENATE((INDEX($M$7:$M$35,SMALL(IF($M$7:$M$35&lt;&gt;"",IF($J$7:$J$35&lt;&gt;"",ROW($J$7:$J$35)-MIN(ROW($J$7:$J$35))+1,""),""),ROW()-ROW(A$38)+1))),"|"),"")</f>
        <v>0</v>
      </c>
      <c r="K66">
        <f t="array" ref="K66">IFERROR(CONCATENATE(TEXT(INDEX($J$7:$J$35,SMALL(IF($M$7:$M$35&lt;&gt;"",IF($J$7:$J$35&lt;&gt;"",ROW($J$7:$J$35)-MIN(ROW($J$7:$J$35))+1,""),""),ROW()-ROW(A$38)+1)),"##0"),"|"),"")</f>
        <v>0</v>
      </c>
      <c r="L66">
        <f t="array" ref="L66">IFERROR(CONCATENATE((INDEX($A$7:$A$35,SMALL(IF($M$7:$M$35&lt;&gt;"",IF($J$7:$J$35&lt;&gt;"",ROW($J$7:$J$35)-MIN(ROW($J$7:$J$35))+1,""),""),ROW()-ROW(A$38)+1))),),"")</f>
        <v>0</v>
      </c>
    </row>
  </sheetData>
  <mergeCells count="2">
    <mergeCell ref="A5:H5"/>
    <mergeCell ref="I5:M5"/>
  </mergeCells>
  <conditionalFormatting sqref="F10">
    <cfRule type="expression" dxfId="0" priority="13">
      <formula>AND(ISBLANK(E10),ISBLANK(INDIRECT(ADDRESS(ROW(),COLUMN(mouser_part_data)+4))))</formula>
    </cfRule>
    <cfRule type="expression" dxfId="1" priority="14">
      <formula>IF(SUM(INDIRECT(ADDRESS(ROW(),COLUMN(mouser_part_data)+0)))=0,1,0)</formula>
    </cfRule>
    <cfRule type="cellIs" dxfId="2" priority="15" operator="greaterThan">
      <formula>SUM(INDIRECT(ADDRESS(ROW(),COLUMN(mouser_part_data)+0)))</formula>
    </cfRule>
    <cfRule type="cellIs" dxfId="3" priority="16" operator="greaterThan">
      <formula>SUM(IF(ISNUMBER(INDIRECT(ADDRESS(ROW(),COLUMN(mouser_part_data)+2))),INDIRECT(ADDRESS(ROW(),COLUMN(mouser_part_data)+1)),0))</formula>
    </cfRule>
  </conditionalFormatting>
  <conditionalFormatting sqref="F11">
    <cfRule type="expression" dxfId="0" priority="17">
      <formula>AND(ISBLANK(E11),ISBLANK(INDIRECT(ADDRESS(ROW(),COLUMN(mouser_part_data)+4))))</formula>
    </cfRule>
    <cfRule type="expression" dxfId="1" priority="18">
      <formula>IF(SUM(INDIRECT(ADDRESS(ROW(),COLUMN(mouser_part_data)+0)))=0,1,0)</formula>
    </cfRule>
    <cfRule type="cellIs" dxfId="2" priority="19" operator="greaterThan">
      <formula>SUM(INDIRECT(ADDRESS(ROW(),COLUMN(mouser_part_data)+0)))</formula>
    </cfRule>
    <cfRule type="cellIs" dxfId="3" priority="20" operator="greaterThan">
      <formula>SUM(IF(ISNUMBER(INDIRECT(ADDRESS(ROW(),COLUMN(mouser_part_data)+2))),INDIRECT(ADDRESS(ROW(),COLUMN(mouser_part_data)+1)),0))</formula>
    </cfRule>
  </conditionalFormatting>
  <conditionalFormatting sqref="F12">
    <cfRule type="expression" dxfId="0" priority="21">
      <formula>AND(ISBLANK(E12),ISBLANK(INDIRECT(ADDRESS(ROW(),COLUMN(mouser_part_data)+4))))</formula>
    </cfRule>
    <cfRule type="expression" dxfId="1" priority="22">
      <formula>IF(SUM(INDIRECT(ADDRESS(ROW(),COLUMN(mouser_part_data)+0)))=0,1,0)</formula>
    </cfRule>
    <cfRule type="cellIs" dxfId="2" priority="23" operator="greaterThan">
      <formula>SUM(INDIRECT(ADDRESS(ROW(),COLUMN(mouser_part_data)+0)))</formula>
    </cfRule>
    <cfRule type="cellIs" dxfId="3" priority="24" operator="greaterThan">
      <formula>SUM(IF(ISNUMBER(INDIRECT(ADDRESS(ROW(),COLUMN(mouser_part_data)+2))),INDIRECT(ADDRESS(ROW(),COLUMN(mouser_part_data)+1)),0))</formula>
    </cfRule>
  </conditionalFormatting>
  <conditionalFormatting sqref="F13">
    <cfRule type="expression" dxfId="0" priority="25">
      <formula>AND(ISBLANK(E13),ISBLANK(INDIRECT(ADDRESS(ROW(),COLUMN(mouser_part_data)+4))))</formula>
    </cfRule>
    <cfRule type="expression" dxfId="1" priority="26">
      <formula>IF(SUM(INDIRECT(ADDRESS(ROW(),COLUMN(mouser_part_data)+0)))=0,1,0)</formula>
    </cfRule>
    <cfRule type="cellIs" dxfId="2" priority="27" operator="greaterThan">
      <formula>SUM(INDIRECT(ADDRESS(ROW(),COLUMN(mouser_part_data)+0)))</formula>
    </cfRule>
    <cfRule type="cellIs" dxfId="3" priority="28" operator="greaterThan">
      <formula>SUM(IF(ISNUMBER(INDIRECT(ADDRESS(ROW(),COLUMN(mouser_part_data)+2))),INDIRECT(ADDRESS(ROW(),COLUMN(mouser_part_data)+1)),0))</formula>
    </cfRule>
  </conditionalFormatting>
  <conditionalFormatting sqref="F14">
    <cfRule type="expression" dxfId="0" priority="29">
      <formula>AND(ISBLANK(E14),ISBLANK(INDIRECT(ADDRESS(ROW(),COLUMN(mouser_part_data)+4))))</formula>
    </cfRule>
    <cfRule type="expression" dxfId="1" priority="30">
      <formula>IF(SUM(INDIRECT(ADDRESS(ROW(),COLUMN(mouser_part_data)+0)))=0,1,0)</formula>
    </cfRule>
    <cfRule type="cellIs" dxfId="2" priority="31" operator="greaterThan">
      <formula>SUM(INDIRECT(ADDRESS(ROW(),COLUMN(mouser_part_data)+0)))</formula>
    </cfRule>
    <cfRule type="cellIs" dxfId="3" priority="32" operator="greaterThan">
      <formula>SUM(IF(ISNUMBER(INDIRECT(ADDRESS(ROW(),COLUMN(mouser_part_data)+2))),INDIRECT(ADDRESS(ROW(),COLUMN(mouser_part_data)+1)),0))</formula>
    </cfRule>
  </conditionalFormatting>
  <conditionalFormatting sqref="F15">
    <cfRule type="expression" dxfId="0" priority="33">
      <formula>AND(ISBLANK(E15),ISBLANK(INDIRECT(ADDRESS(ROW(),COLUMN(mouser_part_data)+4))))</formula>
    </cfRule>
    <cfRule type="expression" dxfId="1" priority="34">
      <formula>IF(SUM(INDIRECT(ADDRESS(ROW(),COLUMN(mouser_part_data)+0)))=0,1,0)</formula>
    </cfRule>
    <cfRule type="cellIs" dxfId="2" priority="35" operator="greaterThan">
      <formula>SUM(INDIRECT(ADDRESS(ROW(),COLUMN(mouser_part_data)+0)))</formula>
    </cfRule>
    <cfRule type="cellIs" dxfId="3" priority="36" operator="greaterThan">
      <formula>SUM(IF(ISNUMBER(INDIRECT(ADDRESS(ROW(),COLUMN(mouser_part_data)+2))),INDIRECT(ADDRESS(ROW(),COLUMN(mouser_part_data)+1)),0))</formula>
    </cfRule>
  </conditionalFormatting>
  <conditionalFormatting sqref="F16">
    <cfRule type="expression" dxfId="0" priority="37">
      <formula>AND(ISBLANK(E16),ISBLANK(INDIRECT(ADDRESS(ROW(),COLUMN(mouser_part_data)+4))))</formula>
    </cfRule>
    <cfRule type="expression" dxfId="1" priority="38">
      <formula>IF(SUM(INDIRECT(ADDRESS(ROW(),COLUMN(mouser_part_data)+0)))=0,1,0)</formula>
    </cfRule>
    <cfRule type="cellIs" dxfId="2" priority="39" operator="greaterThan">
      <formula>SUM(INDIRECT(ADDRESS(ROW(),COLUMN(mouser_part_data)+0)))</formula>
    </cfRule>
    <cfRule type="cellIs" dxfId="3" priority="40" operator="greaterThan">
      <formula>SUM(IF(ISNUMBER(INDIRECT(ADDRESS(ROW(),COLUMN(mouser_part_data)+2))),INDIRECT(ADDRESS(ROW(),COLUMN(mouser_part_data)+1)),0))</formula>
    </cfRule>
  </conditionalFormatting>
  <conditionalFormatting sqref="F17">
    <cfRule type="expression" dxfId="0" priority="41">
      <formula>AND(ISBLANK(E17),ISBLANK(INDIRECT(ADDRESS(ROW(),COLUMN(mouser_part_data)+4))))</formula>
    </cfRule>
    <cfRule type="expression" dxfId="1" priority="42">
      <formula>IF(SUM(INDIRECT(ADDRESS(ROW(),COLUMN(mouser_part_data)+0)))=0,1,0)</formula>
    </cfRule>
    <cfRule type="cellIs" dxfId="2" priority="43" operator="greaterThan">
      <formula>SUM(INDIRECT(ADDRESS(ROW(),COLUMN(mouser_part_data)+0)))</formula>
    </cfRule>
    <cfRule type="cellIs" dxfId="3" priority="44" operator="greaterThan">
      <formula>SUM(IF(ISNUMBER(INDIRECT(ADDRESS(ROW(),COLUMN(mouser_part_data)+2))),INDIRECT(ADDRESS(ROW(),COLUMN(mouser_part_data)+1)),0))</formula>
    </cfRule>
  </conditionalFormatting>
  <conditionalFormatting sqref="F18">
    <cfRule type="expression" dxfId="0" priority="45">
      <formula>AND(ISBLANK(E18),ISBLANK(INDIRECT(ADDRESS(ROW(),COLUMN(mouser_part_data)+4))))</formula>
    </cfRule>
    <cfRule type="expression" dxfId="1" priority="46">
      <formula>IF(SUM(INDIRECT(ADDRESS(ROW(),COLUMN(mouser_part_data)+0)))=0,1,0)</formula>
    </cfRule>
    <cfRule type="cellIs" dxfId="2" priority="47" operator="greaterThan">
      <formula>SUM(INDIRECT(ADDRESS(ROW(),COLUMN(mouser_part_data)+0)))</formula>
    </cfRule>
    <cfRule type="cellIs" dxfId="3" priority="48" operator="greaterThan">
      <formula>SUM(IF(ISNUMBER(INDIRECT(ADDRESS(ROW(),COLUMN(mouser_part_data)+2))),INDIRECT(ADDRESS(ROW(),COLUMN(mouser_part_data)+1)),0))</formula>
    </cfRule>
  </conditionalFormatting>
  <conditionalFormatting sqref="F19">
    <cfRule type="expression" dxfId="0" priority="49">
      <formula>AND(ISBLANK(E19),ISBLANK(INDIRECT(ADDRESS(ROW(),COLUMN(mouser_part_data)+4))))</formula>
    </cfRule>
    <cfRule type="expression" dxfId="1" priority="50">
      <formula>IF(SUM(INDIRECT(ADDRESS(ROW(),COLUMN(mouser_part_data)+0)))=0,1,0)</formula>
    </cfRule>
    <cfRule type="cellIs" dxfId="2" priority="51" operator="greaterThan">
      <formula>SUM(INDIRECT(ADDRESS(ROW(),COLUMN(mouser_part_data)+0)))</formula>
    </cfRule>
    <cfRule type="cellIs" dxfId="3" priority="52" operator="greaterThan">
      <formula>SUM(IF(ISNUMBER(INDIRECT(ADDRESS(ROW(),COLUMN(mouser_part_data)+2))),INDIRECT(ADDRESS(ROW(),COLUMN(mouser_part_data)+1)),0))</formula>
    </cfRule>
  </conditionalFormatting>
  <conditionalFormatting sqref="F20">
    <cfRule type="expression" dxfId="0" priority="53">
      <formula>AND(ISBLANK(E20),ISBLANK(INDIRECT(ADDRESS(ROW(),COLUMN(mouser_part_data)+4))))</formula>
    </cfRule>
    <cfRule type="expression" dxfId="1" priority="54">
      <formula>IF(SUM(INDIRECT(ADDRESS(ROW(),COLUMN(mouser_part_data)+0)))=0,1,0)</formula>
    </cfRule>
    <cfRule type="cellIs" dxfId="2" priority="55" operator="greaterThan">
      <formula>SUM(INDIRECT(ADDRESS(ROW(),COLUMN(mouser_part_data)+0)))</formula>
    </cfRule>
    <cfRule type="cellIs" dxfId="3" priority="56" operator="greaterThan">
      <formula>SUM(IF(ISNUMBER(INDIRECT(ADDRESS(ROW(),COLUMN(mouser_part_data)+2))),INDIRECT(ADDRESS(ROW(),COLUMN(mouser_part_data)+1)),0))</formula>
    </cfRule>
  </conditionalFormatting>
  <conditionalFormatting sqref="F21">
    <cfRule type="expression" dxfId="0" priority="57">
      <formula>AND(ISBLANK(E21),ISBLANK(INDIRECT(ADDRESS(ROW(),COLUMN(mouser_part_data)+4))))</formula>
    </cfRule>
    <cfRule type="expression" dxfId="1" priority="58">
      <formula>IF(SUM(INDIRECT(ADDRESS(ROW(),COLUMN(mouser_part_data)+0)))=0,1,0)</formula>
    </cfRule>
    <cfRule type="cellIs" dxfId="2" priority="59" operator="greaterThan">
      <formula>SUM(INDIRECT(ADDRESS(ROW(),COLUMN(mouser_part_data)+0)))</formula>
    </cfRule>
    <cfRule type="cellIs" dxfId="3" priority="60" operator="greaterThan">
      <formula>SUM(IF(ISNUMBER(INDIRECT(ADDRESS(ROW(),COLUMN(mouser_part_data)+2))),INDIRECT(ADDRESS(ROW(),COLUMN(mouser_part_data)+1)),0))</formula>
    </cfRule>
  </conditionalFormatting>
  <conditionalFormatting sqref="F22">
    <cfRule type="expression" dxfId="0" priority="61">
      <formula>AND(ISBLANK(E22),ISBLANK(INDIRECT(ADDRESS(ROW(),COLUMN(mouser_part_data)+4))))</formula>
    </cfRule>
    <cfRule type="expression" dxfId="1" priority="62">
      <formula>IF(SUM(INDIRECT(ADDRESS(ROW(),COLUMN(mouser_part_data)+0)))=0,1,0)</formula>
    </cfRule>
    <cfRule type="cellIs" dxfId="2" priority="63" operator="greaterThan">
      <formula>SUM(INDIRECT(ADDRESS(ROW(),COLUMN(mouser_part_data)+0)))</formula>
    </cfRule>
    <cfRule type="cellIs" dxfId="3" priority="64" operator="greaterThan">
      <formula>SUM(IF(ISNUMBER(INDIRECT(ADDRESS(ROW(),COLUMN(mouser_part_data)+2))),INDIRECT(ADDRESS(ROW(),COLUMN(mouser_part_data)+1)),0))</formula>
    </cfRule>
  </conditionalFormatting>
  <conditionalFormatting sqref="F23">
    <cfRule type="expression" dxfId="0" priority="65">
      <formula>AND(ISBLANK(E23),ISBLANK(INDIRECT(ADDRESS(ROW(),COLUMN(mouser_part_data)+4))))</formula>
    </cfRule>
    <cfRule type="expression" dxfId="1" priority="66">
      <formula>IF(SUM(INDIRECT(ADDRESS(ROW(),COLUMN(mouser_part_data)+0)))=0,1,0)</formula>
    </cfRule>
    <cfRule type="cellIs" dxfId="2" priority="67" operator="greaterThan">
      <formula>SUM(INDIRECT(ADDRESS(ROW(),COLUMN(mouser_part_data)+0)))</formula>
    </cfRule>
    <cfRule type="cellIs" dxfId="3" priority="68" operator="greaterThan">
      <formula>SUM(IF(ISNUMBER(INDIRECT(ADDRESS(ROW(),COLUMN(mouser_part_data)+2))),INDIRECT(ADDRESS(ROW(),COLUMN(mouser_part_data)+1)),0))</formula>
    </cfRule>
  </conditionalFormatting>
  <conditionalFormatting sqref="F24">
    <cfRule type="expression" dxfId="0" priority="69">
      <formula>AND(ISBLANK(E24),ISBLANK(INDIRECT(ADDRESS(ROW(),COLUMN(mouser_part_data)+4))))</formula>
    </cfRule>
    <cfRule type="expression" dxfId="1" priority="70">
      <formula>IF(SUM(INDIRECT(ADDRESS(ROW(),COLUMN(mouser_part_data)+0)))=0,1,0)</formula>
    </cfRule>
    <cfRule type="cellIs" dxfId="2" priority="71" operator="greaterThan">
      <formula>SUM(INDIRECT(ADDRESS(ROW(),COLUMN(mouser_part_data)+0)))</formula>
    </cfRule>
    <cfRule type="cellIs" dxfId="3" priority="72" operator="greaterThan">
      <formula>SUM(IF(ISNUMBER(INDIRECT(ADDRESS(ROW(),COLUMN(mouser_part_data)+2))),INDIRECT(ADDRESS(ROW(),COLUMN(mouser_part_data)+1)),0))</formula>
    </cfRule>
  </conditionalFormatting>
  <conditionalFormatting sqref="F25">
    <cfRule type="expression" dxfId="0" priority="73">
      <formula>AND(ISBLANK(E25),ISBLANK(INDIRECT(ADDRESS(ROW(),COLUMN(mouser_part_data)+4))))</formula>
    </cfRule>
    <cfRule type="expression" dxfId="1" priority="74">
      <formula>IF(SUM(INDIRECT(ADDRESS(ROW(),COLUMN(mouser_part_data)+0)))=0,1,0)</formula>
    </cfRule>
    <cfRule type="cellIs" dxfId="2" priority="75" operator="greaterThan">
      <formula>SUM(INDIRECT(ADDRESS(ROW(),COLUMN(mouser_part_data)+0)))</formula>
    </cfRule>
    <cfRule type="cellIs" dxfId="3" priority="76" operator="greaterThan">
      <formula>SUM(IF(ISNUMBER(INDIRECT(ADDRESS(ROW(),COLUMN(mouser_part_data)+2))),INDIRECT(ADDRESS(ROW(),COLUMN(mouser_part_data)+1)),0))</formula>
    </cfRule>
  </conditionalFormatting>
  <conditionalFormatting sqref="F26">
    <cfRule type="expression" dxfId="0" priority="77">
      <formula>AND(ISBLANK(E26),ISBLANK(INDIRECT(ADDRESS(ROW(),COLUMN(mouser_part_data)+4))))</formula>
    </cfRule>
    <cfRule type="expression" dxfId="1" priority="78">
      <formula>IF(SUM(INDIRECT(ADDRESS(ROW(),COLUMN(mouser_part_data)+0)))=0,1,0)</formula>
    </cfRule>
    <cfRule type="cellIs" dxfId="2" priority="79" operator="greaterThan">
      <formula>SUM(INDIRECT(ADDRESS(ROW(),COLUMN(mouser_part_data)+0)))</formula>
    </cfRule>
    <cfRule type="cellIs" dxfId="3" priority="80" operator="greaterThan">
      <formula>SUM(IF(ISNUMBER(INDIRECT(ADDRESS(ROW(),COLUMN(mouser_part_data)+2))),INDIRECT(ADDRESS(ROW(),COLUMN(mouser_part_data)+1)),0))</formula>
    </cfRule>
  </conditionalFormatting>
  <conditionalFormatting sqref="F27">
    <cfRule type="expression" dxfId="0" priority="81">
      <formula>AND(ISBLANK(E27),ISBLANK(INDIRECT(ADDRESS(ROW(),COLUMN(mouser_part_data)+4))))</formula>
    </cfRule>
    <cfRule type="expression" dxfId="1" priority="82">
      <formula>IF(SUM(INDIRECT(ADDRESS(ROW(),COLUMN(mouser_part_data)+0)))=0,1,0)</formula>
    </cfRule>
    <cfRule type="cellIs" dxfId="2" priority="83" operator="greaterThan">
      <formula>SUM(INDIRECT(ADDRESS(ROW(),COLUMN(mouser_part_data)+0)))</formula>
    </cfRule>
    <cfRule type="cellIs" dxfId="3" priority="84" operator="greaterThan">
      <formula>SUM(IF(ISNUMBER(INDIRECT(ADDRESS(ROW(),COLUMN(mouser_part_data)+2))),INDIRECT(ADDRESS(ROW(),COLUMN(mouser_part_data)+1)),0))</formula>
    </cfRule>
  </conditionalFormatting>
  <conditionalFormatting sqref="F28">
    <cfRule type="expression" dxfId="0" priority="85">
      <formula>AND(ISBLANK(E28),ISBLANK(INDIRECT(ADDRESS(ROW(),COLUMN(mouser_part_data)+4))))</formula>
    </cfRule>
    <cfRule type="expression" dxfId="1" priority="86">
      <formula>IF(SUM(INDIRECT(ADDRESS(ROW(),COLUMN(mouser_part_data)+0)))=0,1,0)</formula>
    </cfRule>
    <cfRule type="cellIs" dxfId="2" priority="87" operator="greaterThan">
      <formula>SUM(INDIRECT(ADDRESS(ROW(),COLUMN(mouser_part_data)+0)))</formula>
    </cfRule>
    <cfRule type="cellIs" dxfId="3" priority="88" operator="greaterThan">
      <formula>SUM(IF(ISNUMBER(INDIRECT(ADDRESS(ROW(),COLUMN(mouser_part_data)+2))),INDIRECT(ADDRESS(ROW(),COLUMN(mouser_part_data)+1)),0))</formula>
    </cfRule>
  </conditionalFormatting>
  <conditionalFormatting sqref="F29">
    <cfRule type="expression" dxfId="0" priority="89">
      <formula>AND(ISBLANK(E29),ISBLANK(INDIRECT(ADDRESS(ROW(),COLUMN(mouser_part_data)+4))))</formula>
    </cfRule>
    <cfRule type="expression" dxfId="1" priority="90">
      <formula>IF(SUM(INDIRECT(ADDRESS(ROW(),COLUMN(mouser_part_data)+0)))=0,1,0)</formula>
    </cfRule>
    <cfRule type="cellIs" dxfId="2" priority="91" operator="greaterThan">
      <formula>SUM(INDIRECT(ADDRESS(ROW(),COLUMN(mouser_part_data)+0)))</formula>
    </cfRule>
    <cfRule type="cellIs" dxfId="3" priority="92" operator="greaterThan">
      <formula>SUM(IF(ISNUMBER(INDIRECT(ADDRESS(ROW(),COLUMN(mouser_part_data)+2))),INDIRECT(ADDRESS(ROW(),COLUMN(mouser_part_data)+1)),0))</formula>
    </cfRule>
  </conditionalFormatting>
  <conditionalFormatting sqref="F30">
    <cfRule type="expression" dxfId="0" priority="93">
      <formula>AND(ISBLANK(E30),ISBLANK(INDIRECT(ADDRESS(ROW(),COLUMN(mouser_part_data)+4))))</formula>
    </cfRule>
    <cfRule type="expression" dxfId="1" priority="94">
      <formula>IF(SUM(INDIRECT(ADDRESS(ROW(),COLUMN(mouser_part_data)+0)))=0,1,0)</formula>
    </cfRule>
    <cfRule type="cellIs" dxfId="2" priority="95" operator="greaterThan">
      <formula>SUM(INDIRECT(ADDRESS(ROW(),COLUMN(mouser_part_data)+0)))</formula>
    </cfRule>
    <cfRule type="cellIs" dxfId="3" priority="96" operator="greaterThan">
      <formula>SUM(IF(ISNUMBER(INDIRECT(ADDRESS(ROW(),COLUMN(mouser_part_data)+2))),INDIRECT(ADDRESS(ROW(),COLUMN(mouser_part_data)+1)),0))</formula>
    </cfRule>
  </conditionalFormatting>
  <conditionalFormatting sqref="F31">
    <cfRule type="expression" dxfId="0" priority="97">
      <formula>AND(ISBLANK(E31),ISBLANK(INDIRECT(ADDRESS(ROW(),COLUMN(mouser_part_data)+4))))</formula>
    </cfRule>
    <cfRule type="expression" dxfId="1" priority="98">
      <formula>IF(SUM(INDIRECT(ADDRESS(ROW(),COLUMN(mouser_part_data)+0)))=0,1,0)</formula>
    </cfRule>
    <cfRule type="cellIs" dxfId="2" priority="99" operator="greaterThan">
      <formula>SUM(INDIRECT(ADDRESS(ROW(),COLUMN(mouser_part_data)+0)))</formula>
    </cfRule>
    <cfRule type="cellIs" dxfId="3" priority="100" operator="greaterThan">
      <formula>SUM(IF(ISNUMBER(INDIRECT(ADDRESS(ROW(),COLUMN(mouser_part_data)+2))),INDIRECT(ADDRESS(ROW(),COLUMN(mouser_part_data)+1)),0))</formula>
    </cfRule>
  </conditionalFormatting>
  <conditionalFormatting sqref="F32">
    <cfRule type="expression" dxfId="0" priority="101">
      <formula>AND(ISBLANK(E32),ISBLANK(INDIRECT(ADDRESS(ROW(),COLUMN(mouser_part_data)+4))))</formula>
    </cfRule>
    <cfRule type="expression" dxfId="1" priority="102">
      <formula>IF(SUM(INDIRECT(ADDRESS(ROW(),COLUMN(mouser_part_data)+0)))=0,1,0)</formula>
    </cfRule>
    <cfRule type="cellIs" dxfId="2" priority="103" operator="greaterThan">
      <formula>SUM(INDIRECT(ADDRESS(ROW(),COLUMN(mouser_part_data)+0)))</formula>
    </cfRule>
    <cfRule type="cellIs" dxfId="3" priority="104" operator="greaterThan">
      <formula>SUM(IF(ISNUMBER(INDIRECT(ADDRESS(ROW(),COLUMN(mouser_part_data)+2))),INDIRECT(ADDRESS(ROW(),COLUMN(mouser_part_data)+1)),0))</formula>
    </cfRule>
  </conditionalFormatting>
  <conditionalFormatting sqref="F33">
    <cfRule type="expression" dxfId="0" priority="105">
      <formula>AND(ISBLANK(E33),ISBLANK(INDIRECT(ADDRESS(ROW(),COLUMN(mouser_part_data)+4))))</formula>
    </cfRule>
    <cfRule type="expression" dxfId="1" priority="106">
      <formula>IF(SUM(INDIRECT(ADDRESS(ROW(),COLUMN(mouser_part_data)+0)))=0,1,0)</formula>
    </cfRule>
    <cfRule type="cellIs" dxfId="2" priority="107" operator="greaterThan">
      <formula>SUM(INDIRECT(ADDRESS(ROW(),COLUMN(mouser_part_data)+0)))</formula>
    </cfRule>
    <cfRule type="cellIs" dxfId="3" priority="108" operator="greaterThan">
      <formula>SUM(IF(ISNUMBER(INDIRECT(ADDRESS(ROW(),COLUMN(mouser_part_data)+2))),INDIRECT(ADDRESS(ROW(),COLUMN(mouser_part_data)+1)),0))</formula>
    </cfRule>
  </conditionalFormatting>
  <conditionalFormatting sqref="F34">
    <cfRule type="expression" dxfId="0" priority="109">
      <formula>AND(ISBLANK(E34),ISBLANK(INDIRECT(ADDRESS(ROW(),COLUMN(mouser_part_data)+4))))</formula>
    </cfRule>
    <cfRule type="expression" dxfId="1" priority="110">
      <formula>IF(SUM(INDIRECT(ADDRESS(ROW(),COLUMN(mouser_part_data)+0)))=0,1,0)</formula>
    </cfRule>
    <cfRule type="cellIs" dxfId="2" priority="111" operator="greaterThan">
      <formula>SUM(INDIRECT(ADDRESS(ROW(),COLUMN(mouser_part_data)+0)))</formula>
    </cfRule>
    <cfRule type="cellIs" dxfId="3" priority="112" operator="greaterThan">
      <formula>SUM(IF(ISNUMBER(INDIRECT(ADDRESS(ROW(),COLUMN(mouser_part_data)+2))),INDIRECT(ADDRESS(ROW(),COLUMN(mouser_part_data)+1)),0))</formula>
    </cfRule>
  </conditionalFormatting>
  <conditionalFormatting sqref="F35">
    <cfRule type="expression" dxfId="0" priority="113">
      <formula>AND(ISBLANK(E35),ISBLANK(INDIRECT(ADDRESS(ROW(),COLUMN(mouser_part_data)+4))))</formula>
    </cfRule>
    <cfRule type="expression" dxfId="1" priority="114">
      <formula>IF(SUM(INDIRECT(ADDRESS(ROW(),COLUMN(mouser_part_data)+0)))=0,1,0)</formula>
    </cfRule>
    <cfRule type="cellIs" dxfId="2" priority="115" operator="greaterThan">
      <formula>SUM(INDIRECT(ADDRESS(ROW(),COLUMN(mouser_part_data)+0)))</formula>
    </cfRule>
    <cfRule type="cellIs" dxfId="3" priority="116" operator="greaterThan">
      <formula>SUM(IF(ISNUMBER(INDIRECT(ADDRESS(ROW(),COLUMN(mouser_part_data)+2))),INDIRECT(ADDRESS(ROW(),COLUMN(mouser_part_data)+1)),0))</formula>
    </cfRule>
  </conditionalFormatting>
  <conditionalFormatting sqref="F7">
    <cfRule type="expression" dxfId="0" priority="1">
      <formula>AND(ISBLANK(E7),ISBLANK(INDIRECT(ADDRESS(ROW(),COLUMN(mouser_part_data)+4))))</formula>
    </cfRule>
    <cfRule type="expression" dxfId="1" priority="2">
      <formula>IF(SUM(INDIRECT(ADDRESS(ROW(),COLUMN(mouser_part_data)+0)))=0,1,0)</formula>
    </cfRule>
    <cfRule type="cellIs" dxfId="2" priority="3" operator="greaterThan">
      <formula>SUM(INDIRECT(ADDRESS(ROW(),COLUMN(mouser_part_data)+0)))</formula>
    </cfRule>
    <cfRule type="cellIs" dxfId="3" priority="4" operator="greaterThan">
      <formula>SUM(IF(ISNUMBER(INDIRECT(ADDRESS(ROW(),COLUMN(mouser_part_data)+2))),INDIRECT(ADDRESS(ROW(),COLUMN(mouser_part_data)+1)),0))</formula>
    </cfRule>
  </conditionalFormatting>
  <conditionalFormatting sqref="F8">
    <cfRule type="expression" dxfId="0" priority="5">
      <formula>AND(ISBLANK(E8),ISBLANK(INDIRECT(ADDRESS(ROW(),COLUMN(mouser_part_data)+4))))</formula>
    </cfRule>
    <cfRule type="expression" dxfId="1" priority="6">
      <formula>IF(SUM(INDIRECT(ADDRESS(ROW(),COLUMN(mouser_part_data)+0)))=0,1,0)</formula>
    </cfRule>
    <cfRule type="cellIs" dxfId="2" priority="7" operator="greaterThan">
      <formula>SUM(INDIRECT(ADDRESS(ROW(),COLUMN(mouser_part_data)+0)))</formula>
    </cfRule>
    <cfRule type="cellIs" dxfId="3" priority="8" operator="greaterThan">
      <formula>SUM(IF(ISNUMBER(INDIRECT(ADDRESS(ROW(),COLUMN(mouser_part_data)+2))),INDIRECT(ADDRESS(ROW(),COLUMN(mouser_part_data)+1)),0))</formula>
    </cfRule>
  </conditionalFormatting>
  <conditionalFormatting sqref="F9">
    <cfRule type="expression" dxfId="0" priority="9">
      <formula>AND(ISBLANK(E9),ISBLANK(INDIRECT(ADDRESS(ROW(),COLUMN(mouser_part_data)+4))))</formula>
    </cfRule>
    <cfRule type="expression" dxfId="1" priority="10">
      <formula>IF(SUM(INDIRECT(ADDRESS(ROW(),COLUMN(mouser_part_data)+0)))=0,1,0)</formula>
    </cfRule>
    <cfRule type="cellIs" dxfId="2" priority="11" operator="greaterThan">
      <formula>SUM(INDIRECT(ADDRESS(ROW(),COLUMN(mouser_part_data)+0)))</formula>
    </cfRule>
    <cfRule type="cellIs" dxfId="3" priority="12" operator="greaterThan">
      <formula>SUM(IF(ISNUMBER(INDIRECT(ADDRESS(ROW(),COLUMN(mouser_part_data)+2))),INDIRECT(ADDRESS(ROW(),COLUMN(mouser_part_data)+1)),0))</formula>
    </cfRule>
  </conditionalFormatting>
  <conditionalFormatting sqref="I10">
    <cfRule type="cellIs" dxfId="1" priority="126" operator="equal">
      <formula>0</formula>
    </cfRule>
    <cfRule type="cellIs" dxfId="2" priority="127" operator="lessThan">
      <formula>F10</formula>
    </cfRule>
  </conditionalFormatting>
  <conditionalFormatting sqref="I11">
    <cfRule type="cellIs" dxfId="1" priority="129" operator="equal">
      <formula>0</formula>
    </cfRule>
    <cfRule type="cellIs" dxfId="2" priority="130" operator="lessThan">
      <formula>F11</formula>
    </cfRule>
  </conditionalFormatting>
  <conditionalFormatting sqref="I12">
    <cfRule type="cellIs" dxfId="1" priority="132" operator="equal">
      <formula>0</formula>
    </cfRule>
    <cfRule type="cellIs" dxfId="2" priority="133" operator="lessThan">
      <formula>F12</formula>
    </cfRule>
  </conditionalFormatting>
  <conditionalFormatting sqref="I13">
    <cfRule type="cellIs" dxfId="1" priority="135" operator="equal">
      <formula>0</formula>
    </cfRule>
    <cfRule type="cellIs" dxfId="2" priority="136" operator="lessThan">
      <formula>F13</formula>
    </cfRule>
  </conditionalFormatting>
  <conditionalFormatting sqref="I14">
    <cfRule type="cellIs" dxfId="1" priority="138" operator="equal">
      <formula>0</formula>
    </cfRule>
    <cfRule type="cellIs" dxfId="2" priority="139" operator="lessThan">
      <formula>F14</formula>
    </cfRule>
  </conditionalFormatting>
  <conditionalFormatting sqref="I18">
    <cfRule type="cellIs" dxfId="1" priority="141" operator="equal">
      <formula>0</formula>
    </cfRule>
    <cfRule type="cellIs" dxfId="2" priority="142" operator="lessThan">
      <formula>F18</formula>
    </cfRule>
  </conditionalFormatting>
  <conditionalFormatting sqref="I22">
    <cfRule type="cellIs" dxfId="1" priority="144" operator="equal">
      <formula>0</formula>
    </cfRule>
    <cfRule type="cellIs" dxfId="2" priority="145" operator="lessThan">
      <formula>F22</formula>
    </cfRule>
  </conditionalFormatting>
  <conditionalFormatting sqref="I23">
    <cfRule type="cellIs" dxfId="1" priority="147" operator="equal">
      <formula>0</formula>
    </cfRule>
    <cfRule type="cellIs" dxfId="2" priority="148" operator="lessThan">
      <formula>F23</formula>
    </cfRule>
  </conditionalFormatting>
  <conditionalFormatting sqref="I24">
    <cfRule type="cellIs" dxfId="1" priority="150" operator="equal">
      <formula>0</formula>
    </cfRule>
    <cfRule type="cellIs" dxfId="2" priority="151" operator="lessThan">
      <formula>F24</formula>
    </cfRule>
  </conditionalFormatting>
  <conditionalFormatting sqref="I25">
    <cfRule type="cellIs" dxfId="1" priority="153" operator="equal">
      <formula>0</formula>
    </cfRule>
    <cfRule type="cellIs" dxfId="2" priority="154" operator="lessThan">
      <formula>F25</formula>
    </cfRule>
  </conditionalFormatting>
  <conditionalFormatting sqref="I26">
    <cfRule type="cellIs" dxfId="1" priority="156" operator="equal">
      <formula>0</formula>
    </cfRule>
    <cfRule type="cellIs" dxfId="2" priority="157" operator="lessThan">
      <formula>F26</formula>
    </cfRule>
  </conditionalFormatting>
  <conditionalFormatting sqref="I27">
    <cfRule type="cellIs" dxfId="1" priority="159" operator="equal">
      <formula>0</formula>
    </cfRule>
    <cfRule type="cellIs" dxfId="2" priority="160" operator="lessThan">
      <formula>F27</formula>
    </cfRule>
  </conditionalFormatting>
  <conditionalFormatting sqref="I29">
    <cfRule type="cellIs" dxfId="1" priority="162" operator="equal">
      <formula>0</formula>
    </cfRule>
    <cfRule type="cellIs" dxfId="2" priority="163" operator="lessThan">
      <formula>F29</formula>
    </cfRule>
  </conditionalFormatting>
  <conditionalFormatting sqref="I32">
    <cfRule type="cellIs" dxfId="1" priority="165" operator="equal">
      <formula>0</formula>
    </cfRule>
    <cfRule type="cellIs" dxfId="2" priority="166" operator="lessThan">
      <formula>F32</formula>
    </cfRule>
  </conditionalFormatting>
  <conditionalFormatting sqref="I33">
    <cfRule type="cellIs" dxfId="1" priority="168" operator="equal">
      <formula>0</formula>
    </cfRule>
    <cfRule type="cellIs" dxfId="2" priority="169" operator="lessThan">
      <formula>F33</formula>
    </cfRule>
  </conditionalFormatting>
  <conditionalFormatting sqref="I34">
    <cfRule type="cellIs" dxfId="1" priority="171" operator="equal">
      <formula>0</formula>
    </cfRule>
    <cfRule type="cellIs" dxfId="2" priority="172" operator="lessThan">
      <formula>F34</formula>
    </cfRule>
  </conditionalFormatting>
  <conditionalFormatting sqref="I7">
    <cfRule type="cellIs" dxfId="1" priority="117" operator="equal">
      <formula>0</formula>
    </cfRule>
    <cfRule type="cellIs" dxfId="2" priority="118" operator="lessThan">
      <formula>F7</formula>
    </cfRule>
  </conditionalFormatting>
  <conditionalFormatting sqref="I8">
    <cfRule type="cellIs" dxfId="1" priority="120" operator="equal">
      <formula>0</formula>
    </cfRule>
    <cfRule type="cellIs" dxfId="2" priority="121" operator="lessThan">
      <formula>F8</formula>
    </cfRule>
  </conditionalFormatting>
  <conditionalFormatting sqref="I9">
    <cfRule type="cellIs" dxfId="1" priority="123" operator="equal">
      <formula>0</formula>
    </cfRule>
    <cfRule type="cellIs" dxfId="2" priority="124" operator="lessThan">
      <formula>F9</formula>
    </cfRule>
  </conditionalFormatting>
  <conditionalFormatting sqref="J10">
    <cfRule type="cellIs" dxfId="1" priority="128" operator="greaterThan">
      <formula>I10</formula>
    </cfRule>
  </conditionalFormatting>
  <conditionalFormatting sqref="J11">
    <cfRule type="cellIs" dxfId="1" priority="131" operator="greaterThan">
      <formula>I11</formula>
    </cfRule>
  </conditionalFormatting>
  <conditionalFormatting sqref="J12">
    <cfRule type="cellIs" dxfId="1" priority="134" operator="greaterThan">
      <formula>I12</formula>
    </cfRule>
  </conditionalFormatting>
  <conditionalFormatting sqref="J13">
    <cfRule type="cellIs" dxfId="1" priority="137" operator="greaterThan">
      <formula>I13</formula>
    </cfRule>
  </conditionalFormatting>
  <conditionalFormatting sqref="J14">
    <cfRule type="cellIs" dxfId="1" priority="140" operator="greaterThan">
      <formula>I14</formula>
    </cfRule>
  </conditionalFormatting>
  <conditionalFormatting sqref="J18">
    <cfRule type="cellIs" dxfId="1" priority="143" operator="greaterThan">
      <formula>I18</formula>
    </cfRule>
  </conditionalFormatting>
  <conditionalFormatting sqref="J22">
    <cfRule type="cellIs" dxfId="1" priority="146" operator="greaterThan">
      <formula>I22</formula>
    </cfRule>
  </conditionalFormatting>
  <conditionalFormatting sqref="J23">
    <cfRule type="cellIs" dxfId="1" priority="149" operator="greaterThan">
      <formula>I23</formula>
    </cfRule>
  </conditionalFormatting>
  <conditionalFormatting sqref="J24">
    <cfRule type="cellIs" dxfId="1" priority="152" operator="greaterThan">
      <formula>I24</formula>
    </cfRule>
  </conditionalFormatting>
  <conditionalFormatting sqref="J25">
    <cfRule type="cellIs" dxfId="1" priority="155" operator="greaterThan">
      <formula>I25</formula>
    </cfRule>
  </conditionalFormatting>
  <conditionalFormatting sqref="J26">
    <cfRule type="cellIs" dxfId="1" priority="158" operator="greaterThan">
      <formula>I26</formula>
    </cfRule>
  </conditionalFormatting>
  <conditionalFormatting sqref="J27">
    <cfRule type="cellIs" dxfId="1" priority="161" operator="greaterThan">
      <formula>I27</formula>
    </cfRule>
  </conditionalFormatting>
  <conditionalFormatting sqref="J29">
    <cfRule type="cellIs" dxfId="1" priority="164" operator="greaterThan">
      <formula>I29</formula>
    </cfRule>
  </conditionalFormatting>
  <conditionalFormatting sqref="J32">
    <cfRule type="cellIs" dxfId="1" priority="167" operator="greaterThan">
      <formula>I32</formula>
    </cfRule>
  </conditionalFormatting>
  <conditionalFormatting sqref="J33">
    <cfRule type="cellIs" dxfId="1" priority="170" operator="greaterThan">
      <formula>I33</formula>
    </cfRule>
  </conditionalFormatting>
  <conditionalFormatting sqref="J34">
    <cfRule type="cellIs" dxfId="1" priority="173" operator="greaterThan">
      <formula>I34</formula>
    </cfRule>
  </conditionalFormatting>
  <conditionalFormatting sqref="J7">
    <cfRule type="cellIs" dxfId="1" priority="119" operator="greaterThan">
      <formula>I7</formula>
    </cfRule>
  </conditionalFormatting>
  <conditionalFormatting sqref="J8">
    <cfRule type="cellIs" dxfId="1" priority="122" operator="greaterThan">
      <formula>I8</formula>
    </cfRule>
  </conditionalFormatting>
  <conditionalFormatting sqref="J9">
    <cfRule type="cellIs" dxfId="1" priority="125" operator="greaterThan">
      <formula>I9</formula>
    </cfRule>
  </conditionalFormatting>
  <hyperlinks>
    <hyperlink ref="E7" r:id="rId1"/>
    <hyperlink ref="M7" r:id="rId2"/>
    <hyperlink ref="M8" r:id="rId3"/>
    <hyperlink ref="E9" r:id="rId4"/>
    <hyperlink ref="M9" r:id="rId5"/>
    <hyperlink ref="E10" r:id="rId6"/>
    <hyperlink ref="M10" r:id="rId7"/>
    <hyperlink ref="E11" r:id="rId8"/>
    <hyperlink ref="M11" r:id="rId9"/>
    <hyperlink ref="E12" r:id="rId10"/>
    <hyperlink ref="M12" r:id="rId11"/>
    <hyperlink ref="E13" r:id="rId12"/>
    <hyperlink ref="M13" r:id="rId13"/>
    <hyperlink ref="E14" r:id="rId14"/>
    <hyperlink ref="M14" r:id="rId15"/>
    <hyperlink ref="M18" r:id="rId16"/>
    <hyperlink ref="E22" r:id="rId17"/>
    <hyperlink ref="M22" r:id="rId18"/>
    <hyperlink ref="E23" r:id="rId19"/>
    <hyperlink ref="M23" r:id="rId20"/>
    <hyperlink ref="E24" r:id="rId21"/>
    <hyperlink ref="M24" r:id="rId22"/>
    <hyperlink ref="E25" r:id="rId23"/>
    <hyperlink ref="M25" r:id="rId24"/>
    <hyperlink ref="E26" r:id="rId25"/>
    <hyperlink ref="M26" r:id="rId26"/>
    <hyperlink ref="E27" r:id="rId27"/>
    <hyperlink ref="M27" r:id="rId28"/>
    <hyperlink ref="E29" r:id="rId29"/>
    <hyperlink ref="M29" r:id="rId30"/>
    <hyperlink ref="E32" r:id="rId31"/>
    <hyperlink ref="M32" r:id="rId32"/>
    <hyperlink ref="E33" r:id="rId33"/>
    <hyperlink ref="M33" r:id="rId34"/>
    <hyperlink ref="E34" r:id="rId35"/>
    <hyperlink ref="M34" r:id="rId36"/>
  </hyperlinks>
  <pageMargins left="0.7" right="0.7" top="0.75" bottom="0.75" header="0.3" footer="0.3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electrospinner. </vt:lpstr>
      <vt:lpstr>BoardQty</vt:lpstr>
      <vt:lpstr>global_part_data</vt:lpstr>
      <vt:lpstr>mouser_part_data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2019-04-09T17:20:00Z</dcterms:created>
  <dcterms:modified xsi:type="dcterms:W3CDTF">2019-04-09T17:20:00Z</dcterms:modified>
</cp:coreProperties>
</file>