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general" sheetId="1" r:id="rId4"/>
    <sheet state="visible" name="Gráficas " sheetId="2" r:id="rId5"/>
    <sheet state="visible" name="Defect Log" sheetId="3" r:id="rId6"/>
    <sheet state="visible" name="Capacidad de equipo" sheetId="4" r:id="rId7"/>
    <sheet state="visible" name="Cut" sheetId="5" r:id="rId8"/>
    <sheet state="visible" name="Carolina" sheetId="6" r:id="rId9"/>
    <sheet state="visible" name="Diego" sheetId="7" r:id="rId10"/>
    <sheet state="visible" name="Keyuan" sheetId="8" r:id="rId11"/>
    <sheet state="visible" name="Cobos" sheetId="9" r:id="rId12"/>
    <sheet state="visible" name="T" sheetId="10" r:id="rId13"/>
  </sheets>
  <definedNames>
    <definedName hidden="1" localSheetId="2" name="Z_385E7D62_157F_45F1_8F26_A42AD912E688_.wvu.FilterData">'Defect Log'!$A$1:$H$64</definedName>
  </definedNames>
  <calcPr/>
  <customWorkbookViews>
    <customWorkbookView activeSheetId="0" maximized="1" windowHeight="0" windowWidth="0" guid="{385E7D62-157F-45F1-8F26-A42AD912E688}" name="Filter 1"/>
  </customWorkbookViews>
  <pivotCaches>
    <pivotCache cacheId="0" r:id="rId14"/>
  </pivotCaches>
  <extLst>
    <ext uri="GoogleSheetsCustomDataVersion1">
      <go:sheetsCustomData xmlns:go="http://customooxmlschemas.google.com/" r:id="rId15" roundtripDataSignature="AMtx7miYea332r4LsMPxDAUwmRmkoxnviA=="/>
    </ext>
  </extLst>
</workbook>
</file>

<file path=xl/sharedStrings.xml><?xml version="1.0" encoding="utf-8"?>
<sst xmlns="http://schemas.openxmlformats.org/spreadsheetml/2006/main" count="223" uniqueCount="142">
  <si>
    <t>PLAN</t>
  </si>
  <si>
    <t>Monitoreo</t>
  </si>
  <si>
    <t>ID</t>
  </si>
  <si>
    <t xml:space="preserve">Task </t>
  </si>
  <si>
    <t>Progress</t>
  </si>
  <si>
    <t>Persona asignada</t>
  </si>
  <si>
    <t>APs (Tamaño)</t>
  </si>
  <si>
    <t>APs acumulados</t>
  </si>
  <si>
    <t>Valor planeado</t>
  </si>
  <si>
    <t>Valor planeado acumulado</t>
  </si>
  <si>
    <t>Costo estimado horas</t>
  </si>
  <si>
    <t>costo estimado acumulado</t>
  </si>
  <si>
    <t>Fecha fin planeada</t>
  </si>
  <si>
    <t>APs ganados</t>
  </si>
  <si>
    <t>APs ganados acumulados</t>
  </si>
  <si>
    <t>Valor ganado acumulado</t>
  </si>
  <si>
    <t>APs en revisión</t>
  </si>
  <si>
    <t>APs en revisión acumulados</t>
  </si>
  <si>
    <t>Valor en revisión acumulado</t>
  </si>
  <si>
    <t>Costo real horas</t>
  </si>
  <si>
    <t>costo real acumulado</t>
  </si>
  <si>
    <t>Fecha fin real</t>
  </si>
  <si>
    <t>Etapa 1</t>
  </si>
  <si>
    <t>Iniciación</t>
  </si>
  <si>
    <t>Determinar objetivos del negocio</t>
  </si>
  <si>
    <t>Complete</t>
  </si>
  <si>
    <t>Diego</t>
  </si>
  <si>
    <t>Aps</t>
  </si>
  <si>
    <t>Horas</t>
  </si>
  <si>
    <t>Evaluación de la situación</t>
  </si>
  <si>
    <t>Cutberto</t>
  </si>
  <si>
    <t>Determinar los objetivos de la minería de datos</t>
  </si>
  <si>
    <t>Carolina</t>
  </si>
  <si>
    <t>Generar plan de proyecto</t>
  </si>
  <si>
    <t>Keyuan</t>
  </si>
  <si>
    <t>Reporte de colección inicial de los datos</t>
  </si>
  <si>
    <t>Cobos</t>
  </si>
  <si>
    <t>Reporte de explicación de datos</t>
  </si>
  <si>
    <t>Reporte de exploración de datos</t>
  </si>
  <si>
    <t>Reporte de calidad de datos</t>
  </si>
  <si>
    <t>Análisis de dataset</t>
  </si>
  <si>
    <t>Seleccionar datos</t>
  </si>
  <si>
    <t>Limpiar datos</t>
  </si>
  <si>
    <t>Construir datos</t>
  </si>
  <si>
    <t>Integrar datos</t>
  </si>
  <si>
    <t>Dar formato a los datos</t>
  </si>
  <si>
    <t>Crear script para dividir los datos en 5</t>
  </si>
  <si>
    <t>Diseñar algoritmo para matriz de movilidad</t>
  </si>
  <si>
    <t>Todes.</t>
  </si>
  <si>
    <t>Probar algoritmo en dataset pequeño</t>
  </si>
  <si>
    <t xml:space="preserve">Corregir algoritmo </t>
  </si>
  <si>
    <t>31/10/2022</t>
  </si>
  <si>
    <t>Crear notebook para correr algoritmo en cada split</t>
  </si>
  <si>
    <t>Obener matriz de movilidad para cada split</t>
  </si>
  <si>
    <t xml:space="preserve">Generar reporte de la matriz </t>
  </si>
  <si>
    <t>Upcoming</t>
  </si>
  <si>
    <t>Seleccionar tecnica de modelado</t>
  </si>
  <si>
    <t>In progress</t>
  </si>
  <si>
    <t>Generar test</t>
  </si>
  <si>
    <t>Construir modelo</t>
  </si>
  <si>
    <t>Evaluar modelo</t>
  </si>
  <si>
    <t>Ajustes y análisis de los datos</t>
  </si>
  <si>
    <t>Seleccionar técnica de modelado 2</t>
  </si>
  <si>
    <t>Generar test 2</t>
  </si>
  <si>
    <t>Construir modelo 2</t>
  </si>
  <si>
    <t>Evaluar modelo 2</t>
  </si>
  <si>
    <t>Ajustes y análisis de los datos 2</t>
  </si>
  <si>
    <t>Seleccionar técnica de modelado 3</t>
  </si>
  <si>
    <t>Generar test 3</t>
  </si>
  <si>
    <t>Construir modelo 3</t>
  </si>
  <si>
    <t>Evaluar modelo 3</t>
  </si>
  <si>
    <t>Despliegue</t>
  </si>
  <si>
    <t>Estimación</t>
  </si>
  <si>
    <t>Estimación x2</t>
  </si>
  <si>
    <t>Estimación x3</t>
  </si>
  <si>
    <t xml:space="preserve"> </t>
  </si>
  <si>
    <t>Revisar entradas y salidas del depto</t>
  </si>
  <si>
    <t>CPI</t>
  </si>
  <si>
    <t>SPI</t>
  </si>
  <si>
    <t>26/05/2022</t>
  </si>
  <si>
    <t>27/05/2022</t>
  </si>
  <si>
    <t>28/05/2022</t>
  </si>
  <si>
    <t>29/05/2022</t>
  </si>
  <si>
    <t>30/05/2022</t>
  </si>
  <si>
    <t>Error estimación</t>
  </si>
  <si>
    <t>31/05/2022</t>
  </si>
  <si>
    <t>Nombre Defecto</t>
  </si>
  <si>
    <t>Costo en minutos</t>
  </si>
  <si>
    <t>Severidad</t>
  </si>
  <si>
    <t>Fase de Inyección</t>
  </si>
  <si>
    <t>Fase de Detección</t>
  </si>
  <si>
    <t>Tipo</t>
  </si>
  <si>
    <t>Estado</t>
  </si>
  <si>
    <t>Inyección</t>
  </si>
  <si>
    <t>Detección</t>
  </si>
  <si>
    <t>Análisis</t>
  </si>
  <si>
    <t>Diseño</t>
  </si>
  <si>
    <t>Implementación</t>
  </si>
  <si>
    <t>Pruebas</t>
  </si>
  <si>
    <t>Producción</t>
  </si>
  <si>
    <t>Persona</t>
  </si>
  <si>
    <t>Lunes</t>
  </si>
  <si>
    <t>Martes</t>
  </si>
  <si>
    <t>Miercoles</t>
  </si>
  <si>
    <t>Jueves</t>
  </si>
  <si>
    <t>Viernes</t>
  </si>
  <si>
    <t>Sábado</t>
  </si>
  <si>
    <t>Domingo</t>
  </si>
  <si>
    <t>Total</t>
  </si>
  <si>
    <t>Diego Arturo Padilla Domínguez</t>
  </si>
  <si>
    <t>Jose Pablo Cobos</t>
  </si>
  <si>
    <t>Keyuan Zhao</t>
  </si>
  <si>
    <t>Cutberto Arizabalo Nava</t>
  </si>
  <si>
    <t>50% de la capacidad</t>
  </si>
  <si>
    <t>horas de trabajo</t>
  </si>
  <si>
    <t xml:space="preserve">no horas hombre </t>
  </si>
  <si>
    <t xml:space="preserve">Eficiencia </t>
  </si>
  <si>
    <t>Cut</t>
  </si>
  <si>
    <t>Tmin</t>
  </si>
  <si>
    <t>Tmax</t>
  </si>
  <si>
    <t>Tprom</t>
  </si>
  <si>
    <t>Mariana</t>
  </si>
  <si>
    <t>Kike</t>
  </si>
  <si>
    <t>SUM of APs (Tamaño)</t>
  </si>
  <si>
    <t>SUM of APs en revisión</t>
  </si>
  <si>
    <t>SUM of APs ganados</t>
  </si>
  <si>
    <t>AP acum</t>
  </si>
  <si>
    <t>AP en revisión</t>
  </si>
  <si>
    <t>AP entregados</t>
  </si>
  <si>
    <t>Grand Total</t>
  </si>
  <si>
    <t>SUM of Costo estimado minutos</t>
  </si>
  <si>
    <t>SUM of Costo real minutos</t>
  </si>
  <si>
    <t>Costo acum</t>
  </si>
  <si>
    <t>Costo real</t>
  </si>
  <si>
    <t>PV(donde debemos estar)</t>
  </si>
  <si>
    <t>EV(donde estamos)</t>
  </si>
  <si>
    <t>AC</t>
  </si>
  <si>
    <t>Error de estimacion</t>
  </si>
  <si>
    <t>Anteriores mediciones</t>
  </si>
  <si>
    <t xml:space="preserve">Diseño </t>
  </si>
  <si>
    <t xml:space="preserve">Desarrollo </t>
  </si>
  <si>
    <t>Entrega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</si>
</sst>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dd-mm-yyyy"/>
    <numFmt numFmtId="166" formatCode="0.0"/>
    <numFmt numFmtId="167" formatCode="mm/dd/yyyy"/>
    <numFmt numFmtId="168" formatCode="m/d/yyyy"/>
    <numFmt numFmtId="169" formatCode="&quot;$&quot;#,##0.00"/>
  </numFmts>
  <fonts count="1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color theme="1"/>
      <name val="Inconsolata"/>
    </font>
    <font>
      <sz val="11.0"/>
      <color theme="1"/>
      <name val="Inconsolata"/>
    </font>
    <font>
      <b/>
      <color theme="0"/>
      <name val="Arial"/>
    </font>
    <font>
      <b/>
      <color theme="1"/>
      <name val="Arial"/>
    </font>
    <font>
      <sz val="11.0"/>
      <color rgb="FF000000"/>
      <name val="Inconsolata"/>
    </font>
    <font>
      <color theme="1"/>
      <name val="Times New Roman"/>
    </font>
    <font>
      <color rgb="FF1155CC"/>
      <name val="Arial"/>
    </font>
    <font>
      <color rgb="FF000000"/>
      <name val="Arial"/>
    </font>
    <font>
      <u/>
      <color theme="1"/>
      <name val="Arial"/>
    </font>
    <font>
      <color theme="1"/>
      <name val="Arial"/>
      <scheme val="minor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B5394"/>
        <bgColor rgb="FF0B5394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3" fontId="1" numFmtId="0" xfId="0" applyAlignment="1" applyFill="1" applyFont="1">
      <alignment horizontal="center" shrinkToFit="0" vertical="bottom" wrapText="1"/>
    </xf>
    <xf borderId="0" fillId="0" fontId="2" numFmtId="0" xfId="0" applyAlignment="1" applyFont="1">
      <alignment shrinkToFit="0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bottom" wrapText="1"/>
    </xf>
    <xf borderId="1" fillId="2" fontId="1" numFmtId="164" xfId="0" applyAlignment="1" applyBorder="1" applyFont="1" applyNumberFormat="1">
      <alignment horizontal="center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1" fillId="3" fontId="1" numFmtId="0" xfId="0" applyAlignment="1" applyBorder="1" applyFont="1">
      <alignment horizontal="center" readingOrder="0" shrinkToFit="0" vertical="bottom" wrapText="1"/>
    </xf>
    <xf borderId="2" fillId="4" fontId="2" numFmtId="0" xfId="0" applyAlignment="1" applyBorder="1" applyFill="1" applyFont="1">
      <alignment shrinkToFit="0" vertical="bottom" wrapText="1"/>
    </xf>
    <xf borderId="1" fillId="4" fontId="2" numFmtId="0" xfId="0" applyAlignment="1" applyBorder="1" applyFont="1">
      <alignment shrinkToFit="0" vertical="bottom" wrapText="1"/>
    </xf>
    <xf borderId="1" fillId="4" fontId="2" numFmtId="165" xfId="0" applyAlignment="1" applyBorder="1" applyFont="1" applyNumberFormat="1">
      <alignment shrinkToFit="0" vertical="bottom" wrapText="1"/>
    </xf>
    <xf borderId="1" fillId="4" fontId="2" numFmtId="0" xfId="0" applyAlignment="1" applyBorder="1" applyFont="1">
      <alignment horizontal="center" shrinkToFit="0" vertical="bottom" wrapText="1"/>
    </xf>
    <xf borderId="1" fillId="4" fontId="2" numFmtId="164" xfId="0" applyAlignment="1" applyBorder="1" applyFont="1" applyNumberFormat="1">
      <alignment horizontal="right" shrinkToFit="0" vertical="bottom" wrapText="1"/>
    </xf>
    <xf borderId="3" fillId="5" fontId="2" numFmtId="0" xfId="0" applyAlignment="1" applyBorder="1" applyFill="1" applyFont="1">
      <alignment shrinkToFit="0" vertical="bottom" wrapText="1"/>
    </xf>
    <xf borderId="0" fillId="5" fontId="2" numFmtId="0" xfId="0" applyAlignment="1" applyFont="1">
      <alignment horizontal="center" shrinkToFit="0" vertical="bottom" wrapText="1"/>
    </xf>
    <xf borderId="0" fillId="5" fontId="2" numFmtId="0" xfId="0" applyAlignment="1" applyFont="1">
      <alignment horizontal="right" shrinkToFit="0" vertical="bottom" wrapText="1"/>
    </xf>
    <xf borderId="0" fillId="5" fontId="3" numFmtId="10" xfId="0" applyAlignment="1" applyFont="1" applyNumberFormat="1">
      <alignment horizontal="right" shrinkToFit="0" vertical="bottom" wrapText="1"/>
    </xf>
    <xf borderId="0" fillId="5" fontId="2" numFmtId="0" xfId="0" applyAlignment="1" applyFont="1">
      <alignment shrinkToFit="0" vertical="bottom" wrapText="1"/>
    </xf>
    <xf borderId="0" fillId="5" fontId="3" numFmtId="4" xfId="0" applyAlignment="1" applyFont="1" applyNumberFormat="1">
      <alignment horizontal="right" readingOrder="0" shrinkToFit="0" vertical="bottom" wrapText="1"/>
    </xf>
    <xf borderId="0" fillId="5" fontId="3" numFmtId="4" xfId="0" applyAlignment="1" applyFont="1" applyNumberFormat="1">
      <alignment horizontal="right" shrinkToFit="0" vertical="bottom" wrapText="1"/>
    </xf>
    <xf borderId="0" fillId="5" fontId="3" numFmtId="164" xfId="0" applyAlignment="1" applyFont="1" applyNumberFormat="1">
      <alignment horizontal="right" shrinkToFit="0" vertical="bottom" wrapText="1"/>
    </xf>
    <xf borderId="3" fillId="6" fontId="2" numFmtId="0" xfId="0" applyAlignment="1" applyBorder="1" applyFill="1" applyFont="1">
      <alignment horizontal="center" shrinkToFit="0" vertical="bottom" wrapText="1"/>
    </xf>
    <xf borderId="0" fillId="6" fontId="2" numFmtId="0" xfId="0" applyAlignment="1" applyFont="1">
      <alignment readingOrder="0" shrinkToFit="0" vertical="bottom" wrapText="1"/>
    </xf>
    <xf borderId="0" fillId="7" fontId="2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8" fontId="4" numFmtId="4" xfId="0" applyAlignment="1" applyFill="1" applyFont="1" applyNumberFormat="1">
      <alignment horizontal="right" shrinkToFit="0" vertical="bottom" wrapText="1"/>
    </xf>
    <xf borderId="0" fillId="0" fontId="2" numFmtId="10" xfId="0" applyAlignment="1" applyFont="1" applyNumberFormat="1">
      <alignment shrinkToFit="0" wrapText="1"/>
    </xf>
    <xf borderId="0" fillId="0" fontId="2" numFmtId="166" xfId="0" applyAlignment="1" applyFont="1" applyNumberFormat="1">
      <alignment shrinkToFit="0" wrapText="1"/>
    </xf>
    <xf borderId="0" fillId="9" fontId="2" numFmtId="167" xfId="0" applyAlignment="1" applyFill="1" applyFont="1" applyNumberFormat="1">
      <alignment readingOrder="0" shrinkToFit="0" vertical="bottom" wrapText="1"/>
    </xf>
    <xf borderId="0" fillId="8" fontId="4" numFmtId="0" xfId="0" applyAlignment="1" applyFont="1">
      <alignment horizontal="right" shrinkToFit="0" vertical="bottom" wrapText="1"/>
    </xf>
    <xf borderId="0" fillId="8" fontId="4" numFmtId="10" xfId="0" applyAlignment="1" applyFont="1" applyNumberFormat="1">
      <alignment horizontal="right" shrinkToFit="0" vertical="bottom" wrapText="1"/>
    </xf>
    <xf borderId="0" fillId="8" fontId="4" numFmtId="0" xfId="0" applyAlignment="1" applyFont="1">
      <alignment horizontal="right" readingOrder="0" shrinkToFit="0" vertical="bottom" wrapText="1"/>
    </xf>
    <xf borderId="1" fillId="10" fontId="5" numFmtId="0" xfId="0" applyAlignment="1" applyBorder="1" applyFill="1" applyFont="1">
      <alignment shrinkToFit="0" wrapText="1"/>
    </xf>
    <xf borderId="1" fillId="10" fontId="1" numFmtId="0" xfId="0" applyAlignment="1" applyBorder="1" applyFont="1">
      <alignment shrinkToFit="0" wrapText="1"/>
    </xf>
    <xf borderId="1" fillId="0" fontId="6" numFmtId="0" xfId="0" applyAlignment="1" applyBorder="1" applyFont="1">
      <alignment horizontal="center" shrinkToFit="0" wrapText="1"/>
    </xf>
    <xf borderId="1" fillId="0" fontId="2" numFmtId="166" xfId="0" applyAlignment="1" applyBorder="1" applyFont="1" applyNumberFormat="1">
      <alignment readingOrder="0" shrinkToFit="0" wrapText="1"/>
    </xf>
    <xf borderId="0" fillId="6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9" fontId="2" numFmtId="165" xfId="0" applyAlignment="1" applyFont="1" applyNumberFormat="1">
      <alignment readingOrder="0" shrinkToFit="0" vertical="bottom" wrapText="1"/>
    </xf>
    <xf borderId="0" fillId="9" fontId="2" numFmtId="168" xfId="0" applyAlignment="1" applyFont="1" applyNumberFormat="1">
      <alignment readingOrder="0"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9" fontId="2" numFmtId="0" xfId="0" applyAlignment="1" applyFont="1">
      <alignment readingOrder="0" shrinkToFit="0" vertical="bottom" wrapText="1"/>
    </xf>
    <xf borderId="0" fillId="0" fontId="2" numFmtId="164" xfId="0" applyAlignment="1" applyFont="1" applyNumberFormat="1">
      <alignment shrinkToFit="0" vertical="bottom" wrapText="1"/>
    </xf>
    <xf borderId="0" fillId="9" fontId="2" numFmtId="165" xfId="0" applyAlignment="1" applyFont="1" applyNumberFormat="1">
      <alignment shrinkToFit="0" vertical="bottom" wrapText="1"/>
    </xf>
    <xf borderId="0" fillId="6" fontId="2" numFmtId="0" xfId="0" applyAlignment="1" applyFont="1">
      <alignment shrinkToFit="0" vertical="bottom" wrapText="1"/>
    </xf>
    <xf borderId="0" fillId="7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2" numFmtId="4" xfId="0" applyAlignment="1" applyBorder="1" applyFont="1" applyNumberFormat="1">
      <alignment shrinkToFit="0" wrapText="1"/>
    </xf>
    <xf borderId="1" fillId="0" fontId="2" numFmtId="169" xfId="0" applyAlignment="1" applyBorder="1" applyFont="1" applyNumberFormat="1">
      <alignment shrinkToFit="0" wrapText="1"/>
    </xf>
    <xf borderId="0" fillId="0" fontId="2" numFmtId="4" xfId="0" applyAlignment="1" applyFont="1" applyNumberFormat="1">
      <alignment shrinkToFit="0" wrapText="1"/>
    </xf>
    <xf borderId="0" fillId="8" fontId="4" numFmtId="0" xfId="0" applyAlignment="1" applyFont="1">
      <alignment shrinkToFit="0" wrapText="1"/>
    </xf>
    <xf borderId="1" fillId="11" fontId="2" numFmtId="0" xfId="0" applyAlignment="1" applyBorder="1" applyFill="1" applyFont="1">
      <alignment shrinkToFit="0" wrapText="1"/>
    </xf>
    <xf borderId="1" fillId="11" fontId="2" numFmtId="4" xfId="0" applyAlignment="1" applyBorder="1" applyFont="1" applyNumberFormat="1">
      <alignment shrinkToFit="0" wrapText="1"/>
    </xf>
    <xf borderId="0" fillId="0" fontId="2" numFmtId="164" xfId="0" applyAlignment="1" applyFont="1" applyNumberFormat="1">
      <alignment shrinkToFit="0" wrapText="1"/>
    </xf>
    <xf borderId="0" fillId="8" fontId="7" numFmtId="0" xfId="0" applyAlignment="1" applyFont="1">
      <alignment shrinkToFit="0" wrapText="1"/>
    </xf>
    <xf borderId="1" fillId="12" fontId="2" numFmtId="0" xfId="0" applyBorder="1" applyFill="1" applyFont="1"/>
    <xf borderId="0" fillId="0" fontId="2" numFmtId="0" xfId="0" applyFont="1"/>
    <xf borderId="1" fillId="0" fontId="2" numFmtId="165" xfId="0" applyBorder="1" applyFont="1" applyNumberFormat="1"/>
    <xf borderId="0" fillId="0" fontId="2" numFmtId="4" xfId="0" applyFont="1" applyNumberFormat="1"/>
    <xf borderId="0" fillId="0" fontId="2" numFmtId="2" xfId="0" applyFont="1" applyNumberFormat="1"/>
    <xf borderId="1" fillId="13" fontId="2" numFmtId="0" xfId="0" applyBorder="1" applyFill="1" applyFont="1"/>
    <xf borderId="1" fillId="0" fontId="2" numFmtId="4" xfId="0" applyBorder="1" applyFont="1" applyNumberFormat="1"/>
    <xf borderId="1" fillId="14" fontId="2" numFmtId="0" xfId="0" applyBorder="1" applyFill="1" applyFont="1"/>
    <xf borderId="0" fillId="0" fontId="2" numFmtId="167" xfId="0" applyFont="1" applyNumberFormat="1"/>
    <xf borderId="1" fillId="10" fontId="5" numFmtId="0" xfId="0" applyAlignment="1" applyBorder="1" applyFont="1">
      <alignment vertical="bottom"/>
    </xf>
    <xf borderId="1" fillId="10" fontId="1" numFmtId="0" xfId="0" applyAlignment="1" applyBorder="1" applyFont="1">
      <alignment vertical="center"/>
    </xf>
    <xf borderId="1" fillId="10" fontId="5" numFmtId="0" xfId="0" applyAlignment="1" applyBorder="1" applyFont="1">
      <alignment horizontal="center" shrinkToFit="0" vertical="center" wrapText="1"/>
    </xf>
    <xf borderId="1" fillId="10" fontId="1" numFmtId="0" xfId="0" applyAlignment="1" applyBorder="1" applyFont="1">
      <alignment horizontal="center" shrinkToFit="0" vertical="center" wrapText="1"/>
    </xf>
    <xf borderId="1" fillId="10" fontId="1" numFmtId="0" xfId="0" applyAlignment="1" applyBorder="1" applyFont="1">
      <alignment horizontal="center" vertical="center"/>
    </xf>
    <xf borderId="0" fillId="0" fontId="2" numFmtId="0" xfId="0" applyAlignment="1" applyFont="1">
      <alignment vertical="top"/>
    </xf>
    <xf borderId="0" fillId="0" fontId="8" numFmtId="0" xfId="0" applyAlignment="1" applyFont="1">
      <alignment vertical="top"/>
    </xf>
    <xf borderId="1" fillId="15" fontId="2" numFmtId="1" xfId="0" applyAlignment="1" applyBorder="1" applyFill="1" applyFont="1" applyNumberFormat="1">
      <alignment horizontal="right" vertical="bottom"/>
    </xf>
    <xf borderId="1" fillId="15" fontId="2" numFmtId="0" xfId="0" applyAlignment="1" applyBorder="1" applyFont="1">
      <alignment vertical="bottom"/>
    </xf>
    <xf borderId="1" fillId="15" fontId="2" numFmtId="0" xfId="0" applyAlignment="1" applyBorder="1" applyFont="1">
      <alignment horizontal="right" vertical="bottom"/>
    </xf>
    <xf borderId="1" fillId="0" fontId="2" numFmtId="0" xfId="0" applyBorder="1" applyFont="1"/>
    <xf borderId="0" fillId="0" fontId="2" numFmtId="0" xfId="0" applyAlignment="1" applyFont="1">
      <alignment vertical="bottom"/>
    </xf>
    <xf borderId="0" fillId="0" fontId="8" numFmtId="0" xfId="0" applyAlignment="1" applyFont="1">
      <alignment horizontal="right" vertical="top"/>
    </xf>
    <xf borderId="1" fillId="15" fontId="9" numFmtId="0" xfId="0" applyAlignment="1" applyBorder="1" applyFont="1">
      <alignment vertical="bottom"/>
    </xf>
    <xf borderId="0" fillId="8" fontId="7" numFmtId="0" xfId="0" applyFont="1"/>
    <xf borderId="1" fillId="0" fontId="2" numFmtId="1" xfId="0" applyAlignment="1" applyBorder="1" applyFont="1" applyNumberFormat="1">
      <alignment horizontal="right" vertical="bottom"/>
    </xf>
    <xf borderId="0" fillId="0" fontId="9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6" fontId="10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  <xf borderId="1" fillId="6" fontId="11" numFmtId="0" xfId="0" applyAlignment="1" applyBorder="1" applyFont="1">
      <alignment horizontal="center" shrinkToFit="0" vertical="bottom" wrapText="1"/>
    </xf>
    <xf borderId="1" fillId="6" fontId="2" numFmtId="0" xfId="0" applyAlignment="1" applyBorder="1" applyFont="1">
      <alignment horizontal="center" readingOrder="0" shrinkToFit="0" vertical="bottom" wrapText="1"/>
    </xf>
    <xf borderId="1" fillId="8" fontId="4" numFmtId="0" xfId="0" applyAlignment="1" applyBorder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10" fontId="1" numFmtId="0" xfId="0" applyAlignment="1" applyFont="1">
      <alignment horizontal="center"/>
    </xf>
    <xf borderId="1" fillId="10" fontId="5" numFmtId="0" xfId="0" applyBorder="1" applyFont="1"/>
    <xf borderId="0" fillId="10" fontId="1" numFmtId="0" xfId="0" applyAlignment="1" applyFont="1">
      <alignment horizontal="center" readingOrder="0"/>
    </xf>
    <xf borderId="0" fillId="0" fontId="12" numFmtId="164" xfId="0" applyFont="1" applyNumberFormat="1"/>
    <xf borderId="0" fillId="0" fontId="12" numFmtId="0" xfId="0" applyFont="1"/>
    <xf borderId="0" fillId="0" fontId="13" numFmtId="0" xfId="0" applyFont="1"/>
    <xf borderId="0" fillId="0" fontId="12" numFmtId="165" xfId="0" applyFont="1" applyNumberFormat="1"/>
    <xf borderId="0" fillId="0" fontId="12" numFmtId="167" xfId="0" applyFont="1" applyNumberFormat="1"/>
    <xf borderId="0" fillId="0" fontId="2" numFmtId="165" xfId="0" applyFont="1" applyNumberFormat="1"/>
    <xf borderId="0" fillId="0" fontId="12" numFmtId="166" xfId="0" applyFont="1" applyNumberFormat="1"/>
    <xf borderId="0" fillId="0" fontId="2" numFmtId="166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Inyección y Detección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'Defect Log'!$L$1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'Defect Log'!$K$2:$K$6</c:f>
            </c:strRef>
          </c:cat>
          <c:val>
            <c:numRef>
              <c:f>'Defect Log'!$L$2:$L$6</c:f>
              <c:numCache/>
            </c:numRef>
          </c:val>
        </c:ser>
        <c:ser>
          <c:idx val="1"/>
          <c:order val="1"/>
          <c:tx>
            <c:strRef>
              <c:f>'Defect Log'!$M$1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'Defect Log'!$K$2:$K$6</c:f>
            </c:strRef>
          </c:cat>
          <c:val>
            <c:numRef>
              <c:f>'Defect Log'!$M$2:$M$6</c:f>
              <c:numCache/>
            </c:numRef>
          </c:val>
        </c:ser>
        <c:axId val="356937516"/>
        <c:axId val="1679638708"/>
      </c:barChart>
      <c:catAx>
        <c:axId val="356937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9638708"/>
      </c:catAx>
      <c:valAx>
        <c:axId val="1679638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5693751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Tiempo por fase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Mediciones anteriores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T!$A$53:$A$57</c:f>
            </c:strRef>
          </c:cat>
          <c:val>
            <c:numRef>
              <c:f>T!$C$53:$C$57</c:f>
              <c:numCache/>
            </c:numRef>
          </c:val>
        </c:ser>
        <c:ser>
          <c:idx val="1"/>
          <c:order val="1"/>
          <c:tx>
            <c:v>01/06/2022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T!$A$53:$A$57</c:f>
            </c:strRef>
          </c:cat>
          <c:val>
            <c:numRef>
              <c:f>T!$B$53:$B$57</c:f>
              <c:numCache/>
            </c:numRef>
          </c:val>
        </c:ser>
        <c:ser>
          <c:idx val="2"/>
          <c:order val="2"/>
          <c:tx>
            <c:v>Ahora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T!$A$53:$A$57</c:f>
            </c:strRef>
          </c:cat>
          <c:val>
            <c:numRef>
              <c:f>T!$D$53:$D$57</c:f>
              <c:numCache/>
            </c:numRef>
          </c:val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T!$A$53:$A$57</c:f>
            </c:strRef>
          </c:cat>
          <c:val>
            <c:numRef>
              <c:f>T!$E$53:$E$57</c:f>
              <c:numCache/>
            </c:numRef>
          </c:val>
        </c:ser>
        <c:axId val="947312790"/>
        <c:axId val="2112795643"/>
      </c:barChart>
      <c:catAx>
        <c:axId val="947312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12795643"/>
      </c:catAx>
      <c:valAx>
        <c:axId val="2112795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Minutos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7312790"/>
      </c:valAx>
    </c:plotArea>
    <c:legend>
      <c:legendPos val="r"/>
      <c:layout>
        <c:manualLayout>
          <c:xMode val="edge"/>
          <c:yMode val="edge"/>
          <c:x val="0.2165673828125001"/>
          <c:y val="0.1372416891284816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Valor Planeado vs Ganado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Valor Planeado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T!$A$2:$A$16</c:f>
            </c:strRef>
          </c:cat>
          <c:val>
            <c:numRef>
              <c:f>T!$E$2:$E$16</c:f>
              <c:numCache/>
            </c:numRef>
          </c:val>
          <c:smooth val="0"/>
        </c:ser>
        <c:ser>
          <c:idx val="1"/>
          <c:order val="1"/>
          <c:tx>
            <c:v>Valor en revisión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T!$A$2:$A$16</c:f>
            </c:strRef>
          </c:cat>
          <c:val>
            <c:numRef>
              <c:f>T!$F$2:$F$16</c:f>
              <c:numCache/>
            </c:numRef>
          </c:val>
          <c:smooth val="0"/>
        </c:ser>
        <c:ser>
          <c:idx val="2"/>
          <c:order val="2"/>
          <c:tx>
            <c:v>Valor real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T!$A$2:$A$16</c:f>
            </c:strRef>
          </c:cat>
          <c:val>
            <c:numRef>
              <c:f>T!$G$2:$G$16</c:f>
              <c:numCache/>
            </c:numRef>
          </c:val>
          <c:smooth val="0"/>
        </c:ser>
        <c:axId val="1577689370"/>
        <c:axId val="38840709"/>
      </c:lineChart>
      <c:catAx>
        <c:axId val="1577689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8840709"/>
      </c:catAx>
      <c:valAx>
        <c:axId val="38840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768937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Costo planeado vs real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Costo planeado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T!$A$27:$A$40</c:f>
            </c:strRef>
          </c:cat>
          <c:val>
            <c:numRef>
              <c:f>T!$E$27:$E$40</c:f>
              <c:numCache/>
            </c:numRef>
          </c:val>
          <c:smooth val="0"/>
        </c:ser>
        <c:axId val="1774879861"/>
        <c:axId val="229753516"/>
      </c:lineChart>
      <c:catAx>
        <c:axId val="1774879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layout>
            <c:manualLayout>
              <c:xMode val="edge"/>
              <c:yMode val="edge"/>
              <c:x val="0.14653190104166666"/>
              <c:y val="0.914959568733153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29753516"/>
      </c:catAx>
      <c:valAx>
        <c:axId val="229753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Tiempo en minutos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48798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Tiempo por fase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T!$A$53:$A$57</c:f>
            </c:strRef>
          </c:cat>
          <c:val>
            <c:numRef>
              <c:f>T!$B$53:$B$57</c:f>
              <c:numCache/>
            </c:numRef>
          </c:val>
        </c:ser>
        <c:axId val="960888930"/>
        <c:axId val="1109152335"/>
      </c:barChart>
      <c:catAx>
        <c:axId val="960888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9152335"/>
      </c:catAx>
      <c:valAx>
        <c:axId val="1109152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Minutos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088893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Inyección de defectos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'Defect Log'!$K$2:$K$6</c:f>
            </c:strRef>
          </c:cat>
          <c:val>
            <c:numRef>
              <c:f>'Defect Log'!$L$2:$L$6</c:f>
              <c:numCache/>
            </c:numRef>
          </c:val>
        </c:ser>
        <c:ser>
          <c:idx val="1"/>
          <c:order val="1"/>
          <c:cat>
            <c:strRef>
              <c:f>'Defect Log'!$K$2:$K$6</c:f>
            </c:strRef>
          </c:cat>
          <c:val>
            <c:numRef>
              <c:f>'Defect Log'!$Q$2:$Q$6</c:f>
              <c:numCache/>
            </c:numRef>
          </c:val>
        </c:ser>
        <c:ser>
          <c:idx val="2"/>
          <c:order val="2"/>
          <c:cat>
            <c:strRef>
              <c:f>'Defect Log'!$K$2:$K$6</c:f>
            </c:strRef>
          </c:cat>
          <c:val>
            <c:numRef>
              <c:f>'Defect Log'!$U$2:$U$6</c:f>
              <c:numCache/>
            </c:numRef>
          </c:val>
        </c:ser>
        <c:ser>
          <c:idx val="3"/>
          <c:order val="3"/>
          <c:cat>
            <c:strRef>
              <c:f>'Defect Log'!$K$2:$K$6</c:f>
            </c:strRef>
          </c:cat>
          <c:val>
            <c:numRef>
              <c:f>'Defect Log'!$Y$2:$Y$6</c:f>
              <c:numCache/>
            </c:numRef>
          </c:val>
        </c:ser>
        <c:axId val="2008895454"/>
        <c:axId val="1030084475"/>
      </c:barChart>
      <c:catAx>
        <c:axId val="2008895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30084475"/>
      </c:catAx>
      <c:valAx>
        <c:axId val="1030084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Número de defectos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088954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Detección defectos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'Defect Log'!$K$2:$K$6</c:f>
            </c:strRef>
          </c:cat>
          <c:val>
            <c:numRef>
              <c:f>'Defect Log'!$M$2:$M$6</c:f>
              <c:numCache/>
            </c:numRef>
          </c:val>
        </c:ser>
        <c:ser>
          <c:idx val="1"/>
          <c:order val="1"/>
          <c:cat>
            <c:strRef>
              <c:f>'Defect Log'!$K$2:$K$6</c:f>
            </c:strRef>
          </c:cat>
          <c:val>
            <c:numRef>
              <c:f>'Defect Log'!$R$2:$R$6</c:f>
              <c:numCache/>
            </c:numRef>
          </c:val>
        </c:ser>
        <c:ser>
          <c:idx val="2"/>
          <c:order val="2"/>
          <c:cat>
            <c:strRef>
              <c:f>'Defect Log'!$K$2:$K$6</c:f>
            </c:strRef>
          </c:cat>
          <c:val>
            <c:numRef>
              <c:f>'Defect Log'!$V$2:$V$6</c:f>
              <c:numCache/>
            </c:numRef>
          </c:val>
        </c:ser>
        <c:ser>
          <c:idx val="3"/>
          <c:order val="3"/>
          <c:cat>
            <c:strRef>
              <c:f>'Defect Log'!$K$2:$K$6</c:f>
            </c:strRef>
          </c:cat>
          <c:val>
            <c:numRef>
              <c:f>'Defect Log'!$Z$2:$Z$6</c:f>
              <c:numCache/>
            </c:numRef>
          </c:val>
        </c:ser>
        <c:axId val="1314745339"/>
        <c:axId val="910034589"/>
      </c:barChart>
      <c:catAx>
        <c:axId val="1314745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0034589"/>
      </c:catAx>
      <c:valAx>
        <c:axId val="910034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Número de defectos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474533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Inyección y Detección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'Defect Log'!$L$1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'Defect Log'!$K$2:$K$6</c:f>
            </c:strRef>
          </c:cat>
          <c:val>
            <c:numRef>
              <c:f>'Defect Log'!$L$2:$L$6</c:f>
              <c:numCache/>
            </c:numRef>
          </c:val>
        </c:ser>
        <c:ser>
          <c:idx val="1"/>
          <c:order val="1"/>
          <c:tx>
            <c:strRef>
              <c:f>'Defect Log'!$M$1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'Defect Log'!$K$2:$K$6</c:f>
            </c:strRef>
          </c:cat>
          <c:val>
            <c:numRef>
              <c:f>'Defect Log'!$M$2:$M$6</c:f>
              <c:numCache/>
            </c:numRef>
          </c:val>
        </c:ser>
        <c:axId val="766542456"/>
        <c:axId val="557012266"/>
      </c:barChart>
      <c:catAx>
        <c:axId val="76654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7012266"/>
      </c:catAx>
      <c:valAx>
        <c:axId val="557012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654245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Costo planeado vs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Costo planeado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T!$A$25:$A$42</c:f>
            </c:strRef>
          </c:cat>
          <c:val>
            <c:numRef>
              <c:f>T!$E$25:$E$42</c:f>
              <c:numCache/>
            </c:numRef>
          </c:val>
          <c:smooth val="0"/>
        </c:ser>
        <c:ser>
          <c:idx val="1"/>
          <c:order val="1"/>
          <c:tx>
            <c:v>Costo real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T!$A$25:$A$42</c:f>
            </c:strRef>
          </c:cat>
          <c:val>
            <c:numRef>
              <c:f>T!$F$25:$F$42</c:f>
              <c:numCache/>
            </c:numRef>
          </c:val>
          <c:smooth val="0"/>
        </c:ser>
        <c:axId val="2013883215"/>
        <c:axId val="357226392"/>
      </c:lineChart>
      <c:catAx>
        <c:axId val="201388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Fechar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57226392"/>
      </c:catAx>
      <c:valAx>
        <c:axId val="357226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Tiempo en minutos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388321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Valor Planeado vs Ganado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Valor Planeado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T!$A$2:$A$21</c:f>
            </c:strRef>
          </c:cat>
          <c:val>
            <c:numRef>
              <c:f>T!$E$2:$E$21</c:f>
              <c:numCache/>
            </c:numRef>
          </c:val>
          <c:smooth val="0"/>
        </c:ser>
        <c:ser>
          <c:idx val="1"/>
          <c:order val="1"/>
          <c:tx>
            <c:v>Valor en revisión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T!$A$2:$A$21</c:f>
            </c:strRef>
          </c:cat>
          <c:val>
            <c:numRef>
              <c:f>T!$F$2:$F$21</c:f>
              <c:numCache/>
            </c:numRef>
          </c:val>
          <c:smooth val="0"/>
        </c:ser>
        <c:ser>
          <c:idx val="2"/>
          <c:order val="2"/>
          <c:tx>
            <c:v>Valor ganado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T!$A$2:$A$21</c:f>
            </c:strRef>
          </c:cat>
          <c:val>
            <c:numRef>
              <c:f>T!$G$2:$G$21</c:f>
              <c:numCache/>
            </c:numRef>
          </c:val>
          <c:smooth val="0"/>
        </c:ser>
        <c:axId val="896096687"/>
        <c:axId val="277224165"/>
      </c:lineChart>
      <c:catAx>
        <c:axId val="89609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7224165"/>
      </c:catAx>
      <c:valAx>
        <c:axId val="277224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960966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Chart6.png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704850</xdr:colOff>
      <xdr:row>22</xdr:row>
      <xdr:rowOff>171450</xdr:rowOff>
    </xdr:from>
    <xdr:ext cx="5715000" cy="3533775"/>
    <xdr:graphicFrame>
      <xdr:nvGraphicFramePr>
        <xdr:cNvPr id="1540081971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</xdr:colOff>
      <xdr:row>0</xdr:row>
      <xdr:rowOff>0</xdr:rowOff>
    </xdr:from>
    <xdr:ext cx="5715000" cy="3533775"/>
    <xdr:graphicFrame>
      <xdr:nvGraphicFramePr>
        <xdr:cNvPr id="1272592647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114300</xdr:colOff>
      <xdr:row>45</xdr:row>
      <xdr:rowOff>152400</xdr:rowOff>
    </xdr:from>
    <xdr:ext cx="5715000" cy="3533775"/>
    <xdr:graphicFrame>
      <xdr:nvGraphicFramePr>
        <xdr:cNvPr id="758045026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0</xdr:rowOff>
    </xdr:from>
    <xdr:ext cx="5715000" cy="3533775"/>
    <xdr:graphicFrame>
      <xdr:nvGraphicFramePr>
        <xdr:cNvPr id="55376509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64641109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</xdr:colOff>
      <xdr:row>0</xdr:row>
      <xdr:rowOff>0</xdr:rowOff>
    </xdr:from>
    <xdr:ext cx="5715000" cy="3533775"/>
    <xdr:graphicFrame>
      <xdr:nvGraphicFramePr>
        <xdr:cNvPr id="8495919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</xdr:colOff>
      <xdr:row>19</xdr:row>
      <xdr:rowOff>171450</xdr:rowOff>
    </xdr:from>
    <xdr:ext cx="5715000" cy="3533775"/>
    <xdr:graphicFrame>
      <xdr:nvGraphicFramePr>
        <xdr:cNvPr id="197652352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295275</xdr:colOff>
      <xdr:row>8</xdr:row>
      <xdr:rowOff>76200</xdr:rowOff>
    </xdr:from>
    <xdr:ext cx="5715000" cy="3533775"/>
    <xdr:graphicFrame>
      <xdr:nvGraphicFramePr>
        <xdr:cNvPr id="37694457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295275</xdr:colOff>
      <xdr:row>27</xdr:row>
      <xdr:rowOff>171450</xdr:rowOff>
    </xdr:from>
    <xdr:ext cx="5715000" cy="3533775"/>
    <xdr:pic>
      <xdr:nvPicPr>
        <xdr:cNvPr id="2080564567" name="Chart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295275</xdr:colOff>
      <xdr:row>47</xdr:row>
      <xdr:rowOff>0</xdr:rowOff>
    </xdr:from>
    <xdr:ext cx="5715000" cy="3533775"/>
    <xdr:pic>
      <xdr:nvPicPr>
        <xdr:cNvPr id="1962896181" name="Chart7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447675</xdr:colOff>
      <xdr:row>8</xdr:row>
      <xdr:rowOff>76200</xdr:rowOff>
    </xdr:from>
    <xdr:ext cx="5715000" cy="3533775"/>
    <xdr:graphicFrame>
      <xdr:nvGraphicFramePr>
        <xdr:cNvPr id="1926985489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447675</xdr:colOff>
      <xdr:row>27</xdr:row>
      <xdr:rowOff>171450</xdr:rowOff>
    </xdr:from>
    <xdr:ext cx="5715000" cy="3533775"/>
    <xdr:graphicFrame>
      <xdr:nvGraphicFramePr>
        <xdr:cNvPr id="1174657273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2:T52" sheet="Plan general"/>
  </cacheSource>
  <cacheFields>
    <cacheField name="APs (Tamaño)" numFmtId="0">
      <sharedItems containsString="0" containsBlank="1" containsNumber="1" containsInteger="1">
        <m/>
        <n v="1.0"/>
        <n v="3.0"/>
        <n v="2.0"/>
        <n v="5.0"/>
        <n v="13.0"/>
      </sharedItems>
    </cacheField>
    <cacheField name="APs acumulados" numFmtId="0">
      <sharedItems containsString="0" containsBlank="1" containsNumber="1" containsInteger="1">
        <m/>
        <n v="0.0"/>
        <n v="1.0"/>
        <n v="2.0"/>
        <n v="3.0"/>
        <n v="6.0"/>
        <n v="8.0"/>
        <n v="10.0"/>
        <n v="12.0"/>
        <n v="15.0"/>
        <n v="18.0"/>
        <n v="19.0"/>
        <n v="24.0"/>
        <n v="29.0"/>
        <n v="31.0"/>
        <n v="33.0"/>
        <n v="36.0"/>
        <n v="41.0"/>
        <n v="43.0"/>
        <n v="48.0"/>
        <n v="51.0"/>
        <n v="53.0"/>
        <n v="56.0"/>
        <n v="58.0"/>
        <n v="59.0"/>
        <n v="62.0"/>
        <n v="64.0"/>
        <n v="67.0"/>
        <n v="69.0"/>
        <n v="70.0"/>
        <n v="73.0"/>
        <n v="75.0"/>
        <n v="78.0"/>
        <n v="80.0"/>
        <n v="81.0"/>
        <n v="84.0"/>
        <n v="86.0"/>
        <n v="99.0"/>
      </sharedItems>
    </cacheField>
    <cacheField name="Valor planeado" numFmtId="0">
      <sharedItems containsString="0" containsBlank="1" containsNumber="1">
        <m/>
        <n v="0.010101010101010102"/>
        <n v="0.030303030303030304"/>
        <n v="0.020202020202020204"/>
        <n v="0.050505050505050504"/>
        <n v="0.13131313131313133"/>
        <n v="0.0"/>
      </sharedItems>
    </cacheField>
    <cacheField name="Valor planeado acumulado" numFmtId="0">
      <sharedItems containsString="0" containsBlank="1" containsNumber="1">
        <m/>
        <n v="0.010101010101010102"/>
        <n v="0.030303030303030304"/>
        <n v="0.020202020202020204"/>
        <n v="0.050505050505050504"/>
        <n v="0.13131313131313133"/>
        <n v="0.0"/>
      </sharedItems>
    </cacheField>
    <cacheField name="Costo estimado horas" numFmtId="0">
      <sharedItems containsString="0" containsBlank="1" containsNumber="1">
        <m/>
        <n v="0.5"/>
        <n v="2.0"/>
        <n v="1.0"/>
        <n v="4.0"/>
        <n v="12.0"/>
        <n v="0.0"/>
      </sharedItems>
    </cacheField>
    <cacheField name="costo estimado acumulado" numFmtId="0">
      <sharedItems containsString="0" containsBlank="1" containsNumber="1">
        <m/>
        <n v="0.0"/>
        <n v="0.5"/>
        <n v="1.0"/>
        <n v="1.5"/>
        <n v="3.5"/>
        <n v="4.5"/>
        <n v="5.5"/>
        <n v="6.5"/>
        <n v="8.5"/>
        <n v="10.5"/>
        <n v="11.0"/>
        <n v="15.0"/>
        <n v="19.0"/>
        <n v="20.0"/>
        <n v="21.0"/>
        <n v="23.0"/>
        <n v="27.0"/>
        <n v="28.0"/>
        <n v="32.0"/>
        <n v="34.0"/>
        <n v="35.0"/>
        <n v="37.0"/>
        <n v="38.0"/>
        <n v="38.5"/>
        <n v="40.5"/>
        <n v="41.5"/>
        <n v="43.5"/>
        <n v="44.5"/>
        <n v="45.0"/>
        <n v="47.0"/>
        <n v="48.0"/>
        <n v="50.0"/>
        <n v="51.0"/>
        <n v="51.5"/>
        <n v="53.5"/>
        <n v="54.5"/>
        <n v="66.5"/>
      </sharedItems>
    </cacheField>
    <cacheField name="Fecha fin planeada">
      <sharedItems containsDate="1" containsBlank="1" containsMixedTypes="1">
        <m/>
        <d v="2022-09-30T00:00:00Z"/>
        <d v="2022-10-14T00:00:00Z"/>
        <d v="2022-10-24T00:00:00Z"/>
        <d v="2022-10-28T00:00:00Z"/>
        <d v="2022-10-29T00:00:00Z"/>
        <s v="31/10/2022"/>
        <d v="2022-11-01T00:00:00Z"/>
        <d v="2022-11-04T00:00:00Z"/>
        <d v="2022-11-11T00:00:00Z"/>
      </sharedItems>
    </cacheField>
    <cacheField name="APs ganados" numFmtId="0">
      <sharedItems containsString="0" containsBlank="1" containsNumber="1" containsInteger="1">
        <m/>
        <n v="1.0"/>
        <n v="3.0"/>
        <n v="2.0"/>
        <n v="5.0"/>
        <n v="0.0"/>
      </sharedItems>
    </cacheField>
    <cacheField name="APs ganados acumulados" numFmtId="0">
      <sharedItems containsString="0" containsBlank="1" containsNumber="1" containsInteger="1">
        <m/>
        <n v="0.0"/>
        <n v="1.0"/>
        <n v="2.0"/>
        <n v="3.0"/>
        <n v="6.0"/>
        <n v="8.0"/>
        <n v="10.0"/>
        <n v="12.0"/>
        <n v="15.0"/>
        <n v="18.0"/>
        <n v="19.0"/>
        <n v="24.0"/>
        <n v="29.0"/>
        <n v="31.0"/>
        <n v="33.0"/>
        <n v="38.0"/>
        <n v="39.0"/>
        <n v="42.0"/>
        <n v="45.0"/>
        <n v="48.0"/>
      </sharedItems>
    </cacheField>
    <cacheField name="Valor ganado acumulado" numFmtId="0">
      <sharedItems containsString="0" containsBlank="1" containsNumber="1">
        <m/>
        <n v="0.010101010101010102"/>
        <n v="0.020202020202020204"/>
        <n v="0.030303030303030304"/>
        <n v="0.06060606060606061"/>
        <n v="0.08080808080808081"/>
        <n v="0.10101010101010101"/>
        <n v="0.12121212121212122"/>
        <n v="0.15151515151515152"/>
        <n v="0.18181818181818182"/>
        <n v="0.1919191919191919"/>
        <n v="0.24242424242424243"/>
        <n v="0.29292929292929293"/>
        <n v="0.31313131313131315"/>
        <n v="0.3333333333333333"/>
        <n v="0.3838383838383838"/>
        <n v="0.3939393939393939"/>
        <n v="0.42424242424242425"/>
        <n v="0.45454545454545453"/>
        <n v="0.48484848484848486"/>
      </sharedItems>
    </cacheField>
    <cacheField name="APs en revisión" numFmtId="0">
      <sharedItems containsString="0" containsBlank="1" containsNumber="1" containsInteger="1">
        <m/>
        <n v="1.0"/>
        <n v="3.0"/>
        <n v="2.0"/>
        <n v="5.0"/>
        <n v="0.0"/>
      </sharedItems>
    </cacheField>
    <cacheField name="APs en revisión acumulados" numFmtId="0">
      <sharedItems containsString="0" containsBlank="1" containsNumber="1" containsInteger="1">
        <m/>
        <n v="0.0"/>
        <n v="1.0"/>
        <n v="2.0"/>
        <n v="3.0"/>
        <n v="6.0"/>
        <n v="8.0"/>
        <n v="10.0"/>
        <n v="12.0"/>
        <n v="15.0"/>
        <n v="18.0"/>
        <n v="19.0"/>
        <n v="24.0"/>
        <n v="29.0"/>
        <n v="31.0"/>
        <n v="33.0"/>
        <n v="36.0"/>
        <n v="41.0"/>
        <n v="43.0"/>
        <n v="48.0"/>
        <n v="51.0"/>
        <n v="53.0"/>
      </sharedItems>
    </cacheField>
    <cacheField name="Valor en revisión acumulado" numFmtId="0">
      <sharedItems containsString="0" containsBlank="1" containsNumber="1">
        <m/>
        <n v="0.010101010101010102"/>
        <n v="0.020202020202020204"/>
        <n v="0.030303030303030304"/>
        <n v="0.06060606060606061"/>
        <n v="0.08080808080808081"/>
        <n v="0.10101010101010101"/>
        <n v="0.12121212121212122"/>
        <n v="0.15151515151515152"/>
        <n v="0.18181818181818182"/>
        <n v="0.1919191919191919"/>
        <n v="0.24242424242424243"/>
        <n v="0.29292929292929293"/>
        <n v="0.31313131313131315"/>
        <n v="0.3333333333333333"/>
        <n v="0.36363636363636365"/>
        <n v="0.41414141414141414"/>
        <n v="0.43434343434343436"/>
        <n v="0.48484848484848486"/>
        <n v="0.5151515151515151"/>
        <n v="0.5353535353535354"/>
      </sharedItems>
    </cacheField>
    <cacheField name="Costo real horas" numFmtId="0">
      <sharedItems containsString="0" containsBlank="1" containsNumber="1">
        <m/>
        <n v="0.33"/>
        <n v="0.5"/>
        <n v="1.5"/>
        <n v="1.0"/>
      </sharedItems>
    </cacheField>
    <cacheField name="costo real acumulado" numFmtId="0">
      <sharedItems containsString="0" containsBlank="1" containsNumber="1">
        <m/>
        <n v="0.0"/>
        <n v="0.33"/>
        <n v="0.66"/>
        <n v="1.1600000000000001"/>
        <n v="2.66"/>
        <n v="3.66"/>
        <n v="4.66"/>
        <n v="5.66"/>
        <n v="6.66"/>
        <n v="7.16"/>
        <n v="7.66"/>
        <n v="8.66"/>
        <n v="9.16"/>
        <n v="10.16"/>
        <n v="10.66"/>
        <n v="11.16"/>
        <n v="11.66"/>
        <n v="12.16"/>
        <n v="13.16"/>
        <n v="14.16"/>
        <n v="15.16"/>
      </sharedItems>
    </cacheField>
    <cacheField name="Fecha fin real" numFmtId="0">
      <sharedItems containsDate="1" containsString="0" containsBlank="1">
        <m/>
        <d v="2022-09-30T00:00:00Z"/>
        <d v="2022-10-01T00:00:00Z"/>
        <d v="2022-10-14T00:00:00Z"/>
        <d v="2022-10-16T00:00:00Z"/>
        <d v="2022-10-17T00:00:00Z"/>
        <d v="2022-10-18T00:00:00Z"/>
        <d v="2022-10-20T00:00:00Z"/>
        <d v="2022-10-22T00:00:00Z"/>
        <d v="2022-10-23T00:00:00Z"/>
        <d v="2022-10-26T00:00:00Z"/>
        <d v="2022-10-28T00:00:00Z"/>
        <d v="2022-10-29T00:00:00Z"/>
        <d v="2022-10-31T00:00:00Z"/>
        <d v="2022-11-01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" cacheId="0" dataCaption="" compact="0" compactData="0">
  <location ref="A1:D12" firstHeaderRow="0" firstDataRow="2" firstDataCol="0"/>
  <pivotFields>
    <pivotField name="APs (Tamaño)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Ps acumul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Valor planead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alor planeado acumulad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sto estimado hora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sto estimado acumul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Fecha fin planeada" axis="axisRow" compact="0" outline="0" multipleItemSelectionAllowed="1" showAll="0" sortType="ascending">
      <items>
        <item x="0"/>
        <item x="1"/>
        <item x="2"/>
        <item x="3"/>
        <item x="4"/>
        <item x="5"/>
        <item x="7"/>
        <item x="8"/>
        <item x="9"/>
        <item x="6"/>
        <item t="default"/>
      </items>
    </pivotField>
    <pivotField name="APs ganados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Ps ganados acumul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Valor ganado acumul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Ps en revisión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Ps en revisión acumul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Valor en revisión acumul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sto real hora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sto real acumul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Fecha fin re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6"/>
  </rowFields>
  <colFields>
    <field x="-2"/>
  </colFields>
  <dataFields>
    <dataField name="SUM of APs (Tamaño)" fld="0" baseField="0"/>
    <dataField name="SUM of APs en revisión" fld="10" baseField="0"/>
    <dataField name="SUM of APs ganados" fld="7" baseField="0"/>
  </dataFields>
</pivotTableDefinition>
</file>

<file path=xl/pivotTables/pivotTable2.xml><?xml version="1.0" encoding="utf-8"?>
<pivotTableDefinition xmlns="http://schemas.openxmlformats.org/spreadsheetml/2006/main" name="T 2" cacheId="0" dataCaption="" compact="0" compactData="0">
  <location ref="A23:C34" firstHeaderRow="0" firstDataRow="2" firstDataCol="0"/>
  <pivotFields>
    <pivotField name="APs (Tamaño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Ps acumul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Valor planead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alor planeado acumulad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sto estimado horas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sto estimado acumul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Fecha fin planeada" axis="axisRow" compact="0" outline="0" multipleItemSelectionAllowed="1" showAll="0" sortType="ascending">
      <items>
        <item x="0"/>
        <item x="1"/>
        <item x="2"/>
        <item x="3"/>
        <item x="4"/>
        <item x="5"/>
        <item x="7"/>
        <item x="8"/>
        <item x="9"/>
        <item x="6"/>
        <item t="default"/>
      </items>
    </pivotField>
    <pivotField name="APs ganado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Ps ganados acumul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Valor ganado acumul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Ps en revisió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Ps en revisión acumul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Valor en revisión acumul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sto real horas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sto real acumul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Fecha fin re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6"/>
  </rowFields>
  <colFields>
    <field x="-2"/>
  </colFields>
  <dataFields>
    <dataField name="SUM of Costo estimado minutos" fld="4" baseField="0"/>
    <dataField name="SUM of Costo real minutos" fld="1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a01552594@tec.mx" TargetMode="External"/><Relationship Id="rId2" Type="http://schemas.openxmlformats.org/officeDocument/2006/relationships/hyperlink" Target="mailto:a01411431@tec.mx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4.13"/>
    <col customWidth="1" min="2" max="2" width="31.75"/>
    <col customWidth="1" min="4" max="4" width="11.75"/>
    <col customWidth="1" min="7" max="9" width="11.75"/>
    <col customWidth="1" min="10" max="10" width="11.0"/>
    <col customWidth="1" min="18" max="18" width="11.0"/>
    <col customWidth="1" min="22" max="22" width="13.63"/>
    <col customWidth="1" min="24" max="24" width="5.88"/>
    <col customWidth="1" min="25" max="25" width="9.88"/>
    <col customWidth="1" min="26" max="26" width="3.75"/>
    <col customWidth="1" min="27" max="27" width="4.25"/>
  </cols>
  <sheetData>
    <row r="1">
      <c r="A1" s="1"/>
      <c r="B1" s="1"/>
      <c r="C1" s="1" t="s">
        <v>0</v>
      </c>
      <c r="L1" s="2" t="s">
        <v>1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5" t="s">
        <v>10</v>
      </c>
      <c r="J2" s="4" t="s">
        <v>11</v>
      </c>
      <c r="K2" s="6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8" t="s">
        <v>19</v>
      </c>
      <c r="S2" s="7" t="s">
        <v>20</v>
      </c>
      <c r="T2" s="7" t="s">
        <v>21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9"/>
      <c r="B3" s="10" t="s">
        <v>22</v>
      </c>
      <c r="C3" s="10"/>
      <c r="D3" s="11"/>
      <c r="E3" s="12"/>
      <c r="F3" s="11"/>
      <c r="G3" s="11"/>
      <c r="H3" s="11"/>
      <c r="I3" s="11"/>
      <c r="J3" s="11"/>
      <c r="K3" s="13"/>
      <c r="L3" s="11"/>
      <c r="M3" s="11"/>
      <c r="N3" s="11"/>
      <c r="O3" s="11"/>
      <c r="P3" s="11"/>
      <c r="Q3" s="11"/>
      <c r="R3" s="11"/>
      <c r="S3" s="11"/>
      <c r="T3" s="1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14"/>
      <c r="B4" s="15" t="s">
        <v>23</v>
      </c>
      <c r="C4" s="16"/>
      <c r="D4" s="17"/>
      <c r="E4" s="18"/>
      <c r="F4" s="19">
        <v>0.0</v>
      </c>
      <c r="G4" s="17"/>
      <c r="H4" s="17"/>
      <c r="I4" s="17"/>
      <c r="J4" s="20">
        <v>0.0</v>
      </c>
      <c r="K4" s="21"/>
      <c r="L4" s="17"/>
      <c r="M4" s="20">
        <v>0.0</v>
      </c>
      <c r="N4" s="20"/>
      <c r="O4" s="17"/>
      <c r="P4" s="20">
        <v>0.0</v>
      </c>
      <c r="Q4" s="20"/>
      <c r="R4" s="17"/>
      <c r="S4" s="20">
        <v>0.0</v>
      </c>
      <c r="T4" s="18"/>
      <c r="U4" s="3"/>
      <c r="V4" s="3"/>
      <c r="W4" s="3"/>
      <c r="X4" s="3"/>
      <c r="Y4" s="3"/>
      <c r="AB4" s="3"/>
      <c r="AC4" s="3"/>
      <c r="AD4" s="3"/>
      <c r="AE4" s="3"/>
      <c r="AF4" s="3"/>
      <c r="AG4" s="3"/>
      <c r="AH4" s="3"/>
    </row>
    <row r="5">
      <c r="A5" s="22">
        <v>1.0</v>
      </c>
      <c r="B5" s="23" t="s">
        <v>24</v>
      </c>
      <c r="C5" s="24" t="s">
        <v>25</v>
      </c>
      <c r="D5" s="25" t="s">
        <v>26</v>
      </c>
      <c r="E5" s="26">
        <v>1.0</v>
      </c>
      <c r="F5" s="27">
        <f t="shared" ref="F5:F66" si="1">F4+E5</f>
        <v>1</v>
      </c>
      <c r="G5" s="28">
        <f t="shared" ref="G5:G66" si="2">E5/$F$66</f>
        <v>0.0101010101</v>
      </c>
      <c r="H5" s="28">
        <f t="shared" ref="H5:H49" si="3">G5</f>
        <v>0.0101010101</v>
      </c>
      <c r="I5" s="29">
        <f t="shared" ref="I5:I66" si="4">IF(E5=$X$6,$Y$6,IF(E5=$X$7,$Y$7,IF(E5=$X$8,$Y$8,IF(E5=$X$9,$Y$9,IF(E5=$X$10,$Y$10,IF(E5=$X$11,$Y$11,0))))))</f>
        <v>0.5</v>
      </c>
      <c r="J5" s="27">
        <f t="shared" ref="J5:J66" si="5">SUM(J4+I5)</f>
        <v>0.5</v>
      </c>
      <c r="K5" s="30">
        <v>44834.0</v>
      </c>
      <c r="L5" s="31">
        <f t="shared" ref="L5:L18" si="6">IF(C5="Complete",E5,0)</f>
        <v>1</v>
      </c>
      <c r="M5" s="27">
        <f t="shared" ref="M5:M66" si="7">SUM(M4+L5)</f>
        <v>1</v>
      </c>
      <c r="N5" s="32">
        <f t="shared" ref="N5:N31" si="8">M5/$F$52</f>
        <v>0.0101010101</v>
      </c>
      <c r="O5" s="31">
        <f t="shared" ref="O5:O66" si="9">IF(C5="Complete",E5,IF(C5="Review",E5,0))</f>
        <v>1</v>
      </c>
      <c r="P5" s="27">
        <f t="shared" ref="P5:P66" si="10">SUM(O5+P4)</f>
        <v>1</v>
      </c>
      <c r="Q5" s="32">
        <f t="shared" ref="Q5:Q66" si="11">P5/$F$66</f>
        <v>0.0101010101</v>
      </c>
      <c r="R5" s="33">
        <v>0.33</v>
      </c>
      <c r="S5" s="27">
        <f t="shared" ref="S5:S66" si="12">SUM(S4+R5)</f>
        <v>0.33</v>
      </c>
      <c r="T5" s="30">
        <v>44834.0</v>
      </c>
      <c r="U5" s="3"/>
      <c r="V5" s="3"/>
      <c r="W5" s="3"/>
      <c r="X5" s="34" t="s">
        <v>27</v>
      </c>
      <c r="Y5" s="35" t="s">
        <v>28</v>
      </c>
      <c r="AB5" s="3"/>
      <c r="AC5" s="3"/>
      <c r="AD5" s="3"/>
      <c r="AE5" s="3"/>
      <c r="AF5" s="3"/>
      <c r="AG5" s="3"/>
      <c r="AH5" s="3"/>
    </row>
    <row r="6">
      <c r="A6" s="22">
        <f t="shared" ref="A6:A18" si="13">SUM(A5+1)</f>
        <v>2</v>
      </c>
      <c r="B6" s="23" t="s">
        <v>29</v>
      </c>
      <c r="C6" s="24" t="s">
        <v>25</v>
      </c>
      <c r="D6" s="25" t="s">
        <v>30</v>
      </c>
      <c r="E6" s="26">
        <v>1.0</v>
      </c>
      <c r="F6" s="27">
        <f t="shared" si="1"/>
        <v>2</v>
      </c>
      <c r="G6" s="28">
        <f t="shared" si="2"/>
        <v>0.0101010101</v>
      </c>
      <c r="H6" s="28">
        <f t="shared" si="3"/>
        <v>0.0101010101</v>
      </c>
      <c r="I6" s="29">
        <f t="shared" si="4"/>
        <v>0.5</v>
      </c>
      <c r="J6" s="27">
        <f t="shared" si="5"/>
        <v>1</v>
      </c>
      <c r="K6" s="30">
        <v>44834.0</v>
      </c>
      <c r="L6" s="31">
        <f t="shared" si="6"/>
        <v>1</v>
      </c>
      <c r="M6" s="27">
        <f t="shared" si="7"/>
        <v>2</v>
      </c>
      <c r="N6" s="32">
        <f t="shared" si="8"/>
        <v>0.0202020202</v>
      </c>
      <c r="O6" s="31">
        <f t="shared" si="9"/>
        <v>1</v>
      </c>
      <c r="P6" s="27">
        <f t="shared" si="10"/>
        <v>2</v>
      </c>
      <c r="Q6" s="32">
        <f t="shared" si="11"/>
        <v>0.0202020202</v>
      </c>
      <c r="R6" s="33">
        <v>0.33</v>
      </c>
      <c r="S6" s="27">
        <f t="shared" si="12"/>
        <v>0.66</v>
      </c>
      <c r="T6" s="30">
        <v>44834.0</v>
      </c>
      <c r="U6" s="3"/>
      <c r="V6" s="3"/>
      <c r="W6" s="3"/>
      <c r="X6" s="36">
        <v>1.0</v>
      </c>
      <c r="Y6" s="37">
        <v>0.5</v>
      </c>
      <c r="AB6" s="3"/>
      <c r="AC6" s="3"/>
      <c r="AD6" s="3"/>
      <c r="AE6" s="3"/>
      <c r="AF6" s="3"/>
      <c r="AG6" s="3"/>
      <c r="AH6" s="3"/>
    </row>
    <row r="7">
      <c r="A7" s="22">
        <f t="shared" si="13"/>
        <v>3</v>
      </c>
      <c r="B7" s="23" t="s">
        <v>31</v>
      </c>
      <c r="C7" s="24" t="s">
        <v>25</v>
      </c>
      <c r="D7" s="25" t="s">
        <v>32</v>
      </c>
      <c r="E7" s="26">
        <v>1.0</v>
      </c>
      <c r="F7" s="27">
        <f t="shared" si="1"/>
        <v>3</v>
      </c>
      <c r="G7" s="28">
        <f t="shared" si="2"/>
        <v>0.0101010101</v>
      </c>
      <c r="H7" s="28">
        <f t="shared" si="3"/>
        <v>0.0101010101</v>
      </c>
      <c r="I7" s="29">
        <f t="shared" si="4"/>
        <v>0.5</v>
      </c>
      <c r="J7" s="27">
        <f t="shared" si="5"/>
        <v>1.5</v>
      </c>
      <c r="K7" s="30">
        <v>44834.0</v>
      </c>
      <c r="L7" s="31">
        <f t="shared" si="6"/>
        <v>1</v>
      </c>
      <c r="M7" s="27">
        <f t="shared" si="7"/>
        <v>3</v>
      </c>
      <c r="N7" s="32">
        <f t="shared" si="8"/>
        <v>0.0303030303</v>
      </c>
      <c r="O7" s="31">
        <f t="shared" si="9"/>
        <v>1</v>
      </c>
      <c r="P7" s="27">
        <f t="shared" si="10"/>
        <v>3</v>
      </c>
      <c r="Q7" s="32">
        <f t="shared" si="11"/>
        <v>0.0303030303</v>
      </c>
      <c r="R7" s="33">
        <v>0.5</v>
      </c>
      <c r="S7" s="27">
        <f t="shared" si="12"/>
        <v>1.16</v>
      </c>
      <c r="T7" s="30">
        <v>44834.0</v>
      </c>
      <c r="U7" s="3"/>
      <c r="V7" s="3"/>
      <c r="W7" s="3"/>
      <c r="X7" s="36">
        <v>2.0</v>
      </c>
      <c r="Y7" s="37">
        <v>1.0</v>
      </c>
      <c r="AB7" s="3"/>
      <c r="AC7" s="3"/>
      <c r="AD7" s="3"/>
      <c r="AE7" s="3"/>
      <c r="AF7" s="3"/>
      <c r="AG7" s="3"/>
      <c r="AH7" s="3"/>
    </row>
    <row r="8">
      <c r="A8" s="22">
        <f t="shared" si="13"/>
        <v>4</v>
      </c>
      <c r="B8" s="23" t="s">
        <v>33</v>
      </c>
      <c r="C8" s="24" t="s">
        <v>25</v>
      </c>
      <c r="D8" s="25" t="s">
        <v>34</v>
      </c>
      <c r="E8" s="26">
        <v>3.0</v>
      </c>
      <c r="F8" s="27">
        <f t="shared" si="1"/>
        <v>6</v>
      </c>
      <c r="G8" s="28">
        <f t="shared" si="2"/>
        <v>0.0303030303</v>
      </c>
      <c r="H8" s="28">
        <f t="shared" si="3"/>
        <v>0.0303030303</v>
      </c>
      <c r="I8" s="29">
        <f t="shared" si="4"/>
        <v>2</v>
      </c>
      <c r="J8" s="27">
        <f t="shared" si="5"/>
        <v>3.5</v>
      </c>
      <c r="K8" s="30">
        <v>44834.0</v>
      </c>
      <c r="L8" s="31">
        <f t="shared" si="6"/>
        <v>3</v>
      </c>
      <c r="M8" s="27">
        <f t="shared" si="7"/>
        <v>6</v>
      </c>
      <c r="N8" s="32">
        <f t="shared" si="8"/>
        <v>0.06060606061</v>
      </c>
      <c r="O8" s="31">
        <f t="shared" si="9"/>
        <v>3</v>
      </c>
      <c r="P8" s="27">
        <f t="shared" si="10"/>
        <v>6</v>
      </c>
      <c r="Q8" s="32">
        <f t="shared" si="11"/>
        <v>0.06060606061</v>
      </c>
      <c r="R8" s="33">
        <v>1.5</v>
      </c>
      <c r="S8" s="27">
        <f t="shared" si="12"/>
        <v>2.66</v>
      </c>
      <c r="T8" s="30">
        <v>44835.0</v>
      </c>
      <c r="U8" s="3"/>
      <c r="V8" s="3"/>
      <c r="W8" s="3"/>
      <c r="X8" s="36">
        <v>3.0</v>
      </c>
      <c r="Y8" s="37">
        <v>2.0</v>
      </c>
      <c r="AB8" s="3"/>
      <c r="AC8" s="3"/>
      <c r="AD8" s="3"/>
      <c r="AE8" s="3"/>
      <c r="AF8" s="3"/>
      <c r="AG8" s="3"/>
      <c r="AH8" s="3"/>
    </row>
    <row r="9">
      <c r="A9" s="22">
        <f t="shared" si="13"/>
        <v>5</v>
      </c>
      <c r="B9" s="38" t="s">
        <v>35</v>
      </c>
      <c r="C9" s="24" t="s">
        <v>25</v>
      </c>
      <c r="D9" s="25" t="s">
        <v>36</v>
      </c>
      <c r="E9" s="39">
        <v>2.0</v>
      </c>
      <c r="F9" s="27">
        <f t="shared" si="1"/>
        <v>8</v>
      </c>
      <c r="G9" s="28">
        <f t="shared" si="2"/>
        <v>0.0202020202</v>
      </c>
      <c r="H9" s="28">
        <f t="shared" si="3"/>
        <v>0.0202020202</v>
      </c>
      <c r="I9" s="29">
        <f t="shared" si="4"/>
        <v>1</v>
      </c>
      <c r="J9" s="27">
        <f t="shared" si="5"/>
        <v>4.5</v>
      </c>
      <c r="K9" s="40">
        <v>44848.0</v>
      </c>
      <c r="L9" s="31">
        <f t="shared" si="6"/>
        <v>2</v>
      </c>
      <c r="M9" s="27">
        <f t="shared" si="7"/>
        <v>8</v>
      </c>
      <c r="N9" s="32">
        <f t="shared" si="8"/>
        <v>0.08080808081</v>
      </c>
      <c r="O9" s="31">
        <f t="shared" si="9"/>
        <v>2</v>
      </c>
      <c r="P9" s="27">
        <f t="shared" si="10"/>
        <v>8</v>
      </c>
      <c r="Q9" s="32">
        <f t="shared" si="11"/>
        <v>0.08080808081</v>
      </c>
      <c r="R9" s="33">
        <v>1.0</v>
      </c>
      <c r="S9" s="27">
        <f t="shared" si="12"/>
        <v>3.66</v>
      </c>
      <c r="T9" s="41">
        <v>44848.0</v>
      </c>
      <c r="U9" s="3"/>
      <c r="V9" s="3"/>
      <c r="W9" s="3"/>
      <c r="X9" s="36">
        <v>5.0</v>
      </c>
      <c r="Y9" s="37">
        <v>4.0</v>
      </c>
      <c r="AB9" s="3"/>
      <c r="AC9" s="3"/>
      <c r="AD9" s="3"/>
      <c r="AE9" s="3"/>
      <c r="AF9" s="3"/>
      <c r="AG9" s="3"/>
      <c r="AH9" s="3"/>
    </row>
    <row r="10">
      <c r="A10" s="22">
        <f t="shared" si="13"/>
        <v>6</v>
      </c>
      <c r="B10" s="23" t="s">
        <v>37</v>
      </c>
      <c r="C10" s="24" t="s">
        <v>25</v>
      </c>
      <c r="D10" s="25" t="s">
        <v>26</v>
      </c>
      <c r="E10" s="26">
        <v>2.0</v>
      </c>
      <c r="F10" s="27">
        <f t="shared" si="1"/>
        <v>10</v>
      </c>
      <c r="G10" s="28">
        <f t="shared" si="2"/>
        <v>0.0202020202</v>
      </c>
      <c r="H10" s="28">
        <f t="shared" si="3"/>
        <v>0.0202020202</v>
      </c>
      <c r="I10" s="29">
        <f t="shared" si="4"/>
        <v>1</v>
      </c>
      <c r="J10" s="27">
        <f t="shared" si="5"/>
        <v>5.5</v>
      </c>
      <c r="K10" s="40">
        <v>44848.0</v>
      </c>
      <c r="L10" s="31">
        <f t="shared" si="6"/>
        <v>2</v>
      </c>
      <c r="M10" s="27">
        <f t="shared" si="7"/>
        <v>10</v>
      </c>
      <c r="N10" s="32">
        <f t="shared" si="8"/>
        <v>0.101010101</v>
      </c>
      <c r="O10" s="31">
        <f t="shared" si="9"/>
        <v>2</v>
      </c>
      <c r="P10" s="27">
        <f t="shared" si="10"/>
        <v>10</v>
      </c>
      <c r="Q10" s="32">
        <f t="shared" si="11"/>
        <v>0.101010101</v>
      </c>
      <c r="R10" s="33">
        <v>1.0</v>
      </c>
      <c r="S10" s="27">
        <f t="shared" si="12"/>
        <v>4.66</v>
      </c>
      <c r="T10" s="40">
        <v>44848.0</v>
      </c>
      <c r="U10" s="3"/>
      <c r="V10" s="3"/>
      <c r="W10" s="3"/>
      <c r="X10" s="36">
        <v>8.0</v>
      </c>
      <c r="Y10" s="37">
        <v>8.0</v>
      </c>
      <c r="AB10" s="3"/>
      <c r="AC10" s="3"/>
      <c r="AD10" s="3"/>
      <c r="AE10" s="3"/>
      <c r="AF10" s="3"/>
      <c r="AG10" s="3"/>
      <c r="AH10" s="3"/>
    </row>
    <row r="11">
      <c r="A11" s="22">
        <f t="shared" si="13"/>
        <v>7</v>
      </c>
      <c r="B11" s="23" t="s">
        <v>38</v>
      </c>
      <c r="C11" s="24" t="s">
        <v>25</v>
      </c>
      <c r="D11" s="25" t="s">
        <v>30</v>
      </c>
      <c r="E11" s="26">
        <v>2.0</v>
      </c>
      <c r="F11" s="27">
        <f t="shared" si="1"/>
        <v>12</v>
      </c>
      <c r="G11" s="28">
        <f t="shared" si="2"/>
        <v>0.0202020202</v>
      </c>
      <c r="H11" s="28">
        <f t="shared" si="3"/>
        <v>0.0202020202</v>
      </c>
      <c r="I11" s="29">
        <f t="shared" si="4"/>
        <v>1</v>
      </c>
      <c r="J11" s="27">
        <f t="shared" si="5"/>
        <v>6.5</v>
      </c>
      <c r="K11" s="40">
        <v>44848.0</v>
      </c>
      <c r="L11" s="31">
        <f t="shared" si="6"/>
        <v>2</v>
      </c>
      <c r="M11" s="27">
        <f t="shared" si="7"/>
        <v>12</v>
      </c>
      <c r="N11" s="32">
        <f t="shared" si="8"/>
        <v>0.1212121212</v>
      </c>
      <c r="O11" s="31">
        <f t="shared" si="9"/>
        <v>2</v>
      </c>
      <c r="P11" s="27">
        <f t="shared" si="10"/>
        <v>12</v>
      </c>
      <c r="Q11" s="32">
        <f t="shared" si="11"/>
        <v>0.1212121212</v>
      </c>
      <c r="R11" s="25">
        <v>1.0</v>
      </c>
      <c r="S11" s="27">
        <f t="shared" si="12"/>
        <v>5.66</v>
      </c>
      <c r="T11" s="40">
        <v>44848.0</v>
      </c>
      <c r="U11" s="3"/>
      <c r="V11" s="3"/>
      <c r="W11" s="3"/>
      <c r="X11" s="36">
        <v>13.0</v>
      </c>
      <c r="Y11" s="37">
        <v>12.0</v>
      </c>
      <c r="AB11" s="3"/>
      <c r="AC11" s="3"/>
      <c r="AD11" s="3"/>
      <c r="AE11" s="3"/>
      <c r="AF11" s="3"/>
      <c r="AG11" s="3"/>
      <c r="AH11" s="3"/>
    </row>
    <row r="12">
      <c r="A12" s="22">
        <f t="shared" si="13"/>
        <v>8</v>
      </c>
      <c r="B12" s="23" t="s">
        <v>39</v>
      </c>
      <c r="C12" s="24" t="s">
        <v>25</v>
      </c>
      <c r="D12" s="25" t="s">
        <v>32</v>
      </c>
      <c r="E12" s="26">
        <v>3.0</v>
      </c>
      <c r="F12" s="27">
        <f t="shared" si="1"/>
        <v>15</v>
      </c>
      <c r="G12" s="28">
        <f t="shared" si="2"/>
        <v>0.0303030303</v>
      </c>
      <c r="H12" s="28">
        <f t="shared" si="3"/>
        <v>0.0303030303</v>
      </c>
      <c r="I12" s="29">
        <f t="shared" si="4"/>
        <v>2</v>
      </c>
      <c r="J12" s="27">
        <f t="shared" si="5"/>
        <v>8.5</v>
      </c>
      <c r="K12" s="40">
        <v>44848.0</v>
      </c>
      <c r="L12" s="31">
        <f t="shared" si="6"/>
        <v>3</v>
      </c>
      <c r="M12" s="27">
        <f t="shared" si="7"/>
        <v>15</v>
      </c>
      <c r="N12" s="32">
        <f t="shared" si="8"/>
        <v>0.1515151515</v>
      </c>
      <c r="O12" s="31">
        <f t="shared" si="9"/>
        <v>3</v>
      </c>
      <c r="P12" s="27">
        <f t="shared" si="10"/>
        <v>15</v>
      </c>
      <c r="Q12" s="32">
        <f t="shared" si="11"/>
        <v>0.1515151515</v>
      </c>
      <c r="R12" s="33">
        <v>1.0</v>
      </c>
      <c r="S12" s="27">
        <f t="shared" si="12"/>
        <v>6.66</v>
      </c>
      <c r="T12" s="40">
        <v>44848.0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>
      <c r="A13" s="22">
        <f t="shared" si="13"/>
        <v>9</v>
      </c>
      <c r="B13" s="23" t="s">
        <v>40</v>
      </c>
      <c r="C13" s="24" t="s">
        <v>25</v>
      </c>
      <c r="D13" s="25" t="s">
        <v>34</v>
      </c>
      <c r="E13" s="42">
        <v>3.0</v>
      </c>
      <c r="F13" s="27">
        <f t="shared" si="1"/>
        <v>18</v>
      </c>
      <c r="G13" s="28">
        <f t="shared" si="2"/>
        <v>0.0303030303</v>
      </c>
      <c r="H13" s="28">
        <f t="shared" si="3"/>
        <v>0.0303030303</v>
      </c>
      <c r="I13" s="29">
        <f t="shared" si="4"/>
        <v>2</v>
      </c>
      <c r="J13" s="27">
        <f t="shared" si="5"/>
        <v>10.5</v>
      </c>
      <c r="K13" s="40">
        <v>44848.0</v>
      </c>
      <c r="L13" s="31">
        <f t="shared" si="6"/>
        <v>3</v>
      </c>
      <c r="M13" s="27">
        <f t="shared" si="7"/>
        <v>18</v>
      </c>
      <c r="N13" s="32">
        <f t="shared" si="8"/>
        <v>0.1818181818</v>
      </c>
      <c r="O13" s="31">
        <f t="shared" si="9"/>
        <v>3</v>
      </c>
      <c r="P13" s="27">
        <f t="shared" si="10"/>
        <v>18</v>
      </c>
      <c r="Q13" s="32">
        <f t="shared" si="11"/>
        <v>0.1818181818</v>
      </c>
      <c r="R13" s="33">
        <v>0.5</v>
      </c>
      <c r="S13" s="27">
        <f t="shared" si="12"/>
        <v>7.16</v>
      </c>
      <c r="T13" s="41">
        <v>44850.0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>
      <c r="A14" s="22">
        <f t="shared" si="13"/>
        <v>10</v>
      </c>
      <c r="B14" s="23" t="s">
        <v>41</v>
      </c>
      <c r="C14" s="24" t="s">
        <v>25</v>
      </c>
      <c r="D14" s="25" t="s">
        <v>26</v>
      </c>
      <c r="E14" s="26">
        <v>1.0</v>
      </c>
      <c r="F14" s="27">
        <f t="shared" si="1"/>
        <v>19</v>
      </c>
      <c r="G14" s="28">
        <f t="shared" si="2"/>
        <v>0.0101010101</v>
      </c>
      <c r="H14" s="28">
        <f t="shared" si="3"/>
        <v>0.0101010101</v>
      </c>
      <c r="I14" s="29">
        <f t="shared" si="4"/>
        <v>0.5</v>
      </c>
      <c r="J14" s="27">
        <f t="shared" si="5"/>
        <v>11</v>
      </c>
      <c r="K14" s="40">
        <v>44848.0</v>
      </c>
      <c r="L14" s="31">
        <f t="shared" si="6"/>
        <v>1</v>
      </c>
      <c r="M14" s="27">
        <f t="shared" si="7"/>
        <v>19</v>
      </c>
      <c r="N14" s="32">
        <f t="shared" si="8"/>
        <v>0.1919191919</v>
      </c>
      <c r="O14" s="31">
        <f t="shared" si="9"/>
        <v>1</v>
      </c>
      <c r="P14" s="27">
        <f t="shared" si="10"/>
        <v>19</v>
      </c>
      <c r="Q14" s="32">
        <f t="shared" si="11"/>
        <v>0.1919191919</v>
      </c>
      <c r="R14" s="33">
        <v>0.5</v>
      </c>
      <c r="S14" s="27">
        <f t="shared" si="12"/>
        <v>7.66</v>
      </c>
      <c r="T14" s="41">
        <v>44851.0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>
      <c r="A15" s="22">
        <f t="shared" si="13"/>
        <v>11</v>
      </c>
      <c r="B15" s="23" t="s">
        <v>42</v>
      </c>
      <c r="C15" s="24" t="s">
        <v>25</v>
      </c>
      <c r="D15" s="25" t="s">
        <v>30</v>
      </c>
      <c r="E15" s="26">
        <v>5.0</v>
      </c>
      <c r="F15" s="27">
        <f t="shared" si="1"/>
        <v>24</v>
      </c>
      <c r="G15" s="28">
        <f t="shared" si="2"/>
        <v>0.05050505051</v>
      </c>
      <c r="H15" s="28">
        <f t="shared" si="3"/>
        <v>0.05050505051</v>
      </c>
      <c r="I15" s="29">
        <f t="shared" si="4"/>
        <v>4</v>
      </c>
      <c r="J15" s="27">
        <f t="shared" si="5"/>
        <v>15</v>
      </c>
      <c r="K15" s="40">
        <v>44848.0</v>
      </c>
      <c r="L15" s="31">
        <f t="shared" si="6"/>
        <v>5</v>
      </c>
      <c r="M15" s="27">
        <f t="shared" si="7"/>
        <v>24</v>
      </c>
      <c r="N15" s="32">
        <f t="shared" si="8"/>
        <v>0.2424242424</v>
      </c>
      <c r="O15" s="31">
        <f t="shared" si="9"/>
        <v>5</v>
      </c>
      <c r="P15" s="27">
        <f t="shared" si="10"/>
        <v>24</v>
      </c>
      <c r="Q15" s="32">
        <f t="shared" si="11"/>
        <v>0.2424242424</v>
      </c>
      <c r="R15" s="33">
        <v>1.0</v>
      </c>
      <c r="S15" s="27">
        <f t="shared" si="12"/>
        <v>8.66</v>
      </c>
      <c r="T15" s="41">
        <v>44852.0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>
      <c r="A16" s="22">
        <f t="shared" si="13"/>
        <v>12</v>
      </c>
      <c r="B16" s="23" t="s">
        <v>43</v>
      </c>
      <c r="C16" s="24" t="s">
        <v>25</v>
      </c>
      <c r="D16" s="25" t="s">
        <v>34</v>
      </c>
      <c r="E16" s="26">
        <v>5.0</v>
      </c>
      <c r="F16" s="27">
        <f t="shared" si="1"/>
        <v>29</v>
      </c>
      <c r="G16" s="28">
        <f t="shared" si="2"/>
        <v>0.05050505051</v>
      </c>
      <c r="H16" s="28">
        <f t="shared" si="3"/>
        <v>0.05050505051</v>
      </c>
      <c r="I16" s="29">
        <f t="shared" si="4"/>
        <v>4</v>
      </c>
      <c r="J16" s="27">
        <f t="shared" si="5"/>
        <v>19</v>
      </c>
      <c r="K16" s="40">
        <v>44848.0</v>
      </c>
      <c r="L16" s="31">
        <f t="shared" si="6"/>
        <v>5</v>
      </c>
      <c r="M16" s="27">
        <f t="shared" si="7"/>
        <v>29</v>
      </c>
      <c r="N16" s="32">
        <f t="shared" si="8"/>
        <v>0.2929292929</v>
      </c>
      <c r="O16" s="31">
        <f t="shared" si="9"/>
        <v>5</v>
      </c>
      <c r="P16" s="27">
        <f t="shared" si="10"/>
        <v>29</v>
      </c>
      <c r="Q16" s="32">
        <f t="shared" si="11"/>
        <v>0.2929292929</v>
      </c>
      <c r="R16" s="33">
        <v>0.5</v>
      </c>
      <c r="S16" s="27">
        <f t="shared" si="12"/>
        <v>9.16</v>
      </c>
      <c r="T16" s="41">
        <v>44854.0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A17" s="22">
        <f t="shared" si="13"/>
        <v>13</v>
      </c>
      <c r="B17" s="23" t="s">
        <v>44</v>
      </c>
      <c r="C17" s="24" t="s">
        <v>25</v>
      </c>
      <c r="D17" s="25" t="s">
        <v>32</v>
      </c>
      <c r="E17" s="42">
        <v>2.0</v>
      </c>
      <c r="F17" s="27">
        <f t="shared" si="1"/>
        <v>31</v>
      </c>
      <c r="G17" s="28">
        <f t="shared" si="2"/>
        <v>0.0202020202</v>
      </c>
      <c r="H17" s="28">
        <f t="shared" si="3"/>
        <v>0.0202020202</v>
      </c>
      <c r="I17" s="29">
        <f t="shared" si="4"/>
        <v>1</v>
      </c>
      <c r="J17" s="27">
        <f t="shared" si="5"/>
        <v>20</v>
      </c>
      <c r="K17" s="40">
        <v>44848.0</v>
      </c>
      <c r="L17" s="31">
        <f t="shared" si="6"/>
        <v>2</v>
      </c>
      <c r="M17" s="27">
        <f t="shared" si="7"/>
        <v>31</v>
      </c>
      <c r="N17" s="32">
        <f t="shared" si="8"/>
        <v>0.3131313131</v>
      </c>
      <c r="O17" s="31">
        <f t="shared" si="9"/>
        <v>2</v>
      </c>
      <c r="P17" s="27">
        <f t="shared" si="10"/>
        <v>31</v>
      </c>
      <c r="Q17" s="32">
        <f t="shared" si="11"/>
        <v>0.3131313131</v>
      </c>
      <c r="R17" s="33">
        <v>1.0</v>
      </c>
      <c r="S17" s="27">
        <f t="shared" si="12"/>
        <v>10.16</v>
      </c>
      <c r="T17" s="41">
        <v>44856.0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A18" s="22">
        <f t="shared" si="13"/>
        <v>14</v>
      </c>
      <c r="B18" s="23" t="s">
        <v>45</v>
      </c>
      <c r="C18" s="24" t="s">
        <v>25</v>
      </c>
      <c r="D18" s="25"/>
      <c r="E18" s="26">
        <v>2.0</v>
      </c>
      <c r="F18" s="27">
        <f t="shared" si="1"/>
        <v>33</v>
      </c>
      <c r="G18" s="28">
        <f t="shared" si="2"/>
        <v>0.0202020202</v>
      </c>
      <c r="H18" s="28">
        <f t="shared" si="3"/>
        <v>0.0202020202</v>
      </c>
      <c r="I18" s="29">
        <f t="shared" si="4"/>
        <v>1</v>
      </c>
      <c r="J18" s="27">
        <f t="shared" si="5"/>
        <v>21</v>
      </c>
      <c r="K18" s="40">
        <v>44848.0</v>
      </c>
      <c r="L18" s="31">
        <f t="shared" si="6"/>
        <v>2</v>
      </c>
      <c r="M18" s="27">
        <f t="shared" si="7"/>
        <v>33</v>
      </c>
      <c r="N18" s="32">
        <f t="shared" si="8"/>
        <v>0.3333333333</v>
      </c>
      <c r="O18" s="31">
        <f t="shared" si="9"/>
        <v>2</v>
      </c>
      <c r="P18" s="27">
        <f t="shared" si="10"/>
        <v>33</v>
      </c>
      <c r="Q18" s="32">
        <f t="shared" si="11"/>
        <v>0.3333333333</v>
      </c>
      <c r="R18" s="33">
        <v>0.5</v>
      </c>
      <c r="S18" s="27">
        <f t="shared" si="12"/>
        <v>10.66</v>
      </c>
      <c r="T18" s="41">
        <v>44857.0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>
      <c r="A19" s="22"/>
      <c r="B19" s="23" t="s">
        <v>46</v>
      </c>
      <c r="C19" s="24" t="s">
        <v>25</v>
      </c>
      <c r="D19" s="25" t="s">
        <v>30</v>
      </c>
      <c r="E19" s="26">
        <v>3.0</v>
      </c>
      <c r="F19" s="27">
        <f t="shared" si="1"/>
        <v>36</v>
      </c>
      <c r="G19" s="28">
        <f t="shared" si="2"/>
        <v>0.0303030303</v>
      </c>
      <c r="H19" s="28">
        <f t="shared" si="3"/>
        <v>0.0303030303</v>
      </c>
      <c r="I19" s="29">
        <f t="shared" si="4"/>
        <v>2</v>
      </c>
      <c r="J19" s="27">
        <f t="shared" si="5"/>
        <v>23</v>
      </c>
      <c r="K19" s="40">
        <v>44858.0</v>
      </c>
      <c r="L19" s="31"/>
      <c r="M19" s="27">
        <f t="shared" si="7"/>
        <v>33</v>
      </c>
      <c r="N19" s="32">
        <f t="shared" si="8"/>
        <v>0.3333333333</v>
      </c>
      <c r="O19" s="31">
        <f t="shared" si="9"/>
        <v>3</v>
      </c>
      <c r="P19" s="27">
        <f t="shared" si="10"/>
        <v>36</v>
      </c>
      <c r="Q19" s="32">
        <f t="shared" si="11"/>
        <v>0.3636363636</v>
      </c>
      <c r="R19" s="33">
        <v>0.5</v>
      </c>
      <c r="S19" s="27">
        <f t="shared" si="12"/>
        <v>11.16</v>
      </c>
      <c r="T19" s="40">
        <v>44860.0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>
      <c r="A20" s="22">
        <f>SUM(A18+1)</f>
        <v>15</v>
      </c>
      <c r="B20" s="23" t="s">
        <v>47</v>
      </c>
      <c r="C20" s="24" t="s">
        <v>25</v>
      </c>
      <c r="D20" s="25" t="s">
        <v>48</v>
      </c>
      <c r="E20" s="42">
        <v>5.0</v>
      </c>
      <c r="F20" s="27">
        <f t="shared" si="1"/>
        <v>41</v>
      </c>
      <c r="G20" s="28">
        <f t="shared" si="2"/>
        <v>0.05050505051</v>
      </c>
      <c r="H20" s="28">
        <f t="shared" si="3"/>
        <v>0.05050505051</v>
      </c>
      <c r="I20" s="29">
        <f t="shared" si="4"/>
        <v>4</v>
      </c>
      <c r="J20" s="27">
        <f t="shared" si="5"/>
        <v>27</v>
      </c>
      <c r="K20" s="40">
        <v>44862.0</v>
      </c>
      <c r="L20" s="31">
        <f>IF(C20="Complete",E20,0)</f>
        <v>5</v>
      </c>
      <c r="M20" s="27">
        <f t="shared" si="7"/>
        <v>38</v>
      </c>
      <c r="N20" s="32">
        <f t="shared" si="8"/>
        <v>0.3838383838</v>
      </c>
      <c r="O20" s="31">
        <f t="shared" si="9"/>
        <v>5</v>
      </c>
      <c r="P20" s="27">
        <f t="shared" si="10"/>
        <v>41</v>
      </c>
      <c r="Q20" s="32">
        <f t="shared" si="11"/>
        <v>0.4141414141</v>
      </c>
      <c r="R20" s="33">
        <v>0.5</v>
      </c>
      <c r="S20" s="27">
        <f t="shared" si="12"/>
        <v>11.66</v>
      </c>
      <c r="T20" s="40">
        <v>44862.0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>
      <c r="A21" s="22"/>
      <c r="B21" s="23" t="s">
        <v>49</v>
      </c>
      <c r="C21" s="24" t="s">
        <v>25</v>
      </c>
      <c r="D21" s="25" t="s">
        <v>30</v>
      </c>
      <c r="E21" s="42">
        <v>2.0</v>
      </c>
      <c r="F21" s="27">
        <f t="shared" si="1"/>
        <v>43</v>
      </c>
      <c r="G21" s="28">
        <f t="shared" si="2"/>
        <v>0.0202020202</v>
      </c>
      <c r="H21" s="28">
        <f t="shared" si="3"/>
        <v>0.0202020202</v>
      </c>
      <c r="I21" s="29">
        <f t="shared" si="4"/>
        <v>1</v>
      </c>
      <c r="J21" s="27">
        <f t="shared" si="5"/>
        <v>28</v>
      </c>
      <c r="K21" s="40">
        <v>44863.0</v>
      </c>
      <c r="L21" s="33">
        <v>1.0</v>
      </c>
      <c r="M21" s="27">
        <f t="shared" si="7"/>
        <v>39</v>
      </c>
      <c r="N21" s="32">
        <f t="shared" si="8"/>
        <v>0.3939393939</v>
      </c>
      <c r="O21" s="31">
        <f t="shared" si="9"/>
        <v>2</v>
      </c>
      <c r="P21" s="27">
        <f t="shared" si="10"/>
        <v>43</v>
      </c>
      <c r="Q21" s="32">
        <f t="shared" si="11"/>
        <v>0.4343434343</v>
      </c>
      <c r="R21" s="33">
        <v>0.5</v>
      </c>
      <c r="S21" s="27">
        <f t="shared" si="12"/>
        <v>12.16</v>
      </c>
      <c r="T21" s="40">
        <v>44863.0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>
      <c r="A22" s="22"/>
      <c r="B22" s="23" t="s">
        <v>50</v>
      </c>
      <c r="C22" s="24" t="s">
        <v>25</v>
      </c>
      <c r="D22" s="25" t="s">
        <v>48</v>
      </c>
      <c r="E22" s="42">
        <v>5.0</v>
      </c>
      <c r="F22" s="27">
        <f t="shared" si="1"/>
        <v>48</v>
      </c>
      <c r="G22" s="28">
        <f t="shared" si="2"/>
        <v>0.05050505051</v>
      </c>
      <c r="H22" s="28">
        <f t="shared" si="3"/>
        <v>0.05050505051</v>
      </c>
      <c r="I22" s="29">
        <f t="shared" si="4"/>
        <v>4</v>
      </c>
      <c r="J22" s="27">
        <f t="shared" si="5"/>
        <v>32</v>
      </c>
      <c r="K22" s="43" t="s">
        <v>51</v>
      </c>
      <c r="L22" s="33">
        <v>3.0</v>
      </c>
      <c r="M22" s="27">
        <f t="shared" si="7"/>
        <v>42</v>
      </c>
      <c r="N22" s="32">
        <f t="shared" si="8"/>
        <v>0.4242424242</v>
      </c>
      <c r="O22" s="31">
        <f t="shared" si="9"/>
        <v>5</v>
      </c>
      <c r="P22" s="27">
        <f t="shared" si="10"/>
        <v>48</v>
      </c>
      <c r="Q22" s="32">
        <f t="shared" si="11"/>
        <v>0.4848484848</v>
      </c>
      <c r="R22" s="33">
        <v>1.0</v>
      </c>
      <c r="S22" s="27">
        <f t="shared" si="12"/>
        <v>13.16</v>
      </c>
      <c r="T22" s="40">
        <v>44865.0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>
      <c r="A23" s="22"/>
      <c r="B23" s="23" t="s">
        <v>52</v>
      </c>
      <c r="C23" s="24" t="s">
        <v>25</v>
      </c>
      <c r="D23" s="25" t="s">
        <v>30</v>
      </c>
      <c r="E23" s="42">
        <v>3.0</v>
      </c>
      <c r="F23" s="27">
        <f t="shared" si="1"/>
        <v>51</v>
      </c>
      <c r="G23" s="28">
        <f t="shared" si="2"/>
        <v>0.0303030303</v>
      </c>
      <c r="H23" s="28">
        <f t="shared" si="3"/>
        <v>0.0303030303</v>
      </c>
      <c r="I23" s="29">
        <f t="shared" si="4"/>
        <v>2</v>
      </c>
      <c r="J23" s="27">
        <f t="shared" si="5"/>
        <v>34</v>
      </c>
      <c r="K23" s="40">
        <v>44866.0</v>
      </c>
      <c r="L23" s="33">
        <v>3.0</v>
      </c>
      <c r="M23" s="27">
        <f t="shared" si="7"/>
        <v>45</v>
      </c>
      <c r="N23" s="32">
        <f t="shared" si="8"/>
        <v>0.4545454545</v>
      </c>
      <c r="O23" s="31">
        <f t="shared" si="9"/>
        <v>3</v>
      </c>
      <c r="P23" s="27">
        <f t="shared" si="10"/>
        <v>51</v>
      </c>
      <c r="Q23" s="32">
        <f t="shared" si="11"/>
        <v>0.5151515152</v>
      </c>
      <c r="R23" s="33">
        <v>1.0</v>
      </c>
      <c r="S23" s="27">
        <f t="shared" si="12"/>
        <v>14.16</v>
      </c>
      <c r="T23" s="40">
        <v>44866.0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>
      <c r="A24" s="22"/>
      <c r="B24" s="23" t="s">
        <v>53</v>
      </c>
      <c r="C24" s="24" t="s">
        <v>25</v>
      </c>
      <c r="D24" s="25" t="s">
        <v>48</v>
      </c>
      <c r="E24" s="42">
        <v>2.0</v>
      </c>
      <c r="F24" s="27">
        <f t="shared" si="1"/>
        <v>53</v>
      </c>
      <c r="G24" s="28">
        <f t="shared" si="2"/>
        <v>0.0202020202</v>
      </c>
      <c r="H24" s="28">
        <f t="shared" si="3"/>
        <v>0.0202020202</v>
      </c>
      <c r="I24" s="29">
        <f t="shared" si="4"/>
        <v>1</v>
      </c>
      <c r="J24" s="27">
        <f t="shared" si="5"/>
        <v>35</v>
      </c>
      <c r="K24" s="40">
        <v>44866.0</v>
      </c>
      <c r="L24" s="33">
        <v>3.0</v>
      </c>
      <c r="M24" s="27">
        <f t="shared" si="7"/>
        <v>48</v>
      </c>
      <c r="N24" s="32">
        <f t="shared" si="8"/>
        <v>0.4848484848</v>
      </c>
      <c r="O24" s="31">
        <f t="shared" si="9"/>
        <v>2</v>
      </c>
      <c r="P24" s="27">
        <f t="shared" si="10"/>
        <v>53</v>
      </c>
      <c r="Q24" s="32">
        <f t="shared" si="11"/>
        <v>0.5353535354</v>
      </c>
      <c r="R24" s="33">
        <v>1.0</v>
      </c>
      <c r="S24" s="27">
        <f t="shared" si="12"/>
        <v>15.16</v>
      </c>
      <c r="T24" s="40">
        <v>44866.0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>
      <c r="A25" s="22">
        <f>SUM(A20+1)</f>
        <v>16</v>
      </c>
      <c r="B25" s="23" t="s">
        <v>54</v>
      </c>
      <c r="C25" s="24" t="s">
        <v>55</v>
      </c>
      <c r="D25" s="3"/>
      <c r="E25" s="42">
        <v>3.0</v>
      </c>
      <c r="F25" s="27">
        <f t="shared" si="1"/>
        <v>56</v>
      </c>
      <c r="G25" s="28">
        <f t="shared" si="2"/>
        <v>0.0303030303</v>
      </c>
      <c r="H25" s="28">
        <f t="shared" si="3"/>
        <v>0.0303030303</v>
      </c>
      <c r="I25" s="29">
        <f t="shared" si="4"/>
        <v>2</v>
      </c>
      <c r="J25" s="27">
        <f t="shared" si="5"/>
        <v>37</v>
      </c>
      <c r="K25" s="40">
        <v>44869.0</v>
      </c>
      <c r="L25" s="31">
        <f t="shared" ref="L25:L31" si="14">IF(C25="Complete",E25,0)</f>
        <v>0</v>
      </c>
      <c r="M25" s="27">
        <f t="shared" si="7"/>
        <v>48</v>
      </c>
      <c r="N25" s="32">
        <f t="shared" si="8"/>
        <v>0.4848484848</v>
      </c>
      <c r="O25" s="31">
        <f t="shared" si="9"/>
        <v>0</v>
      </c>
      <c r="P25" s="27">
        <f t="shared" si="10"/>
        <v>53</v>
      </c>
      <c r="Q25" s="32">
        <f t="shared" si="11"/>
        <v>0.5353535354</v>
      </c>
      <c r="R25" s="31"/>
      <c r="S25" s="27">
        <f t="shared" si="12"/>
        <v>15.16</v>
      </c>
      <c r="T25" s="40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>
      <c r="A26" s="22">
        <f t="shared" ref="A26:A66" si="15">SUM(A25+1)</f>
        <v>17</v>
      </c>
      <c r="B26" s="23" t="s">
        <v>56</v>
      </c>
      <c r="C26" s="24" t="s">
        <v>57</v>
      </c>
      <c r="D26" s="3"/>
      <c r="E26" s="26">
        <v>2.0</v>
      </c>
      <c r="F26" s="27">
        <f t="shared" si="1"/>
        <v>58</v>
      </c>
      <c r="G26" s="28">
        <f t="shared" si="2"/>
        <v>0.0202020202</v>
      </c>
      <c r="H26" s="28">
        <f t="shared" si="3"/>
        <v>0.0202020202</v>
      </c>
      <c r="I26" s="29">
        <f t="shared" si="4"/>
        <v>1</v>
      </c>
      <c r="J26" s="27">
        <f t="shared" si="5"/>
        <v>38</v>
      </c>
      <c r="K26" s="40">
        <v>44869.0</v>
      </c>
      <c r="L26" s="31">
        <f t="shared" si="14"/>
        <v>0</v>
      </c>
      <c r="M26" s="27">
        <f t="shared" si="7"/>
        <v>48</v>
      </c>
      <c r="N26" s="32">
        <f t="shared" si="8"/>
        <v>0.4848484848</v>
      </c>
      <c r="O26" s="31">
        <f t="shared" si="9"/>
        <v>0</v>
      </c>
      <c r="P26" s="27">
        <f t="shared" si="10"/>
        <v>53</v>
      </c>
      <c r="Q26" s="32">
        <f t="shared" si="11"/>
        <v>0.5353535354</v>
      </c>
      <c r="R26" s="31"/>
      <c r="S26" s="27">
        <f t="shared" si="12"/>
        <v>15.16</v>
      </c>
      <c r="T26" s="40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>
      <c r="A27" s="22">
        <f t="shared" si="15"/>
        <v>18</v>
      </c>
      <c r="B27" s="23" t="s">
        <v>58</v>
      </c>
      <c r="C27" s="24" t="s">
        <v>55</v>
      </c>
      <c r="D27" s="3"/>
      <c r="E27" s="26">
        <v>1.0</v>
      </c>
      <c r="F27" s="27">
        <f t="shared" si="1"/>
        <v>59</v>
      </c>
      <c r="G27" s="28">
        <f t="shared" si="2"/>
        <v>0.0101010101</v>
      </c>
      <c r="H27" s="28">
        <f t="shared" si="3"/>
        <v>0.0101010101</v>
      </c>
      <c r="I27" s="29">
        <f t="shared" si="4"/>
        <v>0.5</v>
      </c>
      <c r="J27" s="27">
        <f t="shared" si="5"/>
        <v>38.5</v>
      </c>
      <c r="K27" s="40">
        <v>44869.0</v>
      </c>
      <c r="L27" s="31">
        <f t="shared" si="14"/>
        <v>0</v>
      </c>
      <c r="M27" s="27">
        <f t="shared" si="7"/>
        <v>48</v>
      </c>
      <c r="N27" s="32">
        <f t="shared" si="8"/>
        <v>0.4848484848</v>
      </c>
      <c r="O27" s="31">
        <f t="shared" si="9"/>
        <v>0</v>
      </c>
      <c r="P27" s="27">
        <f t="shared" si="10"/>
        <v>53</v>
      </c>
      <c r="Q27" s="32">
        <f t="shared" si="11"/>
        <v>0.5353535354</v>
      </c>
      <c r="R27" s="31"/>
      <c r="S27" s="27">
        <f t="shared" si="12"/>
        <v>15.16</v>
      </c>
      <c r="T27" s="40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>
      <c r="A28" s="22">
        <f t="shared" si="15"/>
        <v>19</v>
      </c>
      <c r="B28" s="23" t="s">
        <v>59</v>
      </c>
      <c r="C28" s="24" t="s">
        <v>55</v>
      </c>
      <c r="D28" s="3"/>
      <c r="E28" s="26">
        <v>3.0</v>
      </c>
      <c r="F28" s="27">
        <f t="shared" si="1"/>
        <v>62</v>
      </c>
      <c r="G28" s="28">
        <f t="shared" si="2"/>
        <v>0.0303030303</v>
      </c>
      <c r="H28" s="28">
        <f t="shared" si="3"/>
        <v>0.0303030303</v>
      </c>
      <c r="I28" s="29">
        <f t="shared" si="4"/>
        <v>2</v>
      </c>
      <c r="J28" s="27">
        <f t="shared" si="5"/>
        <v>40.5</v>
      </c>
      <c r="K28" s="40">
        <v>44869.0</v>
      </c>
      <c r="L28" s="31">
        <f t="shared" si="14"/>
        <v>0</v>
      </c>
      <c r="M28" s="27">
        <f t="shared" si="7"/>
        <v>48</v>
      </c>
      <c r="N28" s="32">
        <f t="shared" si="8"/>
        <v>0.4848484848</v>
      </c>
      <c r="O28" s="31">
        <f t="shared" si="9"/>
        <v>0</v>
      </c>
      <c r="P28" s="27">
        <f t="shared" si="10"/>
        <v>53</v>
      </c>
      <c r="Q28" s="32">
        <f t="shared" si="11"/>
        <v>0.5353535354</v>
      </c>
      <c r="R28" s="31"/>
      <c r="S28" s="27">
        <f t="shared" si="12"/>
        <v>15.16</v>
      </c>
      <c r="T28" s="40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>
      <c r="A29" s="22">
        <f t="shared" si="15"/>
        <v>20</v>
      </c>
      <c r="B29" s="23" t="s">
        <v>60</v>
      </c>
      <c r="C29" s="24" t="s">
        <v>55</v>
      </c>
      <c r="D29" s="3"/>
      <c r="E29" s="26">
        <v>2.0</v>
      </c>
      <c r="F29" s="27">
        <f t="shared" si="1"/>
        <v>64</v>
      </c>
      <c r="G29" s="28">
        <f t="shared" si="2"/>
        <v>0.0202020202</v>
      </c>
      <c r="H29" s="28">
        <f t="shared" si="3"/>
        <v>0.0202020202</v>
      </c>
      <c r="I29" s="29">
        <f t="shared" si="4"/>
        <v>1</v>
      </c>
      <c r="J29" s="27">
        <f t="shared" si="5"/>
        <v>41.5</v>
      </c>
      <c r="K29" s="40">
        <v>44869.0</v>
      </c>
      <c r="L29" s="31">
        <f t="shared" si="14"/>
        <v>0</v>
      </c>
      <c r="M29" s="27">
        <f t="shared" si="7"/>
        <v>48</v>
      </c>
      <c r="N29" s="32">
        <f t="shared" si="8"/>
        <v>0.4848484848</v>
      </c>
      <c r="O29" s="31">
        <f t="shared" si="9"/>
        <v>0</v>
      </c>
      <c r="P29" s="27">
        <f t="shared" si="10"/>
        <v>53</v>
      </c>
      <c r="Q29" s="32">
        <f t="shared" si="11"/>
        <v>0.5353535354</v>
      </c>
      <c r="R29" s="31"/>
      <c r="S29" s="27">
        <f t="shared" si="12"/>
        <v>15.16</v>
      </c>
      <c r="T29" s="40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>
      <c r="A30" s="22">
        <f t="shared" si="15"/>
        <v>21</v>
      </c>
      <c r="B30" s="23" t="s">
        <v>61</v>
      </c>
      <c r="C30" s="24" t="s">
        <v>55</v>
      </c>
      <c r="D30" s="3"/>
      <c r="E30" s="26">
        <v>3.0</v>
      </c>
      <c r="F30" s="27">
        <f t="shared" si="1"/>
        <v>67</v>
      </c>
      <c r="G30" s="28">
        <f t="shared" si="2"/>
        <v>0.0303030303</v>
      </c>
      <c r="H30" s="28">
        <f t="shared" si="3"/>
        <v>0.0303030303</v>
      </c>
      <c r="I30" s="29">
        <f t="shared" si="4"/>
        <v>2</v>
      </c>
      <c r="J30" s="27">
        <f t="shared" si="5"/>
        <v>43.5</v>
      </c>
      <c r="K30" s="40">
        <v>44869.0</v>
      </c>
      <c r="L30" s="31">
        <f t="shared" si="14"/>
        <v>0</v>
      </c>
      <c r="M30" s="27">
        <f t="shared" si="7"/>
        <v>48</v>
      </c>
      <c r="N30" s="32">
        <f t="shared" si="8"/>
        <v>0.4848484848</v>
      </c>
      <c r="O30" s="31">
        <f t="shared" si="9"/>
        <v>0</v>
      </c>
      <c r="P30" s="27">
        <f t="shared" si="10"/>
        <v>53</v>
      </c>
      <c r="Q30" s="32">
        <f t="shared" si="11"/>
        <v>0.5353535354</v>
      </c>
      <c r="R30" s="31"/>
      <c r="S30" s="27">
        <f t="shared" si="12"/>
        <v>15.16</v>
      </c>
      <c r="T30" s="40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>
      <c r="A31" s="22">
        <f t="shared" si="15"/>
        <v>22</v>
      </c>
      <c r="B31" s="23" t="s">
        <v>62</v>
      </c>
      <c r="C31" s="24" t="s">
        <v>55</v>
      </c>
      <c r="D31" s="3"/>
      <c r="E31" s="26">
        <v>2.0</v>
      </c>
      <c r="F31" s="27">
        <f t="shared" si="1"/>
        <v>69</v>
      </c>
      <c r="G31" s="28">
        <f t="shared" si="2"/>
        <v>0.0202020202</v>
      </c>
      <c r="H31" s="28">
        <f t="shared" si="3"/>
        <v>0.0202020202</v>
      </c>
      <c r="I31" s="29">
        <f t="shared" si="4"/>
        <v>1</v>
      </c>
      <c r="J31" s="27">
        <f t="shared" si="5"/>
        <v>44.5</v>
      </c>
      <c r="K31" s="40">
        <v>44869.0</v>
      </c>
      <c r="L31" s="31">
        <f t="shared" si="14"/>
        <v>0</v>
      </c>
      <c r="M31" s="27">
        <f t="shared" si="7"/>
        <v>48</v>
      </c>
      <c r="N31" s="32">
        <f t="shared" si="8"/>
        <v>0.4848484848</v>
      </c>
      <c r="O31" s="31">
        <f t="shared" si="9"/>
        <v>0</v>
      </c>
      <c r="P31" s="27">
        <f t="shared" si="10"/>
        <v>53</v>
      </c>
      <c r="Q31" s="32">
        <f t="shared" si="11"/>
        <v>0.5353535354</v>
      </c>
      <c r="R31" s="31"/>
      <c r="S31" s="27">
        <f t="shared" si="12"/>
        <v>15.16</v>
      </c>
      <c r="T31" s="40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>
      <c r="A32" s="22">
        <f t="shared" si="15"/>
        <v>23</v>
      </c>
      <c r="B32" s="23" t="s">
        <v>63</v>
      </c>
      <c r="C32" s="24" t="s">
        <v>55</v>
      </c>
      <c r="D32" s="3"/>
      <c r="E32" s="39">
        <v>1.0</v>
      </c>
      <c r="F32" s="27">
        <f t="shared" si="1"/>
        <v>70</v>
      </c>
      <c r="G32" s="28">
        <f t="shared" si="2"/>
        <v>0.0101010101</v>
      </c>
      <c r="H32" s="28">
        <f t="shared" si="3"/>
        <v>0.0101010101</v>
      </c>
      <c r="I32" s="29">
        <f t="shared" si="4"/>
        <v>0.5</v>
      </c>
      <c r="J32" s="27">
        <f t="shared" si="5"/>
        <v>45</v>
      </c>
      <c r="K32" s="40">
        <v>44869.0</v>
      </c>
      <c r="L32" s="31">
        <f t="shared" ref="L32:L33" si="16">IF(C32="Complete",E33,0)</f>
        <v>0</v>
      </c>
      <c r="M32" s="27">
        <f t="shared" si="7"/>
        <v>48</v>
      </c>
      <c r="N32" s="32">
        <f t="shared" ref="N32:N66" si="17">M32/$F$66</f>
        <v>0.4848484848</v>
      </c>
      <c r="O32" s="31">
        <f t="shared" si="9"/>
        <v>0</v>
      </c>
      <c r="P32" s="27">
        <f t="shared" si="10"/>
        <v>53</v>
      </c>
      <c r="Q32" s="32">
        <f t="shared" si="11"/>
        <v>0.5353535354</v>
      </c>
      <c r="R32" s="31"/>
      <c r="S32" s="27">
        <f t="shared" si="12"/>
        <v>15.16</v>
      </c>
      <c r="T32" s="40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>
      <c r="A33" s="22">
        <f t="shared" si="15"/>
        <v>24</v>
      </c>
      <c r="B33" s="23" t="s">
        <v>64</v>
      </c>
      <c r="C33" s="24" t="s">
        <v>55</v>
      </c>
      <c r="D33" s="3"/>
      <c r="E33" s="26">
        <v>3.0</v>
      </c>
      <c r="F33" s="27">
        <f t="shared" si="1"/>
        <v>73</v>
      </c>
      <c r="G33" s="28">
        <f t="shared" si="2"/>
        <v>0.0303030303</v>
      </c>
      <c r="H33" s="28">
        <f t="shared" si="3"/>
        <v>0.0303030303</v>
      </c>
      <c r="I33" s="29">
        <f t="shared" si="4"/>
        <v>2</v>
      </c>
      <c r="J33" s="27">
        <f t="shared" si="5"/>
        <v>47</v>
      </c>
      <c r="K33" s="40">
        <v>44869.0</v>
      </c>
      <c r="L33" s="31">
        <f t="shared" si="16"/>
        <v>0</v>
      </c>
      <c r="M33" s="27">
        <f t="shared" si="7"/>
        <v>48</v>
      </c>
      <c r="N33" s="32">
        <f t="shared" si="17"/>
        <v>0.4848484848</v>
      </c>
      <c r="O33" s="31">
        <f t="shared" si="9"/>
        <v>0</v>
      </c>
      <c r="P33" s="27">
        <f t="shared" si="10"/>
        <v>53</v>
      </c>
      <c r="Q33" s="32">
        <f t="shared" si="11"/>
        <v>0.5353535354</v>
      </c>
      <c r="R33" s="31"/>
      <c r="S33" s="27">
        <f t="shared" si="12"/>
        <v>15.16</v>
      </c>
      <c r="T33" s="40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>
      <c r="A34" s="22">
        <f t="shared" si="15"/>
        <v>25</v>
      </c>
      <c r="B34" s="38" t="s">
        <v>65</v>
      </c>
      <c r="C34" s="24" t="s">
        <v>55</v>
      </c>
      <c r="D34" s="3"/>
      <c r="E34" s="26">
        <v>2.0</v>
      </c>
      <c r="F34" s="27">
        <f t="shared" si="1"/>
        <v>75</v>
      </c>
      <c r="G34" s="28">
        <f t="shared" si="2"/>
        <v>0.0202020202</v>
      </c>
      <c r="H34" s="28">
        <f t="shared" si="3"/>
        <v>0.0202020202</v>
      </c>
      <c r="I34" s="29">
        <f t="shared" si="4"/>
        <v>1</v>
      </c>
      <c r="J34" s="27">
        <f t="shared" si="5"/>
        <v>48</v>
      </c>
      <c r="K34" s="40">
        <v>44869.0</v>
      </c>
      <c r="L34" s="31">
        <f>IF(C34="Complete",#REF!,0)</f>
        <v>0</v>
      </c>
      <c r="M34" s="27">
        <f t="shared" si="7"/>
        <v>48</v>
      </c>
      <c r="N34" s="32">
        <f t="shared" si="17"/>
        <v>0.4848484848</v>
      </c>
      <c r="O34" s="31">
        <f t="shared" si="9"/>
        <v>0</v>
      </c>
      <c r="P34" s="27">
        <f t="shared" si="10"/>
        <v>53</v>
      </c>
      <c r="Q34" s="32">
        <f t="shared" si="11"/>
        <v>0.5353535354</v>
      </c>
      <c r="R34" s="31"/>
      <c r="S34" s="27">
        <f t="shared" si="12"/>
        <v>15.16</v>
      </c>
      <c r="T34" s="40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>
      <c r="A35" s="22">
        <f t="shared" si="15"/>
        <v>26</v>
      </c>
      <c r="B35" s="23" t="s">
        <v>66</v>
      </c>
      <c r="C35" s="24" t="s">
        <v>55</v>
      </c>
      <c r="D35" s="3"/>
      <c r="E35" s="26">
        <v>3.0</v>
      </c>
      <c r="F35" s="27">
        <f t="shared" si="1"/>
        <v>78</v>
      </c>
      <c r="G35" s="28">
        <f t="shared" si="2"/>
        <v>0.0303030303</v>
      </c>
      <c r="H35" s="28">
        <f t="shared" si="3"/>
        <v>0.0303030303</v>
      </c>
      <c r="I35" s="29">
        <f t="shared" si="4"/>
        <v>2</v>
      </c>
      <c r="J35" s="27">
        <f t="shared" si="5"/>
        <v>50</v>
      </c>
      <c r="K35" s="40">
        <v>44876.0</v>
      </c>
      <c r="L35" s="31">
        <f t="shared" ref="L35:L66" si="18">IF(C35="Complete",E35,0)</f>
        <v>0</v>
      </c>
      <c r="M35" s="27">
        <f t="shared" si="7"/>
        <v>48</v>
      </c>
      <c r="N35" s="32">
        <f t="shared" si="17"/>
        <v>0.4848484848</v>
      </c>
      <c r="O35" s="31">
        <f t="shared" si="9"/>
        <v>0</v>
      </c>
      <c r="P35" s="27">
        <f t="shared" si="10"/>
        <v>53</v>
      </c>
      <c r="Q35" s="32">
        <f t="shared" si="11"/>
        <v>0.5353535354</v>
      </c>
      <c r="R35" s="31"/>
      <c r="S35" s="27">
        <f t="shared" si="12"/>
        <v>15.16</v>
      </c>
      <c r="T35" s="40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>
      <c r="A36" s="22">
        <f t="shared" si="15"/>
        <v>27</v>
      </c>
      <c r="B36" s="23" t="s">
        <v>67</v>
      </c>
      <c r="C36" s="24" t="s">
        <v>55</v>
      </c>
      <c r="D36" s="3"/>
      <c r="E36" s="26">
        <v>2.0</v>
      </c>
      <c r="F36" s="27">
        <f t="shared" si="1"/>
        <v>80</v>
      </c>
      <c r="G36" s="28">
        <f t="shared" si="2"/>
        <v>0.0202020202</v>
      </c>
      <c r="H36" s="28">
        <f t="shared" si="3"/>
        <v>0.0202020202</v>
      </c>
      <c r="I36" s="29">
        <f t="shared" si="4"/>
        <v>1</v>
      </c>
      <c r="J36" s="27">
        <f t="shared" si="5"/>
        <v>51</v>
      </c>
      <c r="K36" s="40">
        <v>44876.0</v>
      </c>
      <c r="L36" s="31">
        <f t="shared" si="18"/>
        <v>0</v>
      </c>
      <c r="M36" s="27">
        <f t="shared" si="7"/>
        <v>48</v>
      </c>
      <c r="N36" s="32">
        <f t="shared" si="17"/>
        <v>0.4848484848</v>
      </c>
      <c r="O36" s="31">
        <f t="shared" si="9"/>
        <v>0</v>
      </c>
      <c r="P36" s="27">
        <f t="shared" si="10"/>
        <v>53</v>
      </c>
      <c r="Q36" s="32">
        <f t="shared" si="11"/>
        <v>0.5353535354</v>
      </c>
      <c r="R36" s="31"/>
      <c r="S36" s="27">
        <f t="shared" si="12"/>
        <v>15.16</v>
      </c>
      <c r="T36" s="40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>
      <c r="A37" s="22">
        <f t="shared" si="15"/>
        <v>28</v>
      </c>
      <c r="B37" s="23" t="s">
        <v>68</v>
      </c>
      <c r="C37" s="24" t="s">
        <v>55</v>
      </c>
      <c r="D37" s="3"/>
      <c r="E37" s="39">
        <v>1.0</v>
      </c>
      <c r="F37" s="27">
        <f t="shared" si="1"/>
        <v>81</v>
      </c>
      <c r="G37" s="28">
        <f t="shared" si="2"/>
        <v>0.0101010101</v>
      </c>
      <c r="H37" s="28">
        <f t="shared" si="3"/>
        <v>0.0101010101</v>
      </c>
      <c r="I37" s="29">
        <f t="shared" si="4"/>
        <v>0.5</v>
      </c>
      <c r="J37" s="27">
        <f t="shared" si="5"/>
        <v>51.5</v>
      </c>
      <c r="K37" s="40">
        <v>44876.0</v>
      </c>
      <c r="L37" s="31">
        <f t="shared" si="18"/>
        <v>0</v>
      </c>
      <c r="M37" s="27">
        <f t="shared" si="7"/>
        <v>48</v>
      </c>
      <c r="N37" s="32">
        <f t="shared" si="17"/>
        <v>0.4848484848</v>
      </c>
      <c r="O37" s="31">
        <f t="shared" si="9"/>
        <v>0</v>
      </c>
      <c r="P37" s="27">
        <f t="shared" si="10"/>
        <v>53</v>
      </c>
      <c r="Q37" s="32">
        <f t="shared" si="11"/>
        <v>0.5353535354</v>
      </c>
      <c r="R37" s="31"/>
      <c r="S37" s="27">
        <f t="shared" si="12"/>
        <v>15.16</v>
      </c>
      <c r="T37" s="40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>
      <c r="A38" s="22">
        <f t="shared" si="15"/>
        <v>29</v>
      </c>
      <c r="B38" s="23" t="s">
        <v>69</v>
      </c>
      <c r="C38" s="24" t="s">
        <v>55</v>
      </c>
      <c r="D38" s="3"/>
      <c r="E38" s="26">
        <v>3.0</v>
      </c>
      <c r="F38" s="27">
        <f t="shared" si="1"/>
        <v>84</v>
      </c>
      <c r="G38" s="28">
        <f t="shared" si="2"/>
        <v>0.0303030303</v>
      </c>
      <c r="H38" s="28">
        <f t="shared" si="3"/>
        <v>0.0303030303</v>
      </c>
      <c r="I38" s="29">
        <f t="shared" si="4"/>
        <v>2</v>
      </c>
      <c r="J38" s="27">
        <f t="shared" si="5"/>
        <v>53.5</v>
      </c>
      <c r="K38" s="40">
        <v>44876.0</v>
      </c>
      <c r="L38" s="31">
        <f t="shared" si="18"/>
        <v>0</v>
      </c>
      <c r="M38" s="27">
        <f t="shared" si="7"/>
        <v>48</v>
      </c>
      <c r="N38" s="32">
        <f t="shared" si="17"/>
        <v>0.4848484848</v>
      </c>
      <c r="O38" s="31">
        <f t="shared" si="9"/>
        <v>0</v>
      </c>
      <c r="P38" s="27">
        <f t="shared" si="10"/>
        <v>53</v>
      </c>
      <c r="Q38" s="32">
        <f t="shared" si="11"/>
        <v>0.5353535354</v>
      </c>
      <c r="R38" s="31"/>
      <c r="S38" s="27">
        <f t="shared" si="12"/>
        <v>15.16</v>
      </c>
      <c r="T38" s="40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>
      <c r="A39" s="22">
        <f t="shared" si="15"/>
        <v>30</v>
      </c>
      <c r="B39" s="38" t="s">
        <v>70</v>
      </c>
      <c r="C39" s="24" t="s">
        <v>55</v>
      </c>
      <c r="D39" s="3"/>
      <c r="E39" s="26">
        <v>2.0</v>
      </c>
      <c r="F39" s="27">
        <f t="shared" si="1"/>
        <v>86</v>
      </c>
      <c r="G39" s="28">
        <f t="shared" si="2"/>
        <v>0.0202020202</v>
      </c>
      <c r="H39" s="28">
        <f t="shared" si="3"/>
        <v>0.0202020202</v>
      </c>
      <c r="I39" s="29">
        <f t="shared" si="4"/>
        <v>1</v>
      </c>
      <c r="J39" s="27">
        <f t="shared" si="5"/>
        <v>54.5</v>
      </c>
      <c r="K39" s="40">
        <v>44876.0</v>
      </c>
      <c r="L39" s="31">
        <f t="shared" si="18"/>
        <v>0</v>
      </c>
      <c r="M39" s="27">
        <f t="shared" si="7"/>
        <v>48</v>
      </c>
      <c r="N39" s="32">
        <f t="shared" si="17"/>
        <v>0.4848484848</v>
      </c>
      <c r="O39" s="31">
        <f t="shared" si="9"/>
        <v>0</v>
      </c>
      <c r="P39" s="27">
        <f t="shared" si="10"/>
        <v>53</v>
      </c>
      <c r="Q39" s="32">
        <f t="shared" si="11"/>
        <v>0.5353535354</v>
      </c>
      <c r="R39" s="31"/>
      <c r="S39" s="27">
        <f t="shared" si="12"/>
        <v>15.16</v>
      </c>
      <c r="T39" s="40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>
      <c r="A40" s="22">
        <f t="shared" si="15"/>
        <v>31</v>
      </c>
      <c r="B40" s="23" t="s">
        <v>71</v>
      </c>
      <c r="C40" s="24" t="s">
        <v>55</v>
      </c>
      <c r="D40" s="3"/>
      <c r="E40" s="42">
        <v>13.0</v>
      </c>
      <c r="F40" s="27">
        <f t="shared" si="1"/>
        <v>99</v>
      </c>
      <c r="G40" s="28">
        <f t="shared" si="2"/>
        <v>0.1313131313</v>
      </c>
      <c r="H40" s="28">
        <f t="shared" si="3"/>
        <v>0.1313131313</v>
      </c>
      <c r="I40" s="29">
        <f t="shared" si="4"/>
        <v>12</v>
      </c>
      <c r="J40" s="27">
        <f t="shared" si="5"/>
        <v>66.5</v>
      </c>
      <c r="K40" s="44"/>
      <c r="L40" s="31">
        <f t="shared" si="18"/>
        <v>0</v>
      </c>
      <c r="M40" s="27">
        <f t="shared" si="7"/>
        <v>48</v>
      </c>
      <c r="N40" s="32">
        <f t="shared" si="17"/>
        <v>0.4848484848</v>
      </c>
      <c r="O40" s="31">
        <f t="shared" si="9"/>
        <v>0</v>
      </c>
      <c r="P40" s="27">
        <f t="shared" si="10"/>
        <v>53</v>
      </c>
      <c r="Q40" s="32">
        <f t="shared" si="11"/>
        <v>0.5353535354</v>
      </c>
      <c r="R40" s="31"/>
      <c r="S40" s="27">
        <f t="shared" si="12"/>
        <v>15.16</v>
      </c>
      <c r="T40" s="45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22">
        <f t="shared" si="15"/>
        <v>32</v>
      </c>
      <c r="B41" s="46"/>
      <c r="C41" s="47"/>
      <c r="D41" s="3"/>
      <c r="E41" s="48"/>
      <c r="F41" s="27">
        <f t="shared" si="1"/>
        <v>99</v>
      </c>
      <c r="G41" s="28">
        <f t="shared" si="2"/>
        <v>0</v>
      </c>
      <c r="H41" s="28">
        <f t="shared" si="3"/>
        <v>0</v>
      </c>
      <c r="I41" s="29">
        <f t="shared" si="4"/>
        <v>0</v>
      </c>
      <c r="J41" s="27">
        <f t="shared" si="5"/>
        <v>66.5</v>
      </c>
      <c r="K41" s="44"/>
      <c r="L41" s="31">
        <f t="shared" si="18"/>
        <v>0</v>
      </c>
      <c r="M41" s="27">
        <f t="shared" si="7"/>
        <v>48</v>
      </c>
      <c r="N41" s="32">
        <f t="shared" si="17"/>
        <v>0.4848484848</v>
      </c>
      <c r="O41" s="31">
        <f t="shared" si="9"/>
        <v>0</v>
      </c>
      <c r="P41" s="27">
        <f t="shared" si="10"/>
        <v>53</v>
      </c>
      <c r="Q41" s="32">
        <f t="shared" si="11"/>
        <v>0.5353535354</v>
      </c>
      <c r="R41" s="31"/>
      <c r="S41" s="27">
        <f t="shared" si="12"/>
        <v>15.16</v>
      </c>
      <c r="T41" s="45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>
      <c r="A42" s="22">
        <f t="shared" si="15"/>
        <v>33</v>
      </c>
      <c r="B42" s="46"/>
      <c r="C42" s="47"/>
      <c r="D42" s="3"/>
      <c r="E42" s="49"/>
      <c r="F42" s="27">
        <f t="shared" si="1"/>
        <v>99</v>
      </c>
      <c r="G42" s="28">
        <f t="shared" si="2"/>
        <v>0</v>
      </c>
      <c r="H42" s="28">
        <f t="shared" si="3"/>
        <v>0</v>
      </c>
      <c r="I42" s="29">
        <f t="shared" si="4"/>
        <v>0</v>
      </c>
      <c r="J42" s="27">
        <f t="shared" si="5"/>
        <v>66.5</v>
      </c>
      <c r="K42" s="44"/>
      <c r="L42" s="31">
        <f t="shared" si="18"/>
        <v>0</v>
      </c>
      <c r="M42" s="27">
        <f t="shared" si="7"/>
        <v>48</v>
      </c>
      <c r="N42" s="32">
        <f t="shared" si="17"/>
        <v>0.4848484848</v>
      </c>
      <c r="O42" s="31">
        <f t="shared" si="9"/>
        <v>0</v>
      </c>
      <c r="P42" s="27">
        <f t="shared" si="10"/>
        <v>53</v>
      </c>
      <c r="Q42" s="32">
        <f t="shared" si="11"/>
        <v>0.5353535354</v>
      </c>
      <c r="R42" s="31"/>
      <c r="S42" s="27">
        <f t="shared" si="12"/>
        <v>15.16</v>
      </c>
      <c r="T42" s="45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>
      <c r="A43" s="22">
        <f t="shared" si="15"/>
        <v>34</v>
      </c>
      <c r="B43" s="46"/>
      <c r="C43" s="47"/>
      <c r="D43" s="3"/>
      <c r="E43" s="49"/>
      <c r="F43" s="27">
        <f t="shared" si="1"/>
        <v>99</v>
      </c>
      <c r="G43" s="28">
        <f t="shared" si="2"/>
        <v>0</v>
      </c>
      <c r="H43" s="28">
        <f t="shared" si="3"/>
        <v>0</v>
      </c>
      <c r="I43" s="29">
        <f t="shared" si="4"/>
        <v>0</v>
      </c>
      <c r="J43" s="27">
        <f t="shared" si="5"/>
        <v>66.5</v>
      </c>
      <c r="K43" s="44"/>
      <c r="L43" s="31">
        <f t="shared" si="18"/>
        <v>0</v>
      </c>
      <c r="M43" s="27">
        <f t="shared" si="7"/>
        <v>48</v>
      </c>
      <c r="N43" s="32">
        <f t="shared" si="17"/>
        <v>0.4848484848</v>
      </c>
      <c r="O43" s="31">
        <f t="shared" si="9"/>
        <v>0</v>
      </c>
      <c r="P43" s="27">
        <f t="shared" si="10"/>
        <v>53</v>
      </c>
      <c r="Q43" s="32">
        <f t="shared" si="11"/>
        <v>0.5353535354</v>
      </c>
      <c r="R43" s="31"/>
      <c r="S43" s="27">
        <f t="shared" si="12"/>
        <v>15.16</v>
      </c>
      <c r="T43" s="45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>
      <c r="A44" s="22">
        <f t="shared" si="15"/>
        <v>35</v>
      </c>
      <c r="B44" s="46"/>
      <c r="C44" s="47"/>
      <c r="D44" s="3"/>
      <c r="E44" s="48"/>
      <c r="F44" s="27">
        <f t="shared" si="1"/>
        <v>99</v>
      </c>
      <c r="G44" s="28">
        <f t="shared" si="2"/>
        <v>0</v>
      </c>
      <c r="H44" s="28">
        <f t="shared" si="3"/>
        <v>0</v>
      </c>
      <c r="I44" s="29">
        <f t="shared" si="4"/>
        <v>0</v>
      </c>
      <c r="J44" s="27">
        <f t="shared" si="5"/>
        <v>66.5</v>
      </c>
      <c r="K44" s="44"/>
      <c r="L44" s="31">
        <f t="shared" si="18"/>
        <v>0</v>
      </c>
      <c r="M44" s="27">
        <f t="shared" si="7"/>
        <v>48</v>
      </c>
      <c r="N44" s="32">
        <f t="shared" si="17"/>
        <v>0.4848484848</v>
      </c>
      <c r="O44" s="31">
        <f t="shared" si="9"/>
        <v>0</v>
      </c>
      <c r="P44" s="27">
        <f t="shared" si="10"/>
        <v>53</v>
      </c>
      <c r="Q44" s="32">
        <f t="shared" si="11"/>
        <v>0.5353535354</v>
      </c>
      <c r="R44" s="31"/>
      <c r="S44" s="27">
        <f t="shared" si="12"/>
        <v>15.16</v>
      </c>
      <c r="T44" s="45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>
      <c r="A45" s="22">
        <f t="shared" si="15"/>
        <v>36</v>
      </c>
      <c r="B45" s="46"/>
      <c r="C45" s="47"/>
      <c r="D45" s="3"/>
      <c r="E45" s="48"/>
      <c r="F45" s="27">
        <f t="shared" si="1"/>
        <v>99</v>
      </c>
      <c r="G45" s="28">
        <f t="shared" si="2"/>
        <v>0</v>
      </c>
      <c r="H45" s="28">
        <f t="shared" si="3"/>
        <v>0</v>
      </c>
      <c r="I45" s="29">
        <f t="shared" si="4"/>
        <v>0</v>
      </c>
      <c r="J45" s="27">
        <f t="shared" si="5"/>
        <v>66.5</v>
      </c>
      <c r="K45" s="44"/>
      <c r="L45" s="31">
        <f t="shared" si="18"/>
        <v>0</v>
      </c>
      <c r="M45" s="27">
        <f t="shared" si="7"/>
        <v>48</v>
      </c>
      <c r="N45" s="32">
        <f t="shared" si="17"/>
        <v>0.4848484848</v>
      </c>
      <c r="O45" s="31">
        <f t="shared" si="9"/>
        <v>0</v>
      </c>
      <c r="P45" s="27">
        <f t="shared" si="10"/>
        <v>53</v>
      </c>
      <c r="Q45" s="32">
        <f t="shared" si="11"/>
        <v>0.5353535354</v>
      </c>
      <c r="R45" s="31"/>
      <c r="S45" s="27">
        <f t="shared" si="12"/>
        <v>15.16</v>
      </c>
      <c r="T45" s="45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>
      <c r="A46" s="22">
        <f t="shared" si="15"/>
        <v>37</v>
      </c>
      <c r="B46" s="46"/>
      <c r="C46" s="47"/>
      <c r="D46" s="3"/>
      <c r="E46" s="48"/>
      <c r="F46" s="27">
        <f t="shared" si="1"/>
        <v>99</v>
      </c>
      <c r="G46" s="28">
        <f t="shared" si="2"/>
        <v>0</v>
      </c>
      <c r="H46" s="28">
        <f t="shared" si="3"/>
        <v>0</v>
      </c>
      <c r="I46" s="29">
        <f t="shared" si="4"/>
        <v>0</v>
      </c>
      <c r="J46" s="27">
        <f t="shared" si="5"/>
        <v>66.5</v>
      </c>
      <c r="K46" s="44"/>
      <c r="L46" s="31">
        <f t="shared" si="18"/>
        <v>0</v>
      </c>
      <c r="M46" s="27">
        <f t="shared" si="7"/>
        <v>48</v>
      </c>
      <c r="N46" s="32">
        <f t="shared" si="17"/>
        <v>0.4848484848</v>
      </c>
      <c r="O46" s="31">
        <f t="shared" si="9"/>
        <v>0</v>
      </c>
      <c r="P46" s="27">
        <f t="shared" si="10"/>
        <v>53</v>
      </c>
      <c r="Q46" s="32">
        <f t="shared" si="11"/>
        <v>0.5353535354</v>
      </c>
      <c r="R46" s="31"/>
      <c r="S46" s="27">
        <f t="shared" si="12"/>
        <v>15.16</v>
      </c>
      <c r="T46" s="45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>
      <c r="A47" s="22">
        <f t="shared" si="15"/>
        <v>38</v>
      </c>
      <c r="B47" s="46"/>
      <c r="C47" s="47"/>
      <c r="D47" s="3"/>
      <c r="E47" s="48"/>
      <c r="F47" s="27">
        <f t="shared" si="1"/>
        <v>99</v>
      </c>
      <c r="G47" s="28">
        <f t="shared" si="2"/>
        <v>0</v>
      </c>
      <c r="H47" s="28">
        <f t="shared" si="3"/>
        <v>0</v>
      </c>
      <c r="I47" s="29">
        <f t="shared" si="4"/>
        <v>0</v>
      </c>
      <c r="J47" s="27">
        <f t="shared" si="5"/>
        <v>66.5</v>
      </c>
      <c r="K47" s="44"/>
      <c r="L47" s="31">
        <f t="shared" si="18"/>
        <v>0</v>
      </c>
      <c r="M47" s="27">
        <f t="shared" si="7"/>
        <v>48</v>
      </c>
      <c r="N47" s="32">
        <f t="shared" si="17"/>
        <v>0.4848484848</v>
      </c>
      <c r="O47" s="31">
        <f t="shared" si="9"/>
        <v>0</v>
      </c>
      <c r="P47" s="27">
        <f t="shared" si="10"/>
        <v>53</v>
      </c>
      <c r="Q47" s="32">
        <f t="shared" si="11"/>
        <v>0.5353535354</v>
      </c>
      <c r="R47" s="31"/>
      <c r="S47" s="27">
        <f t="shared" si="12"/>
        <v>15.16</v>
      </c>
      <c r="T47" s="45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>
      <c r="A48" s="22">
        <f t="shared" si="15"/>
        <v>39</v>
      </c>
      <c r="B48" s="46"/>
      <c r="C48" s="47"/>
      <c r="D48" s="3"/>
      <c r="E48" s="48"/>
      <c r="F48" s="27">
        <f t="shared" si="1"/>
        <v>99</v>
      </c>
      <c r="G48" s="28">
        <f t="shared" si="2"/>
        <v>0</v>
      </c>
      <c r="H48" s="28">
        <f t="shared" si="3"/>
        <v>0</v>
      </c>
      <c r="I48" s="29">
        <f t="shared" si="4"/>
        <v>0</v>
      </c>
      <c r="J48" s="27">
        <f t="shared" si="5"/>
        <v>66.5</v>
      </c>
      <c r="K48" s="44"/>
      <c r="L48" s="31">
        <f t="shared" si="18"/>
        <v>0</v>
      </c>
      <c r="M48" s="27">
        <f t="shared" si="7"/>
        <v>48</v>
      </c>
      <c r="N48" s="32">
        <f t="shared" si="17"/>
        <v>0.4848484848</v>
      </c>
      <c r="O48" s="31">
        <f t="shared" si="9"/>
        <v>0</v>
      </c>
      <c r="P48" s="27">
        <f t="shared" si="10"/>
        <v>53</v>
      </c>
      <c r="Q48" s="32">
        <f t="shared" si="11"/>
        <v>0.5353535354</v>
      </c>
      <c r="R48" s="31"/>
      <c r="S48" s="27">
        <f t="shared" si="12"/>
        <v>15.16</v>
      </c>
      <c r="T48" s="45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>
      <c r="A49" s="22">
        <f t="shared" si="15"/>
        <v>40</v>
      </c>
      <c r="B49" s="46"/>
      <c r="C49" s="47"/>
      <c r="D49" s="3"/>
      <c r="E49" s="48"/>
      <c r="F49" s="27">
        <f t="shared" si="1"/>
        <v>99</v>
      </c>
      <c r="G49" s="28">
        <f t="shared" si="2"/>
        <v>0</v>
      </c>
      <c r="H49" s="28">
        <f t="shared" si="3"/>
        <v>0</v>
      </c>
      <c r="I49" s="29">
        <f t="shared" si="4"/>
        <v>0</v>
      </c>
      <c r="J49" s="27">
        <f t="shared" si="5"/>
        <v>66.5</v>
      </c>
      <c r="K49" s="44"/>
      <c r="L49" s="31">
        <f t="shared" si="18"/>
        <v>0</v>
      </c>
      <c r="M49" s="27">
        <f t="shared" si="7"/>
        <v>48</v>
      </c>
      <c r="N49" s="32">
        <f t="shared" si="17"/>
        <v>0.4848484848</v>
      </c>
      <c r="O49" s="31">
        <f t="shared" si="9"/>
        <v>0</v>
      </c>
      <c r="P49" s="27">
        <f t="shared" si="10"/>
        <v>53</v>
      </c>
      <c r="Q49" s="32">
        <f t="shared" si="11"/>
        <v>0.5353535354</v>
      </c>
      <c r="R49" s="31"/>
      <c r="S49" s="27">
        <f t="shared" si="12"/>
        <v>15.16</v>
      </c>
      <c r="T49" s="45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>
      <c r="A50" s="22">
        <f t="shared" si="15"/>
        <v>41</v>
      </c>
      <c r="B50" s="46"/>
      <c r="C50" s="47"/>
      <c r="D50" s="3"/>
      <c r="E50" s="48"/>
      <c r="F50" s="27">
        <f t="shared" si="1"/>
        <v>99</v>
      </c>
      <c r="G50" s="28">
        <f t="shared" si="2"/>
        <v>0</v>
      </c>
      <c r="H50" s="28">
        <f t="shared" ref="H50:H66" si="19">G50+H49</f>
        <v>0</v>
      </c>
      <c r="I50" s="29">
        <f t="shared" si="4"/>
        <v>0</v>
      </c>
      <c r="J50" s="27">
        <f t="shared" si="5"/>
        <v>66.5</v>
      </c>
      <c r="K50" s="44"/>
      <c r="L50" s="31">
        <f t="shared" si="18"/>
        <v>0</v>
      </c>
      <c r="M50" s="27">
        <f t="shared" si="7"/>
        <v>48</v>
      </c>
      <c r="N50" s="32">
        <f t="shared" si="17"/>
        <v>0.4848484848</v>
      </c>
      <c r="O50" s="31">
        <f t="shared" si="9"/>
        <v>0</v>
      </c>
      <c r="P50" s="27">
        <f t="shared" si="10"/>
        <v>53</v>
      </c>
      <c r="Q50" s="32">
        <f t="shared" si="11"/>
        <v>0.5353535354</v>
      </c>
      <c r="R50" s="31"/>
      <c r="S50" s="27">
        <f t="shared" si="12"/>
        <v>15.16</v>
      </c>
      <c r="T50" s="45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>
      <c r="A51" s="22">
        <f t="shared" si="15"/>
        <v>42</v>
      </c>
      <c r="B51" s="46"/>
      <c r="C51" s="47"/>
      <c r="D51" s="3"/>
      <c r="E51" s="48"/>
      <c r="F51" s="27">
        <f t="shared" si="1"/>
        <v>99</v>
      </c>
      <c r="G51" s="28">
        <f t="shared" si="2"/>
        <v>0</v>
      </c>
      <c r="H51" s="28">
        <f t="shared" si="19"/>
        <v>0</v>
      </c>
      <c r="I51" s="29">
        <f t="shared" si="4"/>
        <v>0</v>
      </c>
      <c r="J51" s="27">
        <f t="shared" si="5"/>
        <v>66.5</v>
      </c>
      <c r="K51" s="44"/>
      <c r="L51" s="31">
        <f t="shared" si="18"/>
        <v>0</v>
      </c>
      <c r="M51" s="27">
        <f t="shared" si="7"/>
        <v>48</v>
      </c>
      <c r="N51" s="32">
        <f t="shared" si="17"/>
        <v>0.4848484848</v>
      </c>
      <c r="O51" s="31">
        <f t="shared" si="9"/>
        <v>0</v>
      </c>
      <c r="P51" s="27">
        <f t="shared" si="10"/>
        <v>53</v>
      </c>
      <c r="Q51" s="32">
        <f t="shared" si="11"/>
        <v>0.5353535354</v>
      </c>
      <c r="R51" s="31"/>
      <c r="S51" s="27">
        <f t="shared" si="12"/>
        <v>15.16</v>
      </c>
      <c r="T51" s="45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>
      <c r="A52" s="22">
        <f t="shared" si="15"/>
        <v>43</v>
      </c>
      <c r="B52" s="46"/>
      <c r="C52" s="47"/>
      <c r="D52" s="3"/>
      <c r="E52" s="48"/>
      <c r="F52" s="27">
        <f t="shared" si="1"/>
        <v>99</v>
      </c>
      <c r="G52" s="28">
        <f t="shared" si="2"/>
        <v>0</v>
      </c>
      <c r="H52" s="28">
        <f t="shared" si="19"/>
        <v>0</v>
      </c>
      <c r="I52" s="29">
        <f t="shared" si="4"/>
        <v>0</v>
      </c>
      <c r="J52" s="27">
        <f t="shared" si="5"/>
        <v>66.5</v>
      </c>
      <c r="K52" s="44"/>
      <c r="L52" s="31">
        <f t="shared" si="18"/>
        <v>0</v>
      </c>
      <c r="M52" s="27">
        <f t="shared" si="7"/>
        <v>48</v>
      </c>
      <c r="N52" s="32">
        <f t="shared" si="17"/>
        <v>0.4848484848</v>
      </c>
      <c r="O52" s="31">
        <f t="shared" si="9"/>
        <v>0</v>
      </c>
      <c r="P52" s="27">
        <f t="shared" si="10"/>
        <v>53</v>
      </c>
      <c r="Q52" s="32">
        <f t="shared" si="11"/>
        <v>0.5353535354</v>
      </c>
      <c r="R52" s="31"/>
      <c r="S52" s="27">
        <f t="shared" si="12"/>
        <v>15.16</v>
      </c>
      <c r="T52" s="45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>
      <c r="A53" s="22">
        <f t="shared" si="15"/>
        <v>44</v>
      </c>
      <c r="B53" s="46"/>
      <c r="C53" s="47"/>
      <c r="D53" s="3"/>
      <c r="E53" s="48"/>
      <c r="F53" s="27">
        <f t="shared" si="1"/>
        <v>99</v>
      </c>
      <c r="G53" s="28">
        <f t="shared" si="2"/>
        <v>0</v>
      </c>
      <c r="H53" s="28">
        <f t="shared" si="19"/>
        <v>0</v>
      </c>
      <c r="I53" s="29">
        <f t="shared" si="4"/>
        <v>0</v>
      </c>
      <c r="J53" s="27">
        <f t="shared" si="5"/>
        <v>66.5</v>
      </c>
      <c r="K53" s="44"/>
      <c r="L53" s="31">
        <f t="shared" si="18"/>
        <v>0</v>
      </c>
      <c r="M53" s="27">
        <f t="shared" si="7"/>
        <v>48</v>
      </c>
      <c r="N53" s="32">
        <f t="shared" si="17"/>
        <v>0.4848484848</v>
      </c>
      <c r="O53" s="31">
        <f t="shared" si="9"/>
        <v>0</v>
      </c>
      <c r="P53" s="27">
        <f t="shared" si="10"/>
        <v>53</v>
      </c>
      <c r="Q53" s="32">
        <f t="shared" si="11"/>
        <v>0.5353535354</v>
      </c>
      <c r="R53" s="31"/>
      <c r="S53" s="27">
        <f t="shared" si="12"/>
        <v>15.16</v>
      </c>
      <c r="T53" s="45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>
      <c r="A54" s="22">
        <f t="shared" si="15"/>
        <v>45</v>
      </c>
      <c r="B54" s="46"/>
      <c r="C54" s="47"/>
      <c r="D54" s="3"/>
      <c r="E54" s="48"/>
      <c r="F54" s="27">
        <f t="shared" si="1"/>
        <v>99</v>
      </c>
      <c r="G54" s="28">
        <f t="shared" si="2"/>
        <v>0</v>
      </c>
      <c r="H54" s="28">
        <f t="shared" si="19"/>
        <v>0</v>
      </c>
      <c r="I54" s="29">
        <f t="shared" si="4"/>
        <v>0</v>
      </c>
      <c r="J54" s="27">
        <f t="shared" si="5"/>
        <v>66.5</v>
      </c>
      <c r="K54" s="44"/>
      <c r="L54" s="31">
        <f t="shared" si="18"/>
        <v>0</v>
      </c>
      <c r="M54" s="27">
        <f t="shared" si="7"/>
        <v>48</v>
      </c>
      <c r="N54" s="32">
        <f t="shared" si="17"/>
        <v>0.4848484848</v>
      </c>
      <c r="O54" s="31">
        <f t="shared" si="9"/>
        <v>0</v>
      </c>
      <c r="P54" s="27">
        <f t="shared" si="10"/>
        <v>53</v>
      </c>
      <c r="Q54" s="32">
        <f t="shared" si="11"/>
        <v>0.5353535354</v>
      </c>
      <c r="R54" s="31"/>
      <c r="S54" s="27">
        <f t="shared" si="12"/>
        <v>15.16</v>
      </c>
      <c r="T54" s="45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>
      <c r="A55" s="22">
        <f t="shared" si="15"/>
        <v>46</v>
      </c>
      <c r="B55" s="46"/>
      <c r="C55" s="47"/>
      <c r="D55" s="3"/>
      <c r="E55" s="48"/>
      <c r="F55" s="27">
        <f t="shared" si="1"/>
        <v>99</v>
      </c>
      <c r="G55" s="28">
        <f t="shared" si="2"/>
        <v>0</v>
      </c>
      <c r="H55" s="28">
        <f t="shared" si="19"/>
        <v>0</v>
      </c>
      <c r="I55" s="29">
        <f t="shared" si="4"/>
        <v>0</v>
      </c>
      <c r="J55" s="27">
        <f t="shared" si="5"/>
        <v>66.5</v>
      </c>
      <c r="K55" s="44"/>
      <c r="L55" s="31">
        <f t="shared" si="18"/>
        <v>0</v>
      </c>
      <c r="M55" s="27">
        <f t="shared" si="7"/>
        <v>48</v>
      </c>
      <c r="N55" s="32">
        <f t="shared" si="17"/>
        <v>0.4848484848</v>
      </c>
      <c r="O55" s="31">
        <f t="shared" si="9"/>
        <v>0</v>
      </c>
      <c r="P55" s="27">
        <f t="shared" si="10"/>
        <v>53</v>
      </c>
      <c r="Q55" s="32">
        <f t="shared" si="11"/>
        <v>0.5353535354</v>
      </c>
      <c r="R55" s="31"/>
      <c r="S55" s="27">
        <f t="shared" si="12"/>
        <v>15.16</v>
      </c>
      <c r="T55" s="45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>
      <c r="A56" s="22">
        <f t="shared" si="15"/>
        <v>47</v>
      </c>
      <c r="B56" s="46"/>
      <c r="C56" s="47"/>
      <c r="D56" s="3"/>
      <c r="E56" s="48"/>
      <c r="F56" s="27">
        <f t="shared" si="1"/>
        <v>99</v>
      </c>
      <c r="G56" s="28">
        <f t="shared" si="2"/>
        <v>0</v>
      </c>
      <c r="H56" s="28">
        <f t="shared" si="19"/>
        <v>0</v>
      </c>
      <c r="I56" s="29">
        <f t="shared" si="4"/>
        <v>0</v>
      </c>
      <c r="J56" s="27">
        <f t="shared" si="5"/>
        <v>66.5</v>
      </c>
      <c r="K56" s="44"/>
      <c r="L56" s="31">
        <f t="shared" si="18"/>
        <v>0</v>
      </c>
      <c r="M56" s="27">
        <f t="shared" si="7"/>
        <v>48</v>
      </c>
      <c r="N56" s="32">
        <f t="shared" si="17"/>
        <v>0.4848484848</v>
      </c>
      <c r="O56" s="31">
        <f t="shared" si="9"/>
        <v>0</v>
      </c>
      <c r="P56" s="27">
        <f t="shared" si="10"/>
        <v>53</v>
      </c>
      <c r="Q56" s="32">
        <f t="shared" si="11"/>
        <v>0.5353535354</v>
      </c>
      <c r="R56" s="31"/>
      <c r="S56" s="27">
        <f t="shared" si="12"/>
        <v>15.16</v>
      </c>
      <c r="T56" s="45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>
      <c r="A57" s="22">
        <f t="shared" si="15"/>
        <v>48</v>
      </c>
      <c r="B57" s="46"/>
      <c r="C57" s="47"/>
      <c r="D57" s="3"/>
      <c r="E57" s="48"/>
      <c r="F57" s="27">
        <f t="shared" si="1"/>
        <v>99</v>
      </c>
      <c r="G57" s="28">
        <f t="shared" si="2"/>
        <v>0</v>
      </c>
      <c r="H57" s="28">
        <f t="shared" si="19"/>
        <v>0</v>
      </c>
      <c r="I57" s="29">
        <f t="shared" si="4"/>
        <v>0</v>
      </c>
      <c r="J57" s="27">
        <f t="shared" si="5"/>
        <v>66.5</v>
      </c>
      <c r="K57" s="44"/>
      <c r="L57" s="31">
        <f t="shared" si="18"/>
        <v>0</v>
      </c>
      <c r="M57" s="27">
        <f t="shared" si="7"/>
        <v>48</v>
      </c>
      <c r="N57" s="32">
        <f t="shared" si="17"/>
        <v>0.4848484848</v>
      </c>
      <c r="O57" s="31">
        <f t="shared" si="9"/>
        <v>0</v>
      </c>
      <c r="P57" s="27">
        <f t="shared" si="10"/>
        <v>53</v>
      </c>
      <c r="Q57" s="32">
        <f t="shared" si="11"/>
        <v>0.5353535354</v>
      </c>
      <c r="R57" s="31"/>
      <c r="S57" s="27">
        <f t="shared" si="12"/>
        <v>15.16</v>
      </c>
      <c r="T57" s="45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>
      <c r="A58" s="22">
        <f t="shared" si="15"/>
        <v>49</v>
      </c>
      <c r="B58" s="46"/>
      <c r="C58" s="47"/>
      <c r="D58" s="3"/>
      <c r="E58" s="48"/>
      <c r="F58" s="27">
        <f t="shared" si="1"/>
        <v>99</v>
      </c>
      <c r="G58" s="28">
        <f t="shared" si="2"/>
        <v>0</v>
      </c>
      <c r="H58" s="28">
        <f t="shared" si="19"/>
        <v>0</v>
      </c>
      <c r="I58" s="29">
        <f t="shared" si="4"/>
        <v>0</v>
      </c>
      <c r="J58" s="27">
        <f t="shared" si="5"/>
        <v>66.5</v>
      </c>
      <c r="K58" s="44"/>
      <c r="L58" s="31">
        <f t="shared" si="18"/>
        <v>0</v>
      </c>
      <c r="M58" s="27">
        <f t="shared" si="7"/>
        <v>48</v>
      </c>
      <c r="N58" s="32">
        <f t="shared" si="17"/>
        <v>0.4848484848</v>
      </c>
      <c r="O58" s="31">
        <f t="shared" si="9"/>
        <v>0</v>
      </c>
      <c r="P58" s="27">
        <f t="shared" si="10"/>
        <v>53</v>
      </c>
      <c r="Q58" s="32">
        <f t="shared" si="11"/>
        <v>0.5353535354</v>
      </c>
      <c r="R58" s="31"/>
      <c r="S58" s="27">
        <f t="shared" si="12"/>
        <v>15.16</v>
      </c>
      <c r="T58" s="45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22">
        <f t="shared" si="15"/>
        <v>50</v>
      </c>
      <c r="B59" s="46"/>
      <c r="C59" s="47"/>
      <c r="D59" s="3"/>
      <c r="E59" s="48"/>
      <c r="F59" s="27">
        <f t="shared" si="1"/>
        <v>99</v>
      </c>
      <c r="G59" s="28">
        <f t="shared" si="2"/>
        <v>0</v>
      </c>
      <c r="H59" s="28">
        <f t="shared" si="19"/>
        <v>0</v>
      </c>
      <c r="I59" s="29">
        <f t="shared" si="4"/>
        <v>0</v>
      </c>
      <c r="J59" s="27">
        <f t="shared" si="5"/>
        <v>66.5</v>
      </c>
      <c r="K59" s="44"/>
      <c r="L59" s="31">
        <f t="shared" si="18"/>
        <v>0</v>
      </c>
      <c r="M59" s="27">
        <f t="shared" si="7"/>
        <v>48</v>
      </c>
      <c r="N59" s="32">
        <f t="shared" si="17"/>
        <v>0.4848484848</v>
      </c>
      <c r="O59" s="31">
        <f t="shared" si="9"/>
        <v>0</v>
      </c>
      <c r="P59" s="27">
        <f t="shared" si="10"/>
        <v>53</v>
      </c>
      <c r="Q59" s="32">
        <f t="shared" si="11"/>
        <v>0.5353535354</v>
      </c>
      <c r="R59" s="31"/>
      <c r="S59" s="27">
        <f t="shared" si="12"/>
        <v>15.16</v>
      </c>
      <c r="T59" s="45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>
      <c r="A60" s="22">
        <f t="shared" si="15"/>
        <v>51</v>
      </c>
      <c r="B60" s="46"/>
      <c r="C60" s="47"/>
      <c r="D60" s="3"/>
      <c r="E60" s="48"/>
      <c r="F60" s="27">
        <f t="shared" si="1"/>
        <v>99</v>
      </c>
      <c r="G60" s="28">
        <f t="shared" si="2"/>
        <v>0</v>
      </c>
      <c r="H60" s="28">
        <f t="shared" si="19"/>
        <v>0</v>
      </c>
      <c r="I60" s="29">
        <f t="shared" si="4"/>
        <v>0</v>
      </c>
      <c r="J60" s="27">
        <f t="shared" si="5"/>
        <v>66.5</v>
      </c>
      <c r="K60" s="44"/>
      <c r="L60" s="31">
        <f t="shared" si="18"/>
        <v>0</v>
      </c>
      <c r="M60" s="27">
        <f t="shared" si="7"/>
        <v>48</v>
      </c>
      <c r="N60" s="32">
        <f t="shared" si="17"/>
        <v>0.4848484848</v>
      </c>
      <c r="O60" s="31">
        <f t="shared" si="9"/>
        <v>0</v>
      </c>
      <c r="P60" s="27">
        <f t="shared" si="10"/>
        <v>53</v>
      </c>
      <c r="Q60" s="32">
        <f t="shared" si="11"/>
        <v>0.5353535354</v>
      </c>
      <c r="R60" s="31"/>
      <c r="S60" s="27">
        <f t="shared" si="12"/>
        <v>15.16</v>
      </c>
      <c r="T60" s="45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>
      <c r="A61" s="22">
        <f t="shared" si="15"/>
        <v>52</v>
      </c>
      <c r="B61" s="46"/>
      <c r="C61" s="47"/>
      <c r="D61" s="3"/>
      <c r="E61" s="48"/>
      <c r="F61" s="27">
        <f t="shared" si="1"/>
        <v>99</v>
      </c>
      <c r="G61" s="28">
        <f t="shared" si="2"/>
        <v>0</v>
      </c>
      <c r="H61" s="28">
        <f t="shared" si="19"/>
        <v>0</v>
      </c>
      <c r="I61" s="29">
        <f t="shared" si="4"/>
        <v>0</v>
      </c>
      <c r="J61" s="27">
        <f t="shared" si="5"/>
        <v>66.5</v>
      </c>
      <c r="K61" s="44"/>
      <c r="L61" s="31">
        <f t="shared" si="18"/>
        <v>0</v>
      </c>
      <c r="M61" s="27">
        <f t="shared" si="7"/>
        <v>48</v>
      </c>
      <c r="N61" s="32">
        <f t="shared" si="17"/>
        <v>0.4848484848</v>
      </c>
      <c r="O61" s="31">
        <f t="shared" si="9"/>
        <v>0</v>
      </c>
      <c r="P61" s="27">
        <f t="shared" si="10"/>
        <v>53</v>
      </c>
      <c r="Q61" s="32">
        <f t="shared" si="11"/>
        <v>0.5353535354</v>
      </c>
      <c r="R61" s="31"/>
      <c r="S61" s="27">
        <f t="shared" si="12"/>
        <v>15.16</v>
      </c>
      <c r="T61" s="45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>
      <c r="A62" s="22">
        <f t="shared" si="15"/>
        <v>53</v>
      </c>
      <c r="B62" s="46"/>
      <c r="C62" s="47"/>
      <c r="D62" s="3"/>
      <c r="E62" s="48"/>
      <c r="F62" s="27">
        <f t="shared" si="1"/>
        <v>99</v>
      </c>
      <c r="G62" s="28">
        <f t="shared" si="2"/>
        <v>0</v>
      </c>
      <c r="H62" s="28">
        <f t="shared" si="19"/>
        <v>0</v>
      </c>
      <c r="I62" s="29">
        <f t="shared" si="4"/>
        <v>0</v>
      </c>
      <c r="J62" s="27">
        <f t="shared" si="5"/>
        <v>66.5</v>
      </c>
      <c r="K62" s="44"/>
      <c r="L62" s="31">
        <f t="shared" si="18"/>
        <v>0</v>
      </c>
      <c r="M62" s="27">
        <f t="shared" si="7"/>
        <v>48</v>
      </c>
      <c r="N62" s="32">
        <f t="shared" si="17"/>
        <v>0.4848484848</v>
      </c>
      <c r="O62" s="31">
        <f t="shared" si="9"/>
        <v>0</v>
      </c>
      <c r="P62" s="27">
        <f t="shared" si="10"/>
        <v>53</v>
      </c>
      <c r="Q62" s="32">
        <f t="shared" si="11"/>
        <v>0.5353535354</v>
      </c>
      <c r="R62" s="31"/>
      <c r="S62" s="27">
        <f t="shared" si="12"/>
        <v>15.16</v>
      </c>
      <c r="T62" s="45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22">
        <f t="shared" si="15"/>
        <v>54</v>
      </c>
      <c r="B63" s="46"/>
      <c r="C63" s="47"/>
      <c r="D63" s="3"/>
      <c r="E63" s="48"/>
      <c r="F63" s="27">
        <f t="shared" si="1"/>
        <v>99</v>
      </c>
      <c r="G63" s="28">
        <f t="shared" si="2"/>
        <v>0</v>
      </c>
      <c r="H63" s="28">
        <f t="shared" si="19"/>
        <v>0</v>
      </c>
      <c r="I63" s="29">
        <f t="shared" si="4"/>
        <v>0</v>
      </c>
      <c r="J63" s="27">
        <f t="shared" si="5"/>
        <v>66.5</v>
      </c>
      <c r="K63" s="44"/>
      <c r="L63" s="31">
        <f t="shared" si="18"/>
        <v>0</v>
      </c>
      <c r="M63" s="27">
        <f t="shared" si="7"/>
        <v>48</v>
      </c>
      <c r="N63" s="32">
        <f t="shared" si="17"/>
        <v>0.4848484848</v>
      </c>
      <c r="O63" s="31">
        <f t="shared" si="9"/>
        <v>0</v>
      </c>
      <c r="P63" s="27">
        <f t="shared" si="10"/>
        <v>53</v>
      </c>
      <c r="Q63" s="32">
        <f t="shared" si="11"/>
        <v>0.5353535354</v>
      </c>
      <c r="R63" s="31"/>
      <c r="S63" s="27">
        <f t="shared" si="12"/>
        <v>15.16</v>
      </c>
      <c r="T63" s="45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>
      <c r="A64" s="22">
        <f t="shared" si="15"/>
        <v>55</v>
      </c>
      <c r="B64" s="46"/>
      <c r="C64" s="47"/>
      <c r="D64" s="3"/>
      <c r="E64" s="48"/>
      <c r="F64" s="27">
        <f t="shared" si="1"/>
        <v>99</v>
      </c>
      <c r="G64" s="28">
        <f t="shared" si="2"/>
        <v>0</v>
      </c>
      <c r="H64" s="28">
        <f t="shared" si="19"/>
        <v>0</v>
      </c>
      <c r="I64" s="29">
        <f t="shared" si="4"/>
        <v>0</v>
      </c>
      <c r="J64" s="27">
        <f t="shared" si="5"/>
        <v>66.5</v>
      </c>
      <c r="K64" s="44"/>
      <c r="L64" s="31">
        <f t="shared" si="18"/>
        <v>0</v>
      </c>
      <c r="M64" s="27">
        <f t="shared" si="7"/>
        <v>48</v>
      </c>
      <c r="N64" s="32">
        <f t="shared" si="17"/>
        <v>0.4848484848</v>
      </c>
      <c r="O64" s="31">
        <f t="shared" si="9"/>
        <v>0</v>
      </c>
      <c r="P64" s="27">
        <f t="shared" si="10"/>
        <v>53</v>
      </c>
      <c r="Q64" s="32">
        <f t="shared" si="11"/>
        <v>0.5353535354</v>
      </c>
      <c r="R64" s="31"/>
      <c r="S64" s="27">
        <f t="shared" si="12"/>
        <v>15.16</v>
      </c>
      <c r="T64" s="45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>
      <c r="A65" s="22">
        <f t="shared" si="15"/>
        <v>56</v>
      </c>
      <c r="B65" s="46"/>
      <c r="C65" s="47"/>
      <c r="D65" s="3"/>
      <c r="E65" s="48"/>
      <c r="F65" s="27">
        <f t="shared" si="1"/>
        <v>99</v>
      </c>
      <c r="G65" s="28">
        <f t="shared" si="2"/>
        <v>0</v>
      </c>
      <c r="H65" s="28">
        <f t="shared" si="19"/>
        <v>0</v>
      </c>
      <c r="I65" s="29">
        <f t="shared" si="4"/>
        <v>0</v>
      </c>
      <c r="J65" s="27">
        <f t="shared" si="5"/>
        <v>66.5</v>
      </c>
      <c r="K65" s="44"/>
      <c r="L65" s="31">
        <f t="shared" si="18"/>
        <v>0</v>
      </c>
      <c r="M65" s="27">
        <f t="shared" si="7"/>
        <v>48</v>
      </c>
      <c r="N65" s="32">
        <f t="shared" si="17"/>
        <v>0.4848484848</v>
      </c>
      <c r="O65" s="31">
        <f t="shared" si="9"/>
        <v>0</v>
      </c>
      <c r="P65" s="27">
        <f t="shared" si="10"/>
        <v>53</v>
      </c>
      <c r="Q65" s="32">
        <f t="shared" si="11"/>
        <v>0.5353535354</v>
      </c>
      <c r="R65" s="31"/>
      <c r="S65" s="27">
        <f t="shared" si="12"/>
        <v>15.16</v>
      </c>
      <c r="T65" s="45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>
      <c r="A66" s="22">
        <f t="shared" si="15"/>
        <v>57</v>
      </c>
      <c r="B66" s="46"/>
      <c r="C66" s="47"/>
      <c r="D66" s="3"/>
      <c r="E66" s="48"/>
      <c r="F66" s="27">
        <f t="shared" si="1"/>
        <v>99</v>
      </c>
      <c r="G66" s="28">
        <f t="shared" si="2"/>
        <v>0</v>
      </c>
      <c r="H66" s="28">
        <f t="shared" si="19"/>
        <v>0</v>
      </c>
      <c r="I66" s="29">
        <f t="shared" si="4"/>
        <v>0</v>
      </c>
      <c r="J66" s="27">
        <f t="shared" si="5"/>
        <v>66.5</v>
      </c>
      <c r="K66" s="44"/>
      <c r="L66" s="31">
        <f t="shared" si="18"/>
        <v>0</v>
      </c>
      <c r="M66" s="27">
        <f t="shared" si="7"/>
        <v>48</v>
      </c>
      <c r="N66" s="32">
        <f t="shared" si="17"/>
        <v>0.4848484848</v>
      </c>
      <c r="O66" s="31">
        <f t="shared" si="9"/>
        <v>0</v>
      </c>
      <c r="P66" s="27">
        <f t="shared" si="10"/>
        <v>53</v>
      </c>
      <c r="Q66" s="32">
        <f t="shared" si="11"/>
        <v>0.5353535354</v>
      </c>
      <c r="R66" s="31"/>
      <c r="S66" s="27">
        <f t="shared" si="12"/>
        <v>15.16</v>
      </c>
      <c r="T66" s="45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>
      <c r="A67" s="3"/>
      <c r="B67" s="3"/>
      <c r="C67" s="3"/>
      <c r="D67" s="3"/>
      <c r="E67" s="3"/>
      <c r="F67" s="28"/>
      <c r="G67" s="28"/>
      <c r="I67" s="50" t="s">
        <v>72</v>
      </c>
      <c r="J67" s="50">
        <f>F66/37</f>
        <v>2.675675676</v>
      </c>
      <c r="K67" s="51"/>
      <c r="L67" s="52"/>
      <c r="M67" s="52"/>
      <c r="N67" s="53"/>
      <c r="O67" s="28"/>
      <c r="P67" s="28"/>
      <c r="Q67" s="28"/>
      <c r="R67" s="3"/>
      <c r="S67" s="54">
        <f>S66/60</f>
        <v>0.2526666667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>
      <c r="A68" s="3"/>
      <c r="B68" s="3"/>
      <c r="C68" s="3"/>
      <c r="D68" s="3"/>
      <c r="E68" s="3"/>
      <c r="F68" s="3"/>
      <c r="G68" s="28"/>
      <c r="H68" s="3"/>
      <c r="I68" s="55" t="s">
        <v>73</v>
      </c>
      <c r="J68" s="55">
        <f>J67*2</f>
        <v>5.351351351</v>
      </c>
      <c r="K68" s="56"/>
      <c r="L68" s="52"/>
      <c r="M68" s="5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>
      <c r="A69" s="3"/>
      <c r="B69" s="3"/>
      <c r="C69" s="3"/>
      <c r="D69" s="3"/>
      <c r="E69" s="3"/>
      <c r="F69" s="3"/>
      <c r="G69" s="28"/>
      <c r="H69" s="3"/>
      <c r="I69" s="55" t="s">
        <v>74</v>
      </c>
      <c r="J69" s="55">
        <f>J67*3</f>
        <v>8.027027027</v>
      </c>
      <c r="K69" s="56"/>
      <c r="L69" s="52"/>
      <c r="M69" s="5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>
      <c r="A70" s="3"/>
      <c r="B70" s="3"/>
      <c r="C70" s="3"/>
      <c r="D70" s="3"/>
      <c r="E70" s="3"/>
      <c r="F70" s="3"/>
      <c r="G70" s="28"/>
      <c r="H70" s="3"/>
      <c r="I70" s="3"/>
      <c r="J70" s="3"/>
      <c r="K70" s="57"/>
      <c r="L70" s="52"/>
      <c r="M70" s="5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>
      <c r="A71" s="3"/>
      <c r="B71" s="3"/>
      <c r="C71" s="3"/>
      <c r="D71" s="3"/>
      <c r="E71" s="3"/>
      <c r="F71" s="3"/>
      <c r="G71" s="28"/>
      <c r="H71" s="3"/>
      <c r="I71" s="3"/>
      <c r="J71" s="3"/>
      <c r="K71" s="3" t="s">
        <v>75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>
      <c r="A72" s="3"/>
      <c r="B72" s="3"/>
      <c r="C72" s="58"/>
      <c r="D72" s="3"/>
      <c r="E72" s="3"/>
      <c r="F72" s="3"/>
      <c r="G72" s="28"/>
      <c r="H72" s="3"/>
      <c r="I72" s="3"/>
      <c r="J72" s="3"/>
      <c r="K72" s="57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>
      <c r="A73" s="3"/>
      <c r="B73" s="3"/>
      <c r="C73" s="3"/>
      <c r="D73" s="3"/>
      <c r="E73" s="3"/>
      <c r="F73" s="3"/>
      <c r="G73" s="28"/>
      <c r="H73" s="3"/>
      <c r="I73" s="3"/>
      <c r="J73" s="3"/>
      <c r="K73" s="57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>
      <c r="A74" s="3"/>
      <c r="B74" s="3" t="s">
        <v>76</v>
      </c>
      <c r="C74" s="3"/>
      <c r="D74" s="3"/>
      <c r="E74" s="3"/>
      <c r="F74" s="3"/>
      <c r="G74" s="3"/>
      <c r="H74" s="3"/>
      <c r="I74" s="3"/>
      <c r="J74" s="3"/>
      <c r="K74" s="57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57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57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57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5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57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5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5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57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57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57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57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57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57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5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57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5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5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57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57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57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57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57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57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5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5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5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5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57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57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57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57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5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5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5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57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5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5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57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5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57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57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57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57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5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57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5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5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57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57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57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57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57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57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5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57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5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5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5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5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5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5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5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5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5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5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5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5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5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5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5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5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5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5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5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5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5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5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5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5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5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5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5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5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5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5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5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5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5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5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5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5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5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5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5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5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5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5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5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5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5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5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5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5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5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5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5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5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5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5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5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5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5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5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5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5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5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5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57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57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57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5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5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5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5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57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5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5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5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5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5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57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57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57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5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57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5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5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57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5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5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5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57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57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5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5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5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5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5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5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5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5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57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57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5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5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5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5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5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5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57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57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5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5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5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57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5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5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57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57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57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57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57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57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5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57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5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5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57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57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57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57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57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57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5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57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5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5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57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57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57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57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57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57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5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57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5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5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57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57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5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5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57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57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5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5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5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5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5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5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5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5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5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5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5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5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5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5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5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5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5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5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5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5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5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5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5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5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5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5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5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5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5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5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5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5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5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5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5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57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57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57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57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57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5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57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5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5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5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5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57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57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5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5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5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5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5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5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5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5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5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5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5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5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5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5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5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5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57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57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57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57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57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5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5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5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5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5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5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5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5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5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5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5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5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5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5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5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5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5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5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5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5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5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57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57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57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57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57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57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57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57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57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57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57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57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57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57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57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57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57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57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5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57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57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57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57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57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57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57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57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57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57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57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57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57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57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57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57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57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57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57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57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57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57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57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57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57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57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57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57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57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57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57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57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57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57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57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57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57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57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57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57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57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57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57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57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57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57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57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5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5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5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5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57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57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57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57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57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57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57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57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57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57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57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57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57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57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57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57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57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57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57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57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57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57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57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57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57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57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57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57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57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57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57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57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5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5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5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5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57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57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57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57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57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57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57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57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57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5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5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5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57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57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57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57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57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57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57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57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57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57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57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57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57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57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57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57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57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57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57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57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57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57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57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57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57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57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57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57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57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57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57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57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57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57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57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57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57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57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57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57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57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57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57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57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57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57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57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57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5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5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5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57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57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57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57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57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57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57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57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57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57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5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5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57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57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57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57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57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57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57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57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57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57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57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57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57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57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57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57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57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57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57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57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57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57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57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57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57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57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57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57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57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57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57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57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57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57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57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57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57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57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57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57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57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57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57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57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57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57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57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57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57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57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57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57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57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57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57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57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57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57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57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57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57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57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57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57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57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57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57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57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57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57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57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57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57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57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57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57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57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57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57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57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57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57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57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57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57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57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57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57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57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57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57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57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57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57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57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57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57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57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57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57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57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57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57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57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57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57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57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57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57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57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57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57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57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57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57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57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57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57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57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57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57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57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57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57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57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57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57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57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57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57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57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57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57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57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57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57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57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5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5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5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5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57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57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57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57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57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57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57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57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57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5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5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5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57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57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57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57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57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57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57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57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57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57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57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5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5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5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57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57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5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5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57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57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57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57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57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5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57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57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57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57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57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57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57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57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57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57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5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5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57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57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5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5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5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5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5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5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5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57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57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57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57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57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57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57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57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57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57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57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57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57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57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57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57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57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57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57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57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57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57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57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57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57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57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57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57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57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57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57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57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57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57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57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57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57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57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57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57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57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57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57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57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57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57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57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57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57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57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57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57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57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57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57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57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57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57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57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57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57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57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57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57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57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57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57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57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57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57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57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57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57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57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57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57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57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57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57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57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57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57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57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57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57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57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57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57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57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57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57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57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57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57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57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57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57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57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57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57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57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57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57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57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57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57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57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57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57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57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57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57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57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57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57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57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57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57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57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57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57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57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57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57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57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57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57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57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57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57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57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57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57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57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57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57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57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57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57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57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57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57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57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57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57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57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57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57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57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57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57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57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5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5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57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5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5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5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57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57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57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57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57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57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57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57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57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5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57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5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5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5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5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5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5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5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5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5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5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5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5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5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5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57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57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57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57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57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57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57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57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57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57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57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57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57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57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57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57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57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57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57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57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57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57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57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57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57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57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57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57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57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57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57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57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57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57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57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57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57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57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57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57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57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57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57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57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57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57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57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57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57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57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57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57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57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57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57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57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57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57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57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57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57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57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57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57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57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57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57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57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57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57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57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57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57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57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57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57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57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57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57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57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57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57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57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57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57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57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57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57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57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57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57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57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57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57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57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57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57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57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57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57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57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57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57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57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57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57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57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57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57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57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57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57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57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57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57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57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57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57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57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57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57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57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57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57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57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57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57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57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</row>
  </sheetData>
  <mergeCells count="2">
    <mergeCell ref="C1:K1"/>
    <mergeCell ref="L1:T1"/>
  </mergeCells>
  <conditionalFormatting sqref="C2:C66 C68:C1057">
    <cfRule type="cellIs" dxfId="0" priority="1" operator="equal">
      <formula>"Complete"</formula>
    </cfRule>
  </conditionalFormatting>
  <conditionalFormatting sqref="C2:C66 C68:C1057">
    <cfRule type="cellIs" dxfId="1" priority="2" operator="equal">
      <formula>"In progress"</formula>
    </cfRule>
  </conditionalFormatting>
  <conditionalFormatting sqref="C2:C66 C68:C1057">
    <cfRule type="cellIs" dxfId="2" priority="3" operator="equal">
      <formula>"Upcoming"</formula>
    </cfRule>
  </conditionalFormatting>
  <conditionalFormatting sqref="C5:C66">
    <cfRule type="cellIs" dxfId="3" priority="4" operator="equal">
      <formula>"Review"</formula>
    </cfRule>
  </conditionalFormatting>
  <conditionalFormatting sqref="K5:K39 T5:T66">
    <cfRule type="cellIs" dxfId="0" priority="5" operator="equal">
      <formula>B5</formula>
    </cfRule>
  </conditionalFormatting>
  <conditionalFormatting sqref="K5:K39 T5:T66">
    <cfRule type="cellIs" dxfId="4" priority="6" operator="greaterThan">
      <formula>B5</formula>
    </cfRule>
  </conditionalFormatting>
  <conditionalFormatting sqref="K5:K39 T5:T66">
    <cfRule type="cellIs" dxfId="1" priority="7" operator="lessThan">
      <formula>B5</formula>
    </cfRule>
  </conditionalFormatting>
  <conditionalFormatting sqref="K5:K39 T5:T66">
    <cfRule type="containsBlanks" dxfId="5" priority="8">
      <formula>LEN(TRIM(K5))=0</formula>
    </cfRule>
  </conditionalFormatting>
  <dataValidations>
    <dataValidation type="list" allowBlank="1" sqref="C5:C66">
      <formula1>"Complete,In progress,Upcoming,Review"</formula1>
    </dataValidation>
    <dataValidation type="list" allowBlank="1" sqref="D5:D66">
      <formula1>"Diego,Cutberto,Carolina,Keyuan,Cobos,Todes."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88"/>
  </cols>
  <sheetData>
    <row r="1">
      <c r="E1" s="60" t="s">
        <v>126</v>
      </c>
      <c r="F1" s="100" t="s">
        <v>127</v>
      </c>
      <c r="G1" s="100" t="s">
        <v>128</v>
      </c>
    </row>
    <row r="2">
      <c r="E2" s="60">
        <v>0.0</v>
      </c>
      <c r="F2" s="60">
        <v>0.0</v>
      </c>
      <c r="G2" s="60">
        <v>0.0</v>
      </c>
    </row>
    <row r="3">
      <c r="E3" s="60">
        <f t="shared" ref="E3:G3" si="1">B3</f>
        <v>6</v>
      </c>
      <c r="F3" s="103">
        <f t="shared" si="1"/>
        <v>6</v>
      </c>
      <c r="G3" s="103">
        <f t="shared" si="1"/>
        <v>6</v>
      </c>
    </row>
    <row r="4">
      <c r="E4" s="60">
        <f t="shared" ref="E4:E18" si="3">E3+B4</f>
        <v>33</v>
      </c>
      <c r="F4" s="103">
        <f t="shared" ref="F4:G4" si="2">C4+F3</f>
        <v>33</v>
      </c>
      <c r="G4" s="103">
        <f t="shared" si="2"/>
        <v>33</v>
      </c>
    </row>
    <row r="5">
      <c r="E5" s="60">
        <f t="shared" si="3"/>
        <v>36</v>
      </c>
      <c r="F5" s="103">
        <f t="shared" ref="F5:G5" si="4">C5+F4</f>
        <v>36</v>
      </c>
      <c r="G5" s="103">
        <f t="shared" si="4"/>
        <v>33</v>
      </c>
    </row>
    <row r="6">
      <c r="E6" s="60">
        <f t="shared" si="3"/>
        <v>41</v>
      </c>
      <c r="F6" s="103">
        <f t="shared" ref="F6:G6" si="5">C6+F5</f>
        <v>41</v>
      </c>
      <c r="G6" s="103">
        <f t="shared" si="5"/>
        <v>38</v>
      </c>
    </row>
    <row r="7">
      <c r="E7" s="60">
        <f t="shared" si="3"/>
        <v>43</v>
      </c>
      <c r="F7" s="103">
        <f t="shared" ref="F7:G7" si="6">C7+F6</f>
        <v>43</v>
      </c>
      <c r="G7" s="103">
        <f t="shared" si="6"/>
        <v>39</v>
      </c>
    </row>
    <row r="8">
      <c r="E8" s="60">
        <f t="shared" si="3"/>
        <v>48</v>
      </c>
      <c r="F8" s="103">
        <f t="shared" ref="F8:G8" si="7">C8+F7</f>
        <v>48</v>
      </c>
      <c r="G8" s="103">
        <f t="shared" si="7"/>
        <v>45</v>
      </c>
    </row>
    <row r="9">
      <c r="E9" s="60">
        <f t="shared" si="3"/>
        <v>70</v>
      </c>
      <c r="F9" s="103">
        <f t="shared" ref="F9:G9" si="8">C9+F8</f>
        <v>48</v>
      </c>
      <c r="G9" s="103">
        <f t="shared" si="8"/>
        <v>45</v>
      </c>
    </row>
    <row r="10">
      <c r="E10" s="60">
        <f t="shared" si="3"/>
        <v>81</v>
      </c>
      <c r="F10" s="103">
        <f t="shared" ref="F10:G10" si="9">C10+F9</f>
        <v>48</v>
      </c>
      <c r="G10" s="103">
        <f t="shared" si="9"/>
        <v>45</v>
      </c>
    </row>
    <row r="11">
      <c r="E11" s="60">
        <f t="shared" si="3"/>
        <v>86</v>
      </c>
      <c r="F11" s="103">
        <f t="shared" ref="F11:G11" si="10">C11+F10</f>
        <v>53</v>
      </c>
      <c r="G11" s="103">
        <f t="shared" si="10"/>
        <v>48</v>
      </c>
    </row>
    <row r="12">
      <c r="E12" s="60">
        <f t="shared" si="3"/>
        <v>185</v>
      </c>
      <c r="F12" s="103">
        <f t="shared" ref="F12:G12" si="11">C12+F11</f>
        <v>106</v>
      </c>
      <c r="G12" s="103">
        <f t="shared" si="11"/>
        <v>96</v>
      </c>
    </row>
    <row r="13">
      <c r="E13" s="60">
        <f t="shared" si="3"/>
        <v>185</v>
      </c>
      <c r="F13" s="103">
        <f t="shared" ref="F13:G13" si="12">C13+F12</f>
        <v>106</v>
      </c>
      <c r="G13" s="103">
        <f t="shared" si="12"/>
        <v>96</v>
      </c>
    </row>
    <row r="14">
      <c r="E14" s="60">
        <f t="shared" si="3"/>
        <v>185</v>
      </c>
      <c r="F14" s="103">
        <f t="shared" ref="F14:G14" si="13">C14+F13</f>
        <v>106</v>
      </c>
      <c r="G14" s="103">
        <f t="shared" si="13"/>
        <v>96</v>
      </c>
    </row>
    <row r="15">
      <c r="E15" s="60">
        <f t="shared" si="3"/>
        <v>185</v>
      </c>
      <c r="F15" s="103">
        <f t="shared" ref="F15:G15" si="14">C15+F14</f>
        <v>106</v>
      </c>
      <c r="G15" s="103">
        <f t="shared" si="14"/>
        <v>96</v>
      </c>
    </row>
    <row r="16">
      <c r="E16" s="60">
        <f t="shared" si="3"/>
        <v>185</v>
      </c>
      <c r="F16" s="103">
        <f t="shared" ref="F16:G16" si="15">C16+F15</f>
        <v>106</v>
      </c>
      <c r="G16" s="103">
        <f t="shared" si="15"/>
        <v>96</v>
      </c>
    </row>
    <row r="17">
      <c r="E17" s="60">
        <f t="shared" si="3"/>
        <v>185</v>
      </c>
      <c r="F17" s="103">
        <f t="shared" ref="F17:G17" si="16">C17+F16</f>
        <v>106</v>
      </c>
      <c r="G17" s="103">
        <f t="shared" si="16"/>
        <v>96</v>
      </c>
    </row>
    <row r="18">
      <c r="E18" s="60">
        <f t="shared" si="3"/>
        <v>185</v>
      </c>
      <c r="F18" s="103">
        <f t="shared" ref="F18:G18" si="17">C18+F17</f>
        <v>106</v>
      </c>
      <c r="G18" s="103">
        <f t="shared" si="17"/>
        <v>96</v>
      </c>
    </row>
    <row r="23">
      <c r="D23" s="60"/>
      <c r="E23" s="60" t="s">
        <v>132</v>
      </c>
      <c r="F23" s="60" t="s">
        <v>133</v>
      </c>
    </row>
    <row r="24"/>
    <row r="25">
      <c r="E25" s="103">
        <f t="shared" ref="E25:F25" si="18">B25</f>
        <v>3.5</v>
      </c>
      <c r="F25" s="103">
        <f t="shared" si="18"/>
        <v>2.66</v>
      </c>
    </row>
    <row r="26">
      <c r="E26" s="103">
        <f t="shared" ref="E26:F26" si="19">B26+E25</f>
        <v>21</v>
      </c>
      <c r="F26" s="103">
        <f t="shared" si="19"/>
        <v>10.66</v>
      </c>
    </row>
    <row r="27">
      <c r="E27" s="103">
        <f t="shared" ref="E27:F27" si="20">B27+E26</f>
        <v>23</v>
      </c>
      <c r="F27" s="103">
        <f t="shared" si="20"/>
        <v>11.16</v>
      </c>
    </row>
    <row r="28">
      <c r="E28" s="103">
        <f t="shared" ref="E28:F28" si="21">B28+E27</f>
        <v>27</v>
      </c>
      <c r="F28" s="103">
        <f t="shared" si="21"/>
        <v>11.66</v>
      </c>
    </row>
    <row r="29">
      <c r="E29" s="103">
        <f t="shared" ref="E29:F29" si="22">B29+E28</f>
        <v>28</v>
      </c>
      <c r="F29" s="103">
        <f t="shared" si="22"/>
        <v>12.16</v>
      </c>
    </row>
    <row r="30">
      <c r="E30" s="103">
        <f t="shared" ref="E30:F30" si="23">B30+E29</f>
        <v>31</v>
      </c>
      <c r="F30" s="103">
        <f t="shared" si="23"/>
        <v>14.16</v>
      </c>
    </row>
    <row r="31">
      <c r="E31" s="105">
        <f t="shared" ref="E31:F31" si="24">B31+E30</f>
        <v>44</v>
      </c>
      <c r="F31" s="103">
        <f t="shared" si="24"/>
        <v>14.16</v>
      </c>
    </row>
    <row r="32">
      <c r="E32" s="105">
        <f t="shared" ref="E32:F32" si="25">B32+E31</f>
        <v>50.5</v>
      </c>
      <c r="F32" s="103">
        <f t="shared" si="25"/>
        <v>14.16</v>
      </c>
    </row>
    <row r="33">
      <c r="E33" s="105">
        <f t="shared" ref="E33:F33" si="26">B33+E32</f>
        <v>54.5</v>
      </c>
      <c r="F33" s="103">
        <f t="shared" si="26"/>
        <v>15.16</v>
      </c>
    </row>
    <row r="34">
      <c r="E34" s="105">
        <f t="shared" ref="E34:F34" si="27">B34+E33</f>
        <v>121</v>
      </c>
      <c r="F34" s="103">
        <f t="shared" si="27"/>
        <v>30.32</v>
      </c>
    </row>
    <row r="35">
      <c r="E35" s="105">
        <f t="shared" ref="E35:F35" si="28">B35+E34</f>
        <v>121</v>
      </c>
      <c r="F35" s="103">
        <f t="shared" si="28"/>
        <v>30.32</v>
      </c>
    </row>
    <row r="36">
      <c r="E36" s="105">
        <f t="shared" ref="E36:F36" si="29">B36+E35</f>
        <v>121</v>
      </c>
      <c r="F36" s="103">
        <f t="shared" si="29"/>
        <v>30.32</v>
      </c>
    </row>
    <row r="37">
      <c r="E37" s="105">
        <f t="shared" ref="E37:F37" si="30">B37+E36</f>
        <v>121</v>
      </c>
      <c r="F37" s="103">
        <f t="shared" si="30"/>
        <v>30.32</v>
      </c>
    </row>
    <row r="38">
      <c r="E38" s="105">
        <f t="shared" ref="E38:F38" si="31">B38+E37</f>
        <v>121</v>
      </c>
      <c r="F38" s="103">
        <f t="shared" si="31"/>
        <v>30.32</v>
      </c>
    </row>
    <row r="39">
      <c r="E39" s="105">
        <f t="shared" ref="E39:F39" si="32">B39+E38</f>
        <v>121</v>
      </c>
      <c r="F39" s="103">
        <f t="shared" si="32"/>
        <v>30.32</v>
      </c>
    </row>
    <row r="40">
      <c r="E40" s="105">
        <f t="shared" ref="E40:F40" si="33">B40+E39</f>
        <v>121</v>
      </c>
      <c r="F40" s="103">
        <f t="shared" si="33"/>
        <v>30.32</v>
      </c>
    </row>
    <row r="44">
      <c r="A44" s="60" t="s">
        <v>134</v>
      </c>
      <c r="B44" s="60">
        <f>IF(TODAY()=$A$10,E9,IF(TODAY()=$A$11,E10,IF(TODAY()=$A$12,E11,IF(TODAY()=$A$13,E12,IF(TODAY()=$A$14,E13,IF(TODAY()=$A$15,E14,IF(TODAY()=$A$16,E15,IF(TODAY()=$A$17,E16,IF(TODAY()=$A$18,E17,E18)))))))))*100/$E$18</f>
        <v>100</v>
      </c>
    </row>
    <row r="45">
      <c r="A45" s="60" t="s">
        <v>135</v>
      </c>
      <c r="B45" s="103">
        <f>F18*100/E18</f>
        <v>57.2972973</v>
      </c>
    </row>
    <row r="46">
      <c r="A46" s="60" t="s">
        <v>136</v>
      </c>
      <c r="B46" s="103">
        <f>F40</f>
        <v>30.32</v>
      </c>
    </row>
    <row r="47">
      <c r="A47" s="60" t="s">
        <v>77</v>
      </c>
      <c r="B47" s="103">
        <f>1/IF(TODAY()=$A$29,$E$28/$F$28,IF(TODAY()=$A$30,$E$29/$F$29,IF(TODAY()=$A$31,$E$30/$F$30,IF(TODAY()=$A$32,$E$31/$F$31,IF(TODAY()=$A$33,$E$32/$F$32,IF(TODAY()=$A$34,$E$33/$F$33,IF(TODAY()=$A$35,$E$34/$F$34,IF(TODAY()=$A$36,$E$35/$F$35,IF(TODAY()=$A$37,$E$36/$F$36,IF(TODAY()=$A$38,$E$37/$F$37,IF(TODAY()=$A$39,$E$38/$F$38,IF(TODAY()=$A$40,$E$39/$F$39,$E$40/$F$40))))))))))))</f>
        <v>0.2505785124</v>
      </c>
    </row>
    <row r="48">
      <c r="A48" s="60" t="s">
        <v>78</v>
      </c>
      <c r="B48" s="103">
        <f>B45/B44</f>
        <v>0.572972973</v>
      </c>
    </row>
    <row r="49">
      <c r="A49" s="60" t="s">
        <v>137</v>
      </c>
      <c r="B49" s="103">
        <f>(1-B47)*100</f>
        <v>74.94214876</v>
      </c>
    </row>
    <row r="52">
      <c r="B52" s="67">
        <v>44567.0</v>
      </c>
      <c r="C52" s="60" t="s">
        <v>138</v>
      </c>
      <c r="D52" s="67">
        <v>44779.0</v>
      </c>
      <c r="E52" s="60" t="s">
        <v>108</v>
      </c>
    </row>
    <row r="53">
      <c r="A53" s="60" t="s">
        <v>95</v>
      </c>
      <c r="B53" s="60">
        <f>(205+21+21+30+5)-C53</f>
        <v>177</v>
      </c>
      <c r="C53" s="60">
        <v>105.0</v>
      </c>
      <c r="D53" s="60">
        <f>28+5+8+30</f>
        <v>71</v>
      </c>
      <c r="E53" s="60">
        <f t="shared" ref="E53:E57" si="34">SUM(D53,B53,C53)</f>
        <v>353</v>
      </c>
    </row>
    <row r="54">
      <c r="A54" s="60" t="s">
        <v>139</v>
      </c>
      <c r="B54" s="60">
        <f>577+28+56+46-C54</f>
        <v>330</v>
      </c>
      <c r="C54" s="60">
        <v>377.0</v>
      </c>
      <c r="D54" s="60">
        <f>14+5+22+120+180</f>
        <v>341</v>
      </c>
      <c r="E54" s="60">
        <f t="shared" si="34"/>
        <v>1048</v>
      </c>
    </row>
    <row r="55">
      <c r="A55" s="60" t="s">
        <v>140</v>
      </c>
      <c r="B55" s="60">
        <f>1868+296+47+4+60+17+25+191-C55</f>
        <v>640</v>
      </c>
      <c r="C55" s="60">
        <v>1868.0</v>
      </c>
      <c r="D55" s="60">
        <f>500+20+(9.5*60)</f>
        <v>1090</v>
      </c>
      <c r="E55" s="60">
        <f t="shared" si="34"/>
        <v>3598</v>
      </c>
    </row>
    <row r="56">
      <c r="A56" s="60" t="s">
        <v>98</v>
      </c>
      <c r="B56" s="60">
        <f>59+10+17+22+31+53+16+41+31+8-C56</f>
        <v>229</v>
      </c>
      <c r="C56" s="60">
        <v>59.0</v>
      </c>
      <c r="D56" s="60">
        <f>10+5+600+60</f>
        <v>675</v>
      </c>
      <c r="E56" s="60">
        <f t="shared" si="34"/>
        <v>963</v>
      </c>
    </row>
    <row r="57">
      <c r="A57" s="60" t="s">
        <v>141</v>
      </c>
      <c r="B57" s="60">
        <f>30+30-C57</f>
        <v>60</v>
      </c>
      <c r="C57" s="60">
        <v>0.0</v>
      </c>
      <c r="D57" s="60">
        <f>90+20+(11*60)</f>
        <v>770</v>
      </c>
      <c r="E57" s="60">
        <f t="shared" si="34"/>
        <v>830</v>
      </c>
    </row>
  </sheetData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G2" s="59" t="s">
        <v>77</v>
      </c>
      <c r="P2" s="60" t="s">
        <v>77</v>
      </c>
      <c r="Q2" s="60" t="s">
        <v>78</v>
      </c>
    </row>
    <row r="3">
      <c r="G3" s="61">
        <f>T!B47</f>
        <v>0.2505785124</v>
      </c>
      <c r="O3" s="60" t="s">
        <v>79</v>
      </c>
      <c r="P3" s="60">
        <f>1/(T!E25/T!F25)</f>
        <v>0.76</v>
      </c>
      <c r="Q3" s="62">
        <f>T!F3/T!E3</f>
        <v>1</v>
      </c>
    </row>
    <row r="4">
      <c r="O4" s="60" t="s">
        <v>80</v>
      </c>
      <c r="P4" s="63">
        <f>1/(T!E26/T!F26)</f>
        <v>0.5076190476</v>
      </c>
      <c r="Q4" s="62">
        <f>T!F4/T!E4</f>
        <v>1</v>
      </c>
    </row>
    <row r="5">
      <c r="G5" s="64" t="s">
        <v>78</v>
      </c>
      <c r="O5" s="60" t="s">
        <v>81</v>
      </c>
      <c r="P5" s="63">
        <f>1/(T!E27/T!F27)</f>
        <v>0.4852173913</v>
      </c>
      <c r="Q5" s="62">
        <f>T!F5/T!E5</f>
        <v>1</v>
      </c>
    </row>
    <row r="6">
      <c r="G6" s="65">
        <f>T!B48</f>
        <v>0.572972973</v>
      </c>
      <c r="O6" s="60" t="s">
        <v>82</v>
      </c>
      <c r="P6" s="63">
        <f>1/(T!E28/T!F28)</f>
        <v>0.4318518519</v>
      </c>
      <c r="Q6" s="62">
        <f>T!F6/T!E6</f>
        <v>1</v>
      </c>
    </row>
    <row r="7">
      <c r="O7" s="60" t="s">
        <v>83</v>
      </c>
      <c r="P7" s="63">
        <f>1/(T!E29/T!F29)</f>
        <v>0.4342857143</v>
      </c>
      <c r="Q7" s="62">
        <f>T!F7/T!E7</f>
        <v>1</v>
      </c>
    </row>
    <row r="8">
      <c r="G8" s="66" t="s">
        <v>84</v>
      </c>
      <c r="O8" s="60" t="s">
        <v>85</v>
      </c>
      <c r="P8" s="63">
        <f>1/(T!E30/T!F30)</f>
        <v>0.4567741935</v>
      </c>
      <c r="Q8" s="62">
        <f>T!F8/T!E8</f>
        <v>1</v>
      </c>
    </row>
    <row r="9">
      <c r="G9" s="65">
        <f>T!B49</f>
        <v>74.94214876</v>
      </c>
      <c r="O9" s="67">
        <v>44567.0</v>
      </c>
      <c r="P9" s="63">
        <f>1/(T!E31/T!F31)</f>
        <v>0.3218181818</v>
      </c>
      <c r="Q9" s="63">
        <f>T!F9/T!E9</f>
        <v>0.6857142857</v>
      </c>
    </row>
    <row r="10">
      <c r="O10" s="67">
        <v>44598.0</v>
      </c>
      <c r="P10" s="63">
        <f>1/(T!E32/T!F32)</f>
        <v>0.2803960396</v>
      </c>
      <c r="Q10" s="63">
        <f>T!F10/T!E10</f>
        <v>0.5925925926</v>
      </c>
    </row>
    <row r="11">
      <c r="O11" s="67">
        <v>44626.0</v>
      </c>
      <c r="P11" s="63">
        <f>1/(T!E33/T!F33)</f>
        <v>0.2781651376</v>
      </c>
      <c r="Q11" s="63">
        <f>T!F11/T!E11</f>
        <v>0.6162790698</v>
      </c>
    </row>
    <row r="12">
      <c r="O12" s="67">
        <v>44657.0</v>
      </c>
      <c r="P12" s="63">
        <f>1/(T!E34/T!F34)</f>
        <v>0.2505785124</v>
      </c>
      <c r="Q12" s="63">
        <f>T!F12/T!E12</f>
        <v>0.572972973</v>
      </c>
    </row>
    <row r="13">
      <c r="O13" s="67">
        <v>44687.0</v>
      </c>
      <c r="P13" s="63">
        <f>1/(T!E35/T!F35)</f>
        <v>0.2505785124</v>
      </c>
      <c r="Q13" s="63">
        <f>T!F13/T!E13</f>
        <v>0.572972973</v>
      </c>
    </row>
    <row r="14">
      <c r="O14" s="67">
        <v>44718.0</v>
      </c>
      <c r="P14" s="63">
        <f>1/(T!E36/T!F36)</f>
        <v>0.2505785124</v>
      </c>
      <c r="Q14" s="63">
        <f>T!F14/T!E14</f>
        <v>0.572972973</v>
      </c>
    </row>
    <row r="15">
      <c r="O15" s="67">
        <v>44748.0</v>
      </c>
      <c r="P15" s="63">
        <f>1/(T!E37/T!F37)</f>
        <v>0.2505785124</v>
      </c>
      <c r="Q15" s="63">
        <f>T!F15/T!E15</f>
        <v>0.572972973</v>
      </c>
    </row>
    <row r="16">
      <c r="O16" s="67">
        <v>44779.0</v>
      </c>
      <c r="P16" s="63">
        <f>1/(T!E38/T!F38)</f>
        <v>0.2505785124</v>
      </c>
      <c r="Q16" s="63">
        <f>T!F16/T!E16</f>
        <v>0.572972973</v>
      </c>
    </row>
    <row r="17">
      <c r="O17" s="67">
        <v>44810.0</v>
      </c>
      <c r="P17" s="63">
        <f>1/(T!E39/T!F39)</f>
        <v>0.2505785124</v>
      </c>
      <c r="Q17" s="63">
        <f>T!F17/T!E17</f>
        <v>0.572972973</v>
      </c>
    </row>
    <row r="18">
      <c r="O18" s="67">
        <v>44840.0</v>
      </c>
      <c r="P18" s="63">
        <f>1/(T!E40/T!F40)</f>
        <v>0.2505785124</v>
      </c>
      <c r="Q18" s="63">
        <f>T!F18/T!E18</f>
        <v>0.572972973</v>
      </c>
    </row>
    <row r="19">
      <c r="O19" s="67"/>
    </row>
    <row r="20">
      <c r="O20" s="67"/>
    </row>
    <row r="22">
      <c r="O22" s="6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4.75"/>
    <col customWidth="1" min="2" max="2" width="68.63"/>
    <col customWidth="1" min="4" max="4" width="11.38"/>
    <col customWidth="1" min="5" max="6" width="14.75"/>
  </cols>
  <sheetData>
    <row r="1">
      <c r="A1" s="68" t="s">
        <v>2</v>
      </c>
      <c r="B1" s="69" t="s">
        <v>86</v>
      </c>
      <c r="C1" s="70" t="s">
        <v>87</v>
      </c>
      <c r="D1" s="71" t="s">
        <v>88</v>
      </c>
      <c r="E1" s="71" t="s">
        <v>89</v>
      </c>
      <c r="F1" s="71" t="s">
        <v>90</v>
      </c>
      <c r="G1" s="72" t="s">
        <v>91</v>
      </c>
      <c r="H1" s="72" t="s">
        <v>92</v>
      </c>
      <c r="K1" s="73"/>
      <c r="L1" s="74" t="s">
        <v>93</v>
      </c>
      <c r="M1" s="74" t="s">
        <v>94</v>
      </c>
      <c r="P1" s="73"/>
      <c r="Q1" s="74"/>
      <c r="R1" s="74"/>
      <c r="T1" s="73"/>
      <c r="U1" s="74"/>
      <c r="V1" s="74"/>
      <c r="X1" s="73"/>
      <c r="Y1" s="74"/>
      <c r="Z1" s="74"/>
    </row>
    <row r="2">
      <c r="A2" s="75">
        <v>1.0</v>
      </c>
      <c r="B2" s="76"/>
      <c r="C2" s="77"/>
      <c r="D2" s="78"/>
      <c r="E2" s="76"/>
      <c r="F2" s="76"/>
      <c r="G2" s="78"/>
      <c r="H2" s="78"/>
      <c r="K2" s="79" t="s">
        <v>95</v>
      </c>
      <c r="L2" s="80">
        <f t="shared" ref="L2:M2" si="1">COUNTIF(E:E,$K2)</f>
        <v>0</v>
      </c>
      <c r="M2" s="80">
        <f t="shared" si="1"/>
        <v>0</v>
      </c>
      <c r="P2" s="79"/>
      <c r="Q2" s="80"/>
      <c r="R2" s="80"/>
      <c r="T2" s="79"/>
      <c r="U2" s="80"/>
      <c r="V2" s="80"/>
      <c r="X2" s="79"/>
      <c r="Y2" s="80"/>
      <c r="Z2" s="80"/>
    </row>
    <row r="3">
      <c r="A3" s="75">
        <f t="shared" ref="A3:A26" si="2">A2+1</f>
        <v>2</v>
      </c>
      <c r="B3" s="81"/>
      <c r="C3" s="77"/>
      <c r="D3" s="78"/>
      <c r="E3" s="76"/>
      <c r="F3" s="76"/>
      <c r="G3" s="78"/>
      <c r="H3" s="78"/>
      <c r="K3" s="79" t="s">
        <v>96</v>
      </c>
      <c r="L3" s="80">
        <f t="shared" ref="L3:L6" si="3">COUNTIF(E:E,K3)</f>
        <v>0</v>
      </c>
      <c r="M3" s="80">
        <f t="shared" ref="M3:M6" si="4">COUNTIF(F:F,$K3)</f>
        <v>0</v>
      </c>
      <c r="P3" s="79"/>
      <c r="Q3" s="82"/>
      <c r="R3" s="82"/>
      <c r="T3" s="79"/>
      <c r="U3" s="82"/>
      <c r="V3" s="82"/>
      <c r="X3" s="79"/>
      <c r="Y3" s="82"/>
      <c r="Z3" s="82"/>
    </row>
    <row r="4">
      <c r="A4" s="75">
        <f t="shared" si="2"/>
        <v>3</v>
      </c>
      <c r="B4" s="81"/>
      <c r="C4" s="77"/>
      <c r="D4" s="78"/>
      <c r="E4" s="76"/>
      <c r="F4" s="76"/>
      <c r="G4" s="78"/>
      <c r="H4" s="78"/>
      <c r="K4" s="79" t="s">
        <v>97</v>
      </c>
      <c r="L4" s="80">
        <f t="shared" si="3"/>
        <v>0</v>
      </c>
      <c r="M4" s="80">
        <f t="shared" si="4"/>
        <v>0</v>
      </c>
      <c r="P4" s="79"/>
      <c r="Q4" s="82"/>
      <c r="R4" s="82"/>
      <c r="T4" s="79"/>
      <c r="U4" s="82"/>
      <c r="V4" s="82"/>
      <c r="X4" s="79"/>
      <c r="Y4" s="82"/>
      <c r="Z4" s="82"/>
    </row>
    <row r="5">
      <c r="A5" s="75">
        <f t="shared" si="2"/>
        <v>4</v>
      </c>
      <c r="B5" s="81"/>
      <c r="C5" s="77"/>
      <c r="D5" s="78"/>
      <c r="E5" s="76"/>
      <c r="F5" s="76"/>
      <c r="G5" s="78"/>
      <c r="H5" s="78"/>
      <c r="K5" s="79" t="s">
        <v>98</v>
      </c>
      <c r="L5" s="80">
        <f t="shared" si="3"/>
        <v>0</v>
      </c>
      <c r="M5" s="80">
        <f t="shared" si="4"/>
        <v>0</v>
      </c>
      <c r="P5" s="79"/>
      <c r="Q5" s="82"/>
      <c r="R5" s="82"/>
      <c r="T5" s="79"/>
      <c r="U5" s="82"/>
      <c r="V5" s="82"/>
      <c r="X5" s="79"/>
      <c r="Y5" s="82"/>
      <c r="Z5" s="82"/>
    </row>
    <row r="6">
      <c r="A6" s="75">
        <f t="shared" si="2"/>
        <v>5</v>
      </c>
      <c r="B6" s="81"/>
      <c r="C6" s="77"/>
      <c r="D6" s="78"/>
      <c r="E6" s="76"/>
      <c r="F6" s="76"/>
      <c r="G6" s="78"/>
      <c r="H6" s="78"/>
      <c r="K6" s="79" t="s">
        <v>99</v>
      </c>
      <c r="L6" s="80">
        <f t="shared" si="3"/>
        <v>0</v>
      </c>
      <c r="M6" s="80">
        <f t="shared" si="4"/>
        <v>0</v>
      </c>
      <c r="P6" s="79"/>
      <c r="Q6" s="82"/>
      <c r="R6" s="82"/>
      <c r="T6" s="79"/>
      <c r="U6" s="82"/>
      <c r="V6" s="82"/>
      <c r="X6" s="79"/>
      <c r="Y6" s="82"/>
      <c r="Z6" s="82"/>
    </row>
    <row r="7">
      <c r="A7" s="75">
        <f t="shared" si="2"/>
        <v>6</v>
      </c>
      <c r="B7" s="81"/>
      <c r="C7" s="77"/>
      <c r="D7" s="78"/>
      <c r="E7" s="76"/>
      <c r="F7" s="76"/>
      <c r="G7" s="78"/>
      <c r="H7" s="78"/>
    </row>
    <row r="8">
      <c r="A8" s="75">
        <f t="shared" si="2"/>
        <v>7</v>
      </c>
      <c r="B8" s="81"/>
      <c r="C8" s="77"/>
      <c r="D8" s="78"/>
      <c r="E8" s="76"/>
      <c r="F8" s="76"/>
      <c r="G8" s="78"/>
      <c r="H8" s="78"/>
    </row>
    <row r="9">
      <c r="A9" s="75">
        <f t="shared" si="2"/>
        <v>8</v>
      </c>
      <c r="B9" s="81"/>
      <c r="C9" s="77"/>
      <c r="D9" s="78"/>
      <c r="E9" s="76"/>
      <c r="F9" s="76"/>
      <c r="G9" s="78"/>
      <c r="H9" s="78"/>
    </row>
    <row r="10">
      <c r="A10" s="75">
        <f t="shared" si="2"/>
        <v>9</v>
      </c>
      <c r="B10" s="81"/>
      <c r="C10" s="76"/>
      <c r="D10" s="78"/>
      <c r="E10" s="76"/>
      <c r="F10" s="76"/>
      <c r="G10" s="78"/>
      <c r="H10" s="78"/>
    </row>
    <row r="11">
      <c r="A11" s="75">
        <f t="shared" si="2"/>
        <v>10</v>
      </c>
      <c r="B11" s="81"/>
      <c r="C11" s="77"/>
      <c r="D11" s="78"/>
      <c r="E11" s="76"/>
      <c r="F11" s="76"/>
      <c r="G11" s="78"/>
      <c r="H11" s="78"/>
    </row>
    <row r="12">
      <c r="A12" s="75">
        <f t="shared" si="2"/>
        <v>11</v>
      </c>
      <c r="B12" s="81"/>
      <c r="C12" s="77"/>
      <c r="D12" s="78"/>
      <c r="E12" s="76"/>
      <c r="F12" s="76"/>
      <c r="G12" s="78"/>
      <c r="H12" s="78"/>
    </row>
    <row r="13">
      <c r="A13" s="75">
        <f t="shared" si="2"/>
        <v>12</v>
      </c>
      <c r="B13" s="81"/>
      <c r="C13" s="77"/>
      <c r="D13" s="78"/>
      <c r="E13" s="76"/>
      <c r="F13" s="76"/>
      <c r="G13" s="78"/>
      <c r="H13" s="78"/>
    </row>
    <row r="14">
      <c r="A14" s="75">
        <f t="shared" si="2"/>
        <v>13</v>
      </c>
      <c r="B14" s="81"/>
      <c r="C14" s="77"/>
      <c r="D14" s="78"/>
      <c r="E14" s="76"/>
      <c r="F14" s="76"/>
      <c r="G14" s="78"/>
      <c r="H14" s="78"/>
    </row>
    <row r="15">
      <c r="A15" s="75">
        <f t="shared" si="2"/>
        <v>14</v>
      </c>
      <c r="B15" s="81"/>
      <c r="C15" s="77"/>
      <c r="D15" s="78"/>
      <c r="E15" s="76"/>
      <c r="F15" s="76"/>
      <c r="G15" s="78"/>
      <c r="H15" s="78"/>
    </row>
    <row r="16">
      <c r="A16" s="75">
        <f t="shared" si="2"/>
        <v>15</v>
      </c>
      <c r="B16" s="81"/>
      <c r="C16" s="77"/>
      <c r="D16" s="78"/>
      <c r="E16" s="76"/>
      <c r="F16" s="76"/>
      <c r="G16" s="78"/>
      <c r="H16" s="78"/>
    </row>
    <row r="17">
      <c r="A17" s="75">
        <f t="shared" si="2"/>
        <v>16</v>
      </c>
      <c r="B17" s="81"/>
      <c r="C17" s="77"/>
      <c r="D17" s="78"/>
      <c r="E17" s="76"/>
      <c r="F17" s="76"/>
      <c r="G17" s="78"/>
      <c r="H17" s="78"/>
    </row>
    <row r="18">
      <c r="A18" s="75">
        <f t="shared" si="2"/>
        <v>17</v>
      </c>
      <c r="B18" s="78"/>
      <c r="C18" s="78"/>
      <c r="D18" s="78"/>
      <c r="E18" s="76"/>
      <c r="F18" s="76"/>
      <c r="G18" s="78"/>
      <c r="H18" s="78"/>
    </row>
    <row r="19">
      <c r="A19" s="75">
        <f t="shared" si="2"/>
        <v>18</v>
      </c>
      <c r="B19" s="78"/>
      <c r="C19" s="78"/>
      <c r="D19" s="78"/>
      <c r="E19" s="76"/>
      <c r="F19" s="76"/>
      <c r="G19" s="78"/>
      <c r="H19" s="78"/>
    </row>
    <row r="20">
      <c r="A20" s="75">
        <f t="shared" si="2"/>
        <v>19</v>
      </c>
      <c r="B20" s="78"/>
      <c r="C20" s="78"/>
      <c r="D20" s="78"/>
      <c r="E20" s="76"/>
      <c r="F20" s="76"/>
      <c r="G20" s="78"/>
      <c r="H20" s="78"/>
    </row>
    <row r="21">
      <c r="A21" s="75">
        <f t="shared" si="2"/>
        <v>20</v>
      </c>
      <c r="B21" s="78"/>
      <c r="C21" s="78"/>
      <c r="D21" s="78"/>
      <c r="E21" s="76"/>
      <c r="F21" s="76"/>
      <c r="G21" s="78"/>
      <c r="H21" s="78"/>
    </row>
    <row r="22">
      <c r="A22" s="75">
        <f t="shared" si="2"/>
        <v>21</v>
      </c>
      <c r="B22" s="78"/>
      <c r="C22" s="78"/>
      <c r="D22" s="78"/>
      <c r="E22" s="76"/>
      <c r="F22" s="76"/>
      <c r="G22" s="78"/>
      <c r="H22" s="78"/>
    </row>
    <row r="23">
      <c r="A23" s="75">
        <f t="shared" si="2"/>
        <v>22</v>
      </c>
      <c r="B23" s="78"/>
      <c r="C23" s="78"/>
      <c r="D23" s="78"/>
      <c r="E23" s="76"/>
      <c r="F23" s="76"/>
      <c r="G23" s="78"/>
      <c r="H23" s="78"/>
    </row>
    <row r="24">
      <c r="A24" s="75">
        <f t="shared" si="2"/>
        <v>23</v>
      </c>
      <c r="B24" s="78"/>
      <c r="C24" s="78"/>
      <c r="D24" s="78"/>
      <c r="E24" s="76"/>
      <c r="F24" s="76"/>
      <c r="G24" s="78"/>
      <c r="H24" s="78"/>
    </row>
    <row r="25">
      <c r="A25" s="75">
        <f t="shared" si="2"/>
        <v>24</v>
      </c>
      <c r="B25" s="78"/>
      <c r="C25" s="78"/>
      <c r="D25" s="78"/>
      <c r="E25" s="76"/>
      <c r="F25" s="76"/>
      <c r="G25" s="78"/>
      <c r="H25" s="78"/>
    </row>
    <row r="26">
      <c r="A26" s="75">
        <f t="shared" si="2"/>
        <v>25</v>
      </c>
      <c r="B26" s="78"/>
      <c r="C26" s="78"/>
      <c r="D26" s="78"/>
      <c r="E26" s="76"/>
      <c r="F26" s="76"/>
      <c r="G26" s="78"/>
      <c r="H26" s="78"/>
    </row>
    <row r="27">
      <c r="A27" s="83"/>
      <c r="B27" s="78"/>
      <c r="C27" s="78"/>
      <c r="D27" s="78"/>
      <c r="E27" s="76"/>
      <c r="F27" s="76"/>
      <c r="G27" s="78"/>
      <c r="H27" s="78"/>
    </row>
    <row r="28">
      <c r="A28" s="83"/>
      <c r="B28" s="78"/>
      <c r="C28" s="78"/>
      <c r="D28" s="78"/>
      <c r="E28" s="76"/>
      <c r="F28" s="76"/>
      <c r="G28" s="78"/>
      <c r="H28" s="78"/>
    </row>
    <row r="29">
      <c r="A29" s="83"/>
      <c r="B29" s="78"/>
      <c r="C29" s="78"/>
      <c r="D29" s="78"/>
      <c r="E29" s="76"/>
      <c r="F29" s="76"/>
      <c r="G29" s="78"/>
      <c r="H29" s="78"/>
    </row>
    <row r="30">
      <c r="A30" s="83"/>
      <c r="B30" s="78"/>
      <c r="C30" s="78"/>
      <c r="D30" s="78"/>
      <c r="E30" s="76"/>
      <c r="F30" s="76"/>
      <c r="G30" s="78"/>
      <c r="H30" s="78"/>
    </row>
    <row r="31">
      <c r="A31" s="83"/>
      <c r="B31" s="78"/>
      <c r="C31" s="78"/>
      <c r="D31" s="78"/>
      <c r="E31" s="76"/>
      <c r="F31" s="76"/>
      <c r="G31" s="78"/>
      <c r="H31" s="78"/>
    </row>
    <row r="32">
      <c r="A32" s="83"/>
      <c r="B32" s="78"/>
      <c r="C32" s="78"/>
      <c r="D32" s="78"/>
      <c r="E32" s="76"/>
      <c r="F32" s="76"/>
      <c r="G32" s="78"/>
      <c r="H32" s="78"/>
    </row>
    <row r="33">
      <c r="A33" s="83"/>
      <c r="B33" s="78"/>
      <c r="C33" s="78"/>
      <c r="D33" s="78"/>
      <c r="E33" s="76"/>
      <c r="F33" s="76"/>
      <c r="G33" s="78"/>
      <c r="H33" s="78"/>
    </row>
    <row r="34">
      <c r="A34" s="83"/>
      <c r="B34" s="78"/>
      <c r="C34" s="78"/>
      <c r="D34" s="78"/>
      <c r="E34" s="78"/>
      <c r="F34" s="78"/>
      <c r="G34" s="78"/>
      <c r="H34" s="78"/>
    </row>
    <row r="35">
      <c r="A35" s="83"/>
      <c r="B35" s="78"/>
      <c r="C35" s="78"/>
      <c r="D35" s="78"/>
      <c r="E35" s="78"/>
      <c r="F35" s="78"/>
      <c r="G35" s="78"/>
      <c r="H35" s="78"/>
    </row>
    <row r="36">
      <c r="A36" s="83"/>
      <c r="B36" s="78"/>
      <c r="C36" s="78"/>
      <c r="D36" s="78"/>
      <c r="E36" s="78"/>
      <c r="F36" s="78"/>
      <c r="G36" s="78"/>
      <c r="H36" s="78"/>
    </row>
    <row r="37">
      <c r="A37" s="83"/>
      <c r="B37" s="78"/>
      <c r="C37" s="78"/>
      <c r="D37" s="78"/>
      <c r="E37" s="78"/>
      <c r="F37" s="78"/>
      <c r="G37" s="78"/>
      <c r="H37" s="78"/>
    </row>
    <row r="38">
      <c r="A38" s="83"/>
      <c r="B38" s="78"/>
      <c r="C38" s="78"/>
      <c r="D38" s="78"/>
      <c r="E38" s="78"/>
      <c r="F38" s="78"/>
      <c r="G38" s="78"/>
      <c r="H38" s="78"/>
    </row>
    <row r="39">
      <c r="A39" s="83"/>
      <c r="B39" s="50"/>
      <c r="C39" s="78"/>
      <c r="D39" s="78"/>
      <c r="E39" s="78"/>
      <c r="F39" s="78"/>
      <c r="G39" s="78"/>
      <c r="H39" s="78"/>
    </row>
    <row r="40">
      <c r="A40" s="83"/>
      <c r="B40" s="78"/>
      <c r="C40" s="78"/>
      <c r="D40" s="78"/>
      <c r="E40" s="78"/>
      <c r="F40" s="78"/>
      <c r="G40" s="78"/>
      <c r="H40" s="78"/>
    </row>
    <row r="41">
      <c r="A41" s="83"/>
      <c r="B41" s="78"/>
      <c r="C41" s="78"/>
      <c r="D41" s="78"/>
      <c r="E41" s="78"/>
      <c r="F41" s="78"/>
      <c r="G41" s="78"/>
      <c r="H41" s="78"/>
    </row>
    <row r="42">
      <c r="A42" s="83"/>
      <c r="B42" s="78"/>
      <c r="C42" s="78"/>
      <c r="D42" s="78"/>
      <c r="E42" s="78"/>
      <c r="F42" s="78"/>
      <c r="G42" s="78"/>
      <c r="H42" s="78"/>
    </row>
    <row r="43">
      <c r="A43" s="83"/>
      <c r="B43" s="78"/>
      <c r="C43" s="78"/>
      <c r="D43" s="78"/>
      <c r="E43" s="78"/>
      <c r="F43" s="78"/>
      <c r="G43" s="78"/>
      <c r="H43" s="78"/>
    </row>
    <row r="44">
      <c r="A44" s="83"/>
      <c r="B44" s="78"/>
      <c r="C44" s="78"/>
      <c r="D44" s="78"/>
      <c r="E44" s="78"/>
      <c r="F44" s="78"/>
      <c r="G44" s="78"/>
      <c r="H44" s="78"/>
    </row>
    <row r="45">
      <c r="A45" s="83"/>
      <c r="B45" s="78"/>
      <c r="C45" s="78"/>
      <c r="D45" s="78"/>
      <c r="E45" s="78"/>
      <c r="F45" s="78"/>
      <c r="G45" s="78"/>
      <c r="H45" s="78"/>
    </row>
    <row r="46">
      <c r="A46" s="83"/>
      <c r="B46" s="78"/>
      <c r="C46" s="78"/>
      <c r="D46" s="78"/>
      <c r="E46" s="78"/>
      <c r="F46" s="78"/>
      <c r="G46" s="78"/>
      <c r="H46" s="78"/>
    </row>
    <row r="47">
      <c r="A47" s="83"/>
      <c r="B47" s="78"/>
      <c r="C47" s="78"/>
      <c r="D47" s="78"/>
      <c r="E47" s="76"/>
      <c r="F47" s="76"/>
      <c r="G47" s="78"/>
      <c r="H47" s="78"/>
    </row>
    <row r="48">
      <c r="A48" s="83"/>
      <c r="B48" s="78"/>
      <c r="C48" s="78"/>
      <c r="D48" s="78"/>
      <c r="E48" s="78"/>
      <c r="F48" s="78"/>
      <c r="G48" s="78"/>
      <c r="H48" s="78"/>
    </row>
    <row r="49">
      <c r="A49" s="83"/>
      <c r="B49" s="78"/>
      <c r="C49" s="78"/>
      <c r="D49" s="78"/>
      <c r="E49" s="78"/>
      <c r="F49" s="78"/>
      <c r="G49" s="78"/>
      <c r="H49" s="78"/>
    </row>
    <row r="50">
      <c r="A50" s="83"/>
      <c r="B50" s="78"/>
      <c r="C50" s="78"/>
      <c r="D50" s="78"/>
      <c r="E50" s="78"/>
      <c r="F50" s="78"/>
      <c r="G50" s="78"/>
      <c r="H50" s="78"/>
    </row>
    <row r="51">
      <c r="A51" s="83"/>
      <c r="B51" s="78"/>
      <c r="C51" s="78"/>
      <c r="D51" s="78"/>
      <c r="E51" s="78"/>
      <c r="F51" s="78"/>
      <c r="G51" s="78"/>
      <c r="H51" s="78"/>
    </row>
    <row r="52">
      <c r="A52" s="83"/>
      <c r="B52" s="78"/>
      <c r="C52" s="78"/>
      <c r="D52" s="78"/>
      <c r="E52" s="78"/>
      <c r="F52" s="78"/>
      <c r="G52" s="78"/>
      <c r="H52" s="78"/>
    </row>
    <row r="53">
      <c r="A53" s="83"/>
      <c r="B53" s="78"/>
      <c r="C53" s="78"/>
      <c r="D53" s="78"/>
      <c r="E53" s="78"/>
      <c r="F53" s="78"/>
      <c r="G53" s="78"/>
      <c r="H53" s="78"/>
    </row>
    <row r="54">
      <c r="A54" s="83"/>
      <c r="B54" s="78"/>
      <c r="C54" s="78"/>
      <c r="D54" s="78"/>
      <c r="E54" s="78"/>
      <c r="F54" s="78"/>
      <c r="G54" s="78"/>
      <c r="H54" s="78"/>
    </row>
    <row r="55">
      <c r="A55" s="83"/>
      <c r="B55" s="78"/>
      <c r="C55" s="78"/>
      <c r="D55" s="78"/>
      <c r="E55" s="78"/>
      <c r="F55" s="78"/>
      <c r="G55" s="78"/>
      <c r="H55" s="78"/>
    </row>
    <row r="56">
      <c r="A56" s="83"/>
      <c r="B56" s="78"/>
      <c r="C56" s="78"/>
      <c r="D56" s="78"/>
      <c r="E56" s="78"/>
      <c r="F56" s="78"/>
      <c r="G56" s="78"/>
      <c r="H56" s="78"/>
    </row>
    <row r="57">
      <c r="A57" s="83"/>
      <c r="B57" s="78"/>
      <c r="C57" s="78"/>
      <c r="D57" s="78"/>
      <c r="E57" s="78"/>
      <c r="F57" s="78"/>
      <c r="G57" s="78"/>
      <c r="H57" s="78"/>
    </row>
    <row r="58">
      <c r="A58" s="83"/>
      <c r="B58" s="78"/>
      <c r="C58" s="78"/>
      <c r="D58" s="78"/>
      <c r="E58" s="78"/>
      <c r="F58" s="78"/>
      <c r="G58" s="78"/>
      <c r="H58" s="78"/>
    </row>
    <row r="59">
      <c r="A59" s="83"/>
      <c r="B59" s="78"/>
      <c r="C59" s="78"/>
      <c r="D59" s="78"/>
      <c r="E59" s="78"/>
      <c r="F59" s="78"/>
      <c r="G59" s="78"/>
      <c r="H59" s="78"/>
    </row>
    <row r="60">
      <c r="A60" s="83"/>
      <c r="B60" s="78"/>
      <c r="C60" s="78"/>
      <c r="D60" s="78"/>
      <c r="E60" s="78"/>
      <c r="F60" s="78"/>
      <c r="G60" s="78"/>
      <c r="H60" s="78"/>
    </row>
    <row r="61">
      <c r="A61" s="83"/>
      <c r="B61" s="78"/>
      <c r="C61" s="78"/>
      <c r="D61" s="78"/>
      <c r="E61" s="78"/>
      <c r="F61" s="78"/>
      <c r="G61" s="78"/>
      <c r="H61" s="78"/>
    </row>
    <row r="62">
      <c r="A62" s="60"/>
      <c r="B62" s="78"/>
      <c r="C62" s="78"/>
      <c r="D62" s="78"/>
      <c r="E62" s="78"/>
      <c r="F62" s="78"/>
      <c r="G62" s="78"/>
      <c r="H62" s="78"/>
    </row>
    <row r="63">
      <c r="A63" s="60"/>
      <c r="B63" s="78"/>
      <c r="C63" s="78"/>
      <c r="D63" s="78"/>
      <c r="E63" s="78"/>
      <c r="F63" s="78"/>
      <c r="G63" s="78"/>
      <c r="H63" s="78"/>
    </row>
    <row r="64">
      <c r="A64" s="83"/>
      <c r="B64" s="78"/>
      <c r="C64" s="78"/>
      <c r="D64" s="78"/>
      <c r="E64" s="78"/>
      <c r="F64" s="78"/>
      <c r="G64" s="78"/>
      <c r="H64" s="78"/>
    </row>
    <row r="65">
      <c r="A65" s="60"/>
      <c r="B65" s="78"/>
      <c r="C65" s="78"/>
      <c r="D65" s="78"/>
      <c r="E65" s="78"/>
      <c r="F65" s="78"/>
      <c r="G65" s="78"/>
      <c r="H65" s="78"/>
    </row>
    <row r="66">
      <c r="A66" s="83"/>
      <c r="B66" s="78"/>
      <c r="C66" s="78"/>
      <c r="D66" s="78"/>
      <c r="E66" s="78"/>
      <c r="F66" s="78"/>
      <c r="G66" s="78"/>
      <c r="H66" s="78"/>
    </row>
    <row r="67">
      <c r="A67" s="60"/>
      <c r="B67" s="78"/>
      <c r="C67" s="78"/>
      <c r="D67" s="78"/>
      <c r="E67" s="78"/>
      <c r="F67" s="78"/>
      <c r="G67" s="78"/>
      <c r="H67" s="78"/>
    </row>
    <row r="68">
      <c r="A68" s="83"/>
      <c r="B68" s="78"/>
      <c r="C68" s="78"/>
      <c r="D68" s="78"/>
      <c r="E68" s="78"/>
      <c r="F68" s="78"/>
      <c r="G68" s="78"/>
      <c r="H68" s="78"/>
    </row>
    <row r="69">
      <c r="A69" s="60"/>
      <c r="B69" s="78"/>
      <c r="C69" s="78"/>
      <c r="D69" s="78"/>
      <c r="E69" s="78"/>
      <c r="F69" s="78"/>
      <c r="G69" s="78"/>
      <c r="H69" s="78"/>
    </row>
    <row r="70">
      <c r="A70" s="83"/>
      <c r="B70" s="78"/>
      <c r="C70" s="78"/>
      <c r="D70" s="78"/>
      <c r="E70" s="78"/>
      <c r="F70" s="78"/>
      <c r="G70" s="78"/>
      <c r="H70" s="78"/>
    </row>
    <row r="71">
      <c r="A71" s="60"/>
      <c r="B71" s="78"/>
      <c r="C71" s="78"/>
      <c r="D71" s="78"/>
      <c r="E71" s="78"/>
      <c r="F71" s="78"/>
      <c r="G71" s="78"/>
      <c r="H71" s="78"/>
    </row>
    <row r="72">
      <c r="A72" s="83"/>
      <c r="B72" s="78"/>
      <c r="C72" s="78"/>
      <c r="D72" s="78"/>
      <c r="E72" s="78"/>
      <c r="F72" s="78"/>
      <c r="G72" s="78"/>
      <c r="H72" s="78"/>
    </row>
    <row r="73">
      <c r="A73" s="60"/>
      <c r="B73" s="78"/>
      <c r="C73" s="78"/>
      <c r="D73" s="78"/>
      <c r="E73" s="78"/>
      <c r="F73" s="78"/>
      <c r="G73" s="78"/>
      <c r="H73" s="78"/>
    </row>
    <row r="74">
      <c r="A74" s="83"/>
      <c r="B74" s="78"/>
      <c r="C74" s="78"/>
      <c r="D74" s="78"/>
      <c r="E74" s="78"/>
      <c r="F74" s="78"/>
      <c r="G74" s="78"/>
      <c r="H74" s="78"/>
    </row>
    <row r="75">
      <c r="A75" s="60"/>
      <c r="B75" s="78"/>
      <c r="C75" s="78"/>
      <c r="D75" s="78"/>
      <c r="E75" s="78"/>
      <c r="F75" s="78"/>
      <c r="G75" s="78"/>
      <c r="H75" s="78"/>
    </row>
    <row r="76">
      <c r="A76" s="83"/>
      <c r="B76" s="78"/>
      <c r="C76" s="78"/>
      <c r="D76" s="78"/>
      <c r="E76" s="78"/>
      <c r="F76" s="78"/>
      <c r="G76" s="78"/>
      <c r="H76" s="78"/>
    </row>
    <row r="77">
      <c r="A77" s="60"/>
      <c r="B77" s="78"/>
      <c r="C77" s="78"/>
      <c r="D77" s="78"/>
      <c r="E77" s="78"/>
      <c r="F77" s="78"/>
      <c r="G77" s="78"/>
      <c r="H77" s="78"/>
    </row>
    <row r="78">
      <c r="A78" s="83"/>
      <c r="B78" s="78"/>
      <c r="C78" s="78"/>
      <c r="D78" s="78"/>
      <c r="E78" s="78"/>
      <c r="F78" s="78"/>
      <c r="G78" s="78"/>
      <c r="H78" s="78"/>
    </row>
    <row r="79">
      <c r="A79" s="60"/>
      <c r="B79" s="78"/>
      <c r="C79" s="78"/>
      <c r="D79" s="78"/>
      <c r="E79" s="78"/>
      <c r="F79" s="78"/>
      <c r="G79" s="78"/>
      <c r="H79" s="78"/>
    </row>
  </sheetData>
  <customSheetViews>
    <customSheetView guid="{385E7D62-157F-45F1-8F26-A42AD912E688}" filter="1" showAutoFilter="1">
      <autoFilter ref="$A$1:$H$64"/>
      <extLst>
        <ext uri="GoogleSheetsCustomDataVersion1">
          <go:sheetsCustomData xmlns:go="http://customooxmlschemas.google.com/" filterViewId="1996726352"/>
        </ext>
      </extLst>
    </customSheetView>
  </customSheetViews>
  <dataValidations>
    <dataValidation type="list" allowBlank="1" sqref="E34:F46 E48:F79">
      <formula1>"Análisis,Diseño,Implementación,Pruebas,Producción"</formula1>
    </dataValidation>
    <dataValidation type="list" allowBlank="1" sqref="H2:H79">
      <formula1>"Done,En progreso,Pendiente,Rechazado"</formula1>
    </dataValidation>
    <dataValidation type="list" allowBlank="1" showErrorMessage="1" sqref="E2:F33 E47:F47">
      <formula1>"Análisis,Diseño,Implementación,Pruebas,Producción"</formula1>
    </dataValidation>
    <dataValidation type="list" allowBlank="1" sqref="D2:D46 D48:D79">
      <formula1>"Formato,Cosmético,Necesarío,Urgente,Emergencia"</formula1>
    </dataValidation>
    <dataValidation type="list" allowBlank="1" sqref="G2:G79">
      <formula1>"Formato,Datos,Lógico,Ortográfico,Versión,Formato,UI,Seguridad,Bug"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>
      <c r="A2" s="79"/>
      <c r="B2" s="1"/>
      <c r="C2" s="84"/>
      <c r="G2" s="79"/>
      <c r="H2" s="79"/>
      <c r="I2" s="79"/>
      <c r="J2" s="79"/>
      <c r="K2" s="79"/>
      <c r="L2" s="79"/>
      <c r="M2" s="79"/>
    </row>
    <row r="3">
      <c r="A3" s="79"/>
      <c r="G3" s="79"/>
      <c r="H3" s="79"/>
      <c r="I3" s="79"/>
      <c r="J3" s="79"/>
      <c r="K3" s="79"/>
      <c r="L3" s="79"/>
      <c r="M3" s="79"/>
    </row>
    <row r="4">
      <c r="A4" s="79"/>
      <c r="G4" s="79"/>
      <c r="H4" s="79"/>
      <c r="I4" s="79"/>
      <c r="J4" s="79"/>
      <c r="K4" s="79"/>
      <c r="L4" s="79"/>
      <c r="M4" s="79"/>
    </row>
    <row r="5">
      <c r="A5" s="79"/>
      <c r="B5" s="79"/>
      <c r="C5" s="85"/>
      <c r="D5" s="85"/>
      <c r="E5" s="85"/>
      <c r="F5" s="85"/>
      <c r="G5" s="85"/>
      <c r="H5" s="85"/>
      <c r="I5" s="85"/>
      <c r="J5" s="85"/>
      <c r="K5" s="79"/>
      <c r="L5" s="79"/>
      <c r="M5" s="79"/>
    </row>
    <row r="6">
      <c r="A6" s="79"/>
      <c r="B6" s="4" t="s">
        <v>100</v>
      </c>
      <c r="C6" s="4" t="s">
        <v>101</v>
      </c>
      <c r="D6" s="4" t="s">
        <v>102</v>
      </c>
      <c r="E6" s="4" t="s">
        <v>103</v>
      </c>
      <c r="F6" s="4" t="s">
        <v>104</v>
      </c>
      <c r="G6" s="4" t="s">
        <v>105</v>
      </c>
      <c r="H6" s="4" t="s">
        <v>106</v>
      </c>
      <c r="I6" s="4" t="s">
        <v>107</v>
      </c>
      <c r="J6" s="4" t="s">
        <v>108</v>
      </c>
      <c r="K6" s="79"/>
      <c r="L6" s="79"/>
      <c r="M6" s="79"/>
    </row>
    <row r="7">
      <c r="A7" s="85"/>
      <c r="B7" s="86" t="s">
        <v>32</v>
      </c>
      <c r="C7" s="87">
        <v>2.0</v>
      </c>
      <c r="D7" s="87">
        <v>2.0</v>
      </c>
      <c r="E7" s="87">
        <v>1.0</v>
      </c>
      <c r="F7" s="87">
        <v>2.0</v>
      </c>
      <c r="G7" s="87">
        <v>1.0</v>
      </c>
      <c r="H7" s="87">
        <v>3.0</v>
      </c>
      <c r="I7" s="88">
        <v>0.0</v>
      </c>
      <c r="J7" s="88">
        <f t="shared" ref="J7:J11" si="1">SUM(C7:I7)</f>
        <v>11</v>
      </c>
      <c r="K7" s="79"/>
      <c r="L7" s="79"/>
      <c r="M7" s="79"/>
    </row>
    <row r="8">
      <c r="A8" s="85"/>
      <c r="B8" s="89" t="s">
        <v>109</v>
      </c>
      <c r="C8" s="87">
        <v>2.0</v>
      </c>
      <c r="D8" s="87">
        <v>1.0</v>
      </c>
      <c r="E8" s="87">
        <v>1.0</v>
      </c>
      <c r="F8" s="87">
        <v>2.0</v>
      </c>
      <c r="G8" s="87">
        <v>2.0</v>
      </c>
      <c r="H8" s="87">
        <v>3.0</v>
      </c>
      <c r="I8" s="88">
        <v>0.0</v>
      </c>
      <c r="J8" s="88">
        <f t="shared" si="1"/>
        <v>11</v>
      </c>
      <c r="K8" s="79"/>
      <c r="L8" s="79"/>
      <c r="M8" s="79"/>
    </row>
    <row r="9" ht="35.25" customHeight="1">
      <c r="A9" s="85"/>
      <c r="B9" s="90" t="s">
        <v>110</v>
      </c>
      <c r="C9" s="87">
        <v>3.0</v>
      </c>
      <c r="D9" s="87">
        <v>2.0</v>
      </c>
      <c r="E9" s="87">
        <v>2.5</v>
      </c>
      <c r="F9" s="87">
        <v>2.5</v>
      </c>
      <c r="G9" s="87">
        <v>1.0</v>
      </c>
      <c r="H9" s="87">
        <v>4.0</v>
      </c>
      <c r="I9" s="87">
        <v>4.0</v>
      </c>
      <c r="J9" s="88">
        <f t="shared" si="1"/>
        <v>19</v>
      </c>
      <c r="K9" s="79"/>
      <c r="L9" s="79"/>
      <c r="M9" s="79"/>
    </row>
    <row r="10">
      <c r="A10" s="85"/>
      <c r="B10" s="90" t="s">
        <v>111</v>
      </c>
      <c r="C10" s="87">
        <v>3.0</v>
      </c>
      <c r="D10" s="87">
        <v>2.0</v>
      </c>
      <c r="E10" s="87">
        <v>2.0</v>
      </c>
      <c r="F10" s="87">
        <v>3.0</v>
      </c>
      <c r="G10" s="87">
        <v>0.0</v>
      </c>
      <c r="H10" s="87">
        <v>6.0</v>
      </c>
      <c r="I10" s="87">
        <v>4.0</v>
      </c>
      <c r="J10" s="88">
        <f t="shared" si="1"/>
        <v>20</v>
      </c>
      <c r="K10" s="79"/>
      <c r="L10" s="79"/>
      <c r="M10" s="79"/>
    </row>
    <row r="11">
      <c r="A11" s="85"/>
      <c r="B11" s="89" t="s">
        <v>112</v>
      </c>
      <c r="C11" s="87">
        <v>2.0</v>
      </c>
      <c r="D11" s="87">
        <v>1.0</v>
      </c>
      <c r="E11" s="87">
        <v>1.0</v>
      </c>
      <c r="F11" s="87">
        <v>1.0</v>
      </c>
      <c r="G11" s="87">
        <v>2.0</v>
      </c>
      <c r="H11" s="87">
        <v>4.0</v>
      </c>
      <c r="I11" s="88">
        <v>0.0</v>
      </c>
      <c r="J11" s="88">
        <f t="shared" si="1"/>
        <v>11</v>
      </c>
      <c r="K11" s="79"/>
      <c r="L11" s="79"/>
      <c r="M11" s="79"/>
    </row>
    <row r="12">
      <c r="A12" s="85"/>
      <c r="B12" s="85" t="s">
        <v>113</v>
      </c>
      <c r="C12" s="88">
        <f t="shared" ref="C12:I12" si="2">SUM(C7:C10)/2</f>
        <v>5</v>
      </c>
      <c r="D12" s="88">
        <f t="shared" si="2"/>
        <v>3.5</v>
      </c>
      <c r="E12" s="88">
        <f t="shared" si="2"/>
        <v>3.25</v>
      </c>
      <c r="F12" s="88">
        <f t="shared" si="2"/>
        <v>4.75</v>
      </c>
      <c r="G12" s="88">
        <f t="shared" si="2"/>
        <v>2</v>
      </c>
      <c r="H12" s="88">
        <f t="shared" si="2"/>
        <v>8</v>
      </c>
      <c r="I12" s="88">
        <f t="shared" si="2"/>
        <v>4</v>
      </c>
      <c r="J12" s="88">
        <f>SUM(J7:J11)/2</f>
        <v>36</v>
      </c>
      <c r="K12" s="79"/>
      <c r="L12" s="79"/>
      <c r="M12" s="79"/>
    </row>
    <row r="13">
      <c r="A13" s="85"/>
      <c r="B13" s="85" t="s">
        <v>108</v>
      </c>
      <c r="C13" s="91">
        <f t="shared" ref="C13:I13" si="3">SUM(C7:C10)</f>
        <v>10</v>
      </c>
      <c r="D13" s="91">
        <f t="shared" si="3"/>
        <v>7</v>
      </c>
      <c r="E13" s="91">
        <f t="shared" si="3"/>
        <v>6.5</v>
      </c>
      <c r="F13" s="91">
        <f t="shared" si="3"/>
        <v>9.5</v>
      </c>
      <c r="G13" s="91">
        <f t="shared" si="3"/>
        <v>4</v>
      </c>
      <c r="H13" s="91">
        <f t="shared" si="3"/>
        <v>16</v>
      </c>
      <c r="I13" s="91">
        <f t="shared" si="3"/>
        <v>8</v>
      </c>
      <c r="J13" s="91">
        <f>SUM(J7:J11)</f>
        <v>72</v>
      </c>
      <c r="K13" s="79"/>
      <c r="L13" s="79"/>
      <c r="M13" s="79"/>
    </row>
    <row r="14">
      <c r="A14" s="79"/>
      <c r="B14" s="79"/>
      <c r="C14" s="79">
        <f t="shared" ref="C14:I14" si="4">C12*60</f>
        <v>300</v>
      </c>
      <c r="D14" s="79">
        <f t="shared" si="4"/>
        <v>210</v>
      </c>
      <c r="E14" s="79">
        <f t="shared" si="4"/>
        <v>195</v>
      </c>
      <c r="F14" s="79">
        <f t="shared" si="4"/>
        <v>285</v>
      </c>
      <c r="G14" s="79">
        <f t="shared" si="4"/>
        <v>120</v>
      </c>
      <c r="H14" s="79">
        <f t="shared" si="4"/>
        <v>480</v>
      </c>
      <c r="I14" s="79">
        <f t="shared" si="4"/>
        <v>240</v>
      </c>
      <c r="J14" s="79"/>
      <c r="K14" s="79"/>
      <c r="L14" s="79"/>
      <c r="M14" s="79"/>
    </row>
    <row r="15">
      <c r="A15" s="79"/>
      <c r="B15" s="79"/>
      <c r="C15" s="79"/>
      <c r="D15" s="79"/>
      <c r="E15" s="79"/>
      <c r="F15" s="79"/>
      <c r="G15" s="79"/>
      <c r="H15" s="79"/>
      <c r="I15" s="79"/>
      <c r="J15" s="92" t="s">
        <v>28</v>
      </c>
      <c r="K15" s="79"/>
      <c r="L15" s="79"/>
      <c r="M15" s="79"/>
    </row>
    <row r="16">
      <c r="A16" s="79"/>
      <c r="B16" s="79"/>
      <c r="C16" s="79"/>
      <c r="D16" s="79"/>
      <c r="E16" s="79"/>
      <c r="F16" s="79"/>
      <c r="G16" s="79"/>
      <c r="H16" s="79"/>
      <c r="I16" s="79" t="s">
        <v>114</v>
      </c>
      <c r="J16" s="93">
        <f>SUM(J7:J13)</f>
        <v>180</v>
      </c>
      <c r="K16" s="93"/>
      <c r="L16" s="93"/>
      <c r="M16" s="93"/>
    </row>
    <row r="17">
      <c r="A17" s="79"/>
      <c r="B17" s="79"/>
      <c r="C17" s="79"/>
      <c r="D17" s="79"/>
      <c r="E17" s="79"/>
      <c r="F17" s="79"/>
      <c r="G17" s="79"/>
      <c r="H17" s="79"/>
      <c r="I17" s="79" t="s">
        <v>115</v>
      </c>
      <c r="J17" s="93">
        <f>J16*2</f>
        <v>360</v>
      </c>
      <c r="K17" s="93"/>
      <c r="L17" s="93"/>
      <c r="M17" s="79"/>
    </row>
    <row r="18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>
      <c r="A19" s="79"/>
      <c r="B19" s="79"/>
      <c r="C19" s="79"/>
      <c r="D19" s="79"/>
      <c r="E19" s="79"/>
      <c r="F19" s="79"/>
      <c r="G19" s="79"/>
      <c r="H19" s="79"/>
      <c r="I19" s="79" t="s">
        <v>116</v>
      </c>
      <c r="J19" s="94">
        <f>303/(J13*10)</f>
        <v>0.4208333333</v>
      </c>
      <c r="K19" s="79"/>
      <c r="L19" s="79"/>
      <c r="M19" s="79"/>
    </row>
    <row r="24">
      <c r="B24" s="60"/>
      <c r="C24" s="60"/>
      <c r="D24" s="60"/>
      <c r="E24" s="60"/>
      <c r="F24" s="60"/>
      <c r="G24" s="60"/>
      <c r="H24" s="60"/>
      <c r="I24" s="60"/>
      <c r="J24" s="60"/>
    </row>
    <row r="25">
      <c r="B25" s="60"/>
      <c r="C25" s="60"/>
      <c r="D25" s="60"/>
      <c r="E25" s="60"/>
      <c r="F25" s="60"/>
      <c r="G25" s="60"/>
      <c r="H25" s="60"/>
      <c r="I25" s="60"/>
      <c r="J25" s="60"/>
    </row>
    <row r="26">
      <c r="B26" s="60"/>
      <c r="C26" s="60"/>
      <c r="D26" s="60"/>
      <c r="E26" s="60"/>
      <c r="F26" s="60"/>
      <c r="G26" s="60"/>
      <c r="H26" s="60"/>
      <c r="I26" s="60"/>
      <c r="J26" s="60"/>
    </row>
    <row r="27">
      <c r="B27" s="60"/>
      <c r="C27" s="60"/>
      <c r="D27" s="60"/>
      <c r="E27" s="60"/>
      <c r="F27" s="60"/>
      <c r="G27" s="60"/>
      <c r="H27" s="60"/>
      <c r="I27" s="60"/>
      <c r="J27" s="60"/>
    </row>
    <row r="28">
      <c r="B28" s="60"/>
      <c r="C28" s="60"/>
      <c r="D28" s="60"/>
      <c r="E28" s="60"/>
      <c r="F28" s="60"/>
      <c r="I28" s="60"/>
      <c r="J28" s="60"/>
    </row>
    <row r="29">
      <c r="B29" s="60"/>
      <c r="C29" s="60"/>
      <c r="D29" s="60"/>
      <c r="E29" s="60"/>
      <c r="F29" s="60"/>
      <c r="G29" s="60"/>
      <c r="I29" s="60"/>
      <c r="J29" s="60"/>
    </row>
    <row r="30">
      <c r="B30" s="60"/>
      <c r="C30" s="60"/>
      <c r="D30" s="60"/>
      <c r="E30" s="60"/>
      <c r="F30" s="60"/>
      <c r="G30" s="60"/>
      <c r="H30" s="60"/>
      <c r="I30" s="60"/>
      <c r="J30" s="60"/>
    </row>
    <row r="32">
      <c r="C32" s="60"/>
      <c r="D32" s="60"/>
      <c r="E32" s="60"/>
      <c r="F32" s="60"/>
      <c r="G32" s="60"/>
      <c r="H32" s="60"/>
      <c r="I32" s="60"/>
    </row>
  </sheetData>
  <mergeCells count="2">
    <mergeCell ref="B2:B4"/>
    <mergeCell ref="C2:F4"/>
  </mergeCells>
  <hyperlinks>
    <hyperlink r:id="rId1" ref="B8"/>
    <hyperlink r:id="rId2" ref="B11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0"/>
  <sheetData>
    <row r="1">
      <c r="A1" s="95" t="s">
        <v>117</v>
      </c>
    </row>
    <row r="2">
      <c r="A2" s="96" t="s">
        <v>27</v>
      </c>
      <c r="B2" s="96" t="s">
        <v>118</v>
      </c>
      <c r="C2" s="96" t="s">
        <v>119</v>
      </c>
      <c r="D2" s="34" t="s">
        <v>120</v>
      </c>
    </row>
    <row r="3">
      <c r="A3" s="78">
        <v>1.0</v>
      </c>
      <c r="B3" s="78">
        <v>50.0</v>
      </c>
      <c r="C3" s="78">
        <v>60.0</v>
      </c>
      <c r="D3" s="78">
        <f t="shared" ref="D3:D8" si="1">(B3+C3)/2</f>
        <v>55</v>
      </c>
    </row>
    <row r="4">
      <c r="A4" s="78">
        <v>2.0</v>
      </c>
      <c r="B4" s="78">
        <v>120.0</v>
      </c>
      <c r="C4" s="78">
        <v>150.0</v>
      </c>
      <c r="D4" s="78">
        <f t="shared" si="1"/>
        <v>135</v>
      </c>
    </row>
    <row r="5">
      <c r="A5" s="78">
        <v>3.0</v>
      </c>
      <c r="B5" s="78">
        <v>150.0</v>
      </c>
      <c r="C5" s="78">
        <v>200.0</v>
      </c>
      <c r="D5" s="78">
        <f t="shared" si="1"/>
        <v>175</v>
      </c>
    </row>
    <row r="6">
      <c r="A6" s="78">
        <v>5.0</v>
      </c>
      <c r="B6" s="78">
        <v>300.0</v>
      </c>
      <c r="C6" s="78">
        <v>400.0</v>
      </c>
      <c r="D6" s="78">
        <f t="shared" si="1"/>
        <v>350</v>
      </c>
    </row>
    <row r="7">
      <c r="A7" s="78">
        <v>8.0</v>
      </c>
      <c r="B7" s="78">
        <v>300.0</v>
      </c>
      <c r="C7" s="78">
        <v>600.0</v>
      </c>
      <c r="D7" s="78">
        <f t="shared" si="1"/>
        <v>450</v>
      </c>
    </row>
    <row r="8">
      <c r="A8" s="78">
        <v>13.0</v>
      </c>
      <c r="B8" s="78">
        <v>600.0</v>
      </c>
      <c r="C8" s="78">
        <v>1200.0</v>
      </c>
      <c r="D8" s="78">
        <f t="shared" si="1"/>
        <v>900</v>
      </c>
    </row>
  </sheetData>
  <mergeCells count="1">
    <mergeCell ref="A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/>
  </sheetViews>
  <sheetFormatPr customHeight="1" defaultColWidth="12.63" defaultRowHeight="15.0"/>
  <sheetData>
    <row r="1">
      <c r="A1" s="95" t="s">
        <v>121</v>
      </c>
    </row>
    <row r="2">
      <c r="A2" s="96" t="s">
        <v>27</v>
      </c>
      <c r="B2" s="96" t="s">
        <v>118</v>
      </c>
      <c r="C2" s="96" t="s">
        <v>119</v>
      </c>
      <c r="D2" s="34" t="s">
        <v>120</v>
      </c>
    </row>
    <row r="3">
      <c r="A3" s="78">
        <v>1.0</v>
      </c>
      <c r="B3" s="78">
        <v>30.0</v>
      </c>
      <c r="C3" s="78">
        <v>60.0</v>
      </c>
      <c r="D3" s="50">
        <v>40.0</v>
      </c>
    </row>
    <row r="4">
      <c r="A4" s="78">
        <v>2.0</v>
      </c>
      <c r="B4" s="78">
        <v>40.0</v>
      </c>
      <c r="C4" s="78">
        <v>120.0</v>
      </c>
      <c r="D4" s="50">
        <v>80.0</v>
      </c>
    </row>
    <row r="5">
      <c r="A5" s="78">
        <v>3.0</v>
      </c>
      <c r="B5" s="78">
        <v>60.0</v>
      </c>
      <c r="C5" s="78">
        <v>150.0</v>
      </c>
      <c r="D5" s="50">
        <v>120.0</v>
      </c>
    </row>
    <row r="6">
      <c r="A6" s="78">
        <v>5.0</v>
      </c>
      <c r="B6" s="78">
        <v>240.0</v>
      </c>
      <c r="C6" s="78">
        <v>300.0</v>
      </c>
      <c r="D6" s="50">
        <v>260.0</v>
      </c>
    </row>
    <row r="7">
      <c r="A7" s="78">
        <v>8.0</v>
      </c>
      <c r="B7" s="78">
        <f t="shared" ref="B7:D7" si="1">B6*2</f>
        <v>480</v>
      </c>
      <c r="C7" s="78">
        <f t="shared" si="1"/>
        <v>600</v>
      </c>
      <c r="D7" s="50">
        <f t="shared" si="1"/>
        <v>520</v>
      </c>
    </row>
    <row r="8">
      <c r="A8" s="78">
        <v>13.0</v>
      </c>
      <c r="B8" s="78">
        <f t="shared" ref="B8:D8" si="2">B7*1.5</f>
        <v>720</v>
      </c>
      <c r="C8" s="78">
        <f t="shared" si="2"/>
        <v>900</v>
      </c>
      <c r="D8" s="50">
        <f t="shared" si="2"/>
        <v>780</v>
      </c>
    </row>
  </sheetData>
  <mergeCells count="1">
    <mergeCell ref="A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/>
  </sheetViews>
  <sheetFormatPr customHeight="1" defaultColWidth="12.63" defaultRowHeight="15.0"/>
  <sheetData>
    <row r="1">
      <c r="A1" s="95" t="s">
        <v>26</v>
      </c>
    </row>
    <row r="2">
      <c r="A2" s="96" t="s">
        <v>27</v>
      </c>
      <c r="B2" s="96" t="s">
        <v>118</v>
      </c>
      <c r="C2" s="96" t="s">
        <v>119</v>
      </c>
      <c r="D2" s="34" t="s">
        <v>120</v>
      </c>
    </row>
    <row r="3">
      <c r="A3" s="78">
        <v>1.0</v>
      </c>
      <c r="B3" s="78">
        <v>10.0</v>
      </c>
      <c r="C3" s="78">
        <v>60.0</v>
      </c>
      <c r="D3" s="50">
        <v>40.0</v>
      </c>
    </row>
    <row r="4">
      <c r="A4" s="78">
        <v>2.0</v>
      </c>
      <c r="B4" s="78">
        <v>60.0</v>
      </c>
      <c r="C4" s="78">
        <v>120.0</v>
      </c>
      <c r="D4" s="50">
        <v>100.0</v>
      </c>
    </row>
    <row r="5">
      <c r="A5" s="78">
        <v>3.0</v>
      </c>
      <c r="B5" s="78">
        <v>90.0</v>
      </c>
      <c r="C5" s="78">
        <v>200.0</v>
      </c>
      <c r="D5" s="50">
        <v>150.0</v>
      </c>
    </row>
    <row r="6">
      <c r="A6" s="78">
        <v>5.0</v>
      </c>
      <c r="B6" s="78">
        <v>180.0</v>
      </c>
      <c r="C6" s="78">
        <v>350.0</v>
      </c>
      <c r="D6" s="50">
        <v>300.0</v>
      </c>
    </row>
    <row r="7">
      <c r="A7" s="78">
        <v>8.0</v>
      </c>
      <c r="B7" s="78">
        <v>320.0</v>
      </c>
      <c r="C7" s="78">
        <v>550.0</v>
      </c>
      <c r="D7" s="50">
        <v>450.0</v>
      </c>
    </row>
    <row r="8">
      <c r="A8" s="78">
        <v>13.0</v>
      </c>
      <c r="B8" s="78">
        <v>500.0</v>
      </c>
      <c r="C8" s="78">
        <v>850.0</v>
      </c>
      <c r="D8" s="50">
        <v>700.0</v>
      </c>
    </row>
  </sheetData>
  <mergeCells count="1">
    <mergeCell ref="A1:D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0"/>
  <sheetData>
    <row r="1">
      <c r="A1" s="97" t="s">
        <v>34</v>
      </c>
    </row>
    <row r="2">
      <c r="A2" s="96" t="s">
        <v>27</v>
      </c>
      <c r="B2" s="96" t="s">
        <v>118</v>
      </c>
      <c r="C2" s="96" t="s">
        <v>119</v>
      </c>
      <c r="D2" s="34" t="s">
        <v>120</v>
      </c>
    </row>
    <row r="3">
      <c r="A3" s="78">
        <v>1.0</v>
      </c>
      <c r="B3" s="78">
        <v>25.0</v>
      </c>
      <c r="C3" s="78">
        <v>90.0</v>
      </c>
      <c r="D3" s="50">
        <v>45.0</v>
      </c>
    </row>
    <row r="4">
      <c r="A4" s="78">
        <v>2.0</v>
      </c>
      <c r="B4" s="78">
        <v>40.0</v>
      </c>
      <c r="C4" s="78">
        <v>150.0</v>
      </c>
      <c r="D4" s="50">
        <v>60.0</v>
      </c>
    </row>
    <row r="5">
      <c r="A5" s="78">
        <v>3.0</v>
      </c>
      <c r="B5" s="78">
        <v>70.0</v>
      </c>
      <c r="C5" s="78">
        <v>250.0</v>
      </c>
      <c r="D5" s="50">
        <v>160.0</v>
      </c>
    </row>
    <row r="6">
      <c r="A6" s="78">
        <v>5.0</v>
      </c>
      <c r="B6" s="78">
        <v>140.0</v>
      </c>
      <c r="C6" s="78">
        <v>500.0</v>
      </c>
      <c r="D6" s="50">
        <v>240.0</v>
      </c>
    </row>
    <row r="7">
      <c r="A7" s="78">
        <v>8.0</v>
      </c>
      <c r="B7" s="78">
        <v>350.0</v>
      </c>
      <c r="C7" s="78">
        <v>750.0</v>
      </c>
      <c r="D7" s="50">
        <v>500.0</v>
      </c>
    </row>
    <row r="8">
      <c r="A8" s="78">
        <v>13.0</v>
      </c>
      <c r="B8" s="78">
        <v>500.0</v>
      </c>
      <c r="C8" s="78">
        <v>1000.0</v>
      </c>
      <c r="D8" s="50">
        <v>700.0</v>
      </c>
    </row>
  </sheetData>
  <mergeCells count="1">
    <mergeCell ref="A1:D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0"/>
  <sheetData>
    <row r="1">
      <c r="A1" s="95" t="s">
        <v>122</v>
      </c>
    </row>
    <row r="2">
      <c r="A2" s="96" t="s">
        <v>27</v>
      </c>
      <c r="B2" s="96" t="s">
        <v>118</v>
      </c>
      <c r="C2" s="96" t="s">
        <v>119</v>
      </c>
      <c r="D2" s="34" t="s">
        <v>120</v>
      </c>
    </row>
    <row r="3">
      <c r="A3" s="78">
        <v>1.0</v>
      </c>
      <c r="B3" s="78">
        <v>30.0</v>
      </c>
      <c r="C3" s="78">
        <v>60.0</v>
      </c>
      <c r="D3" s="78">
        <v>50.0</v>
      </c>
    </row>
    <row r="4">
      <c r="A4" s="78">
        <v>2.0</v>
      </c>
      <c r="B4" s="78">
        <v>45.0</v>
      </c>
      <c r="C4" s="78">
        <v>120.0</v>
      </c>
      <c r="D4" s="78">
        <v>100.0</v>
      </c>
    </row>
    <row r="5">
      <c r="A5" s="78">
        <v>3.0</v>
      </c>
      <c r="B5" s="78">
        <v>100.0</v>
      </c>
      <c r="C5" s="78">
        <v>300.0</v>
      </c>
      <c r="D5" s="78">
        <v>200.0</v>
      </c>
    </row>
    <row r="6">
      <c r="A6" s="78">
        <v>5.0</v>
      </c>
      <c r="B6" s="78">
        <v>250.0</v>
      </c>
      <c r="C6" s="78">
        <v>500.0</v>
      </c>
      <c r="D6" s="78">
        <v>360.0</v>
      </c>
    </row>
    <row r="7">
      <c r="A7" s="78">
        <v>8.0</v>
      </c>
      <c r="B7" s="78">
        <v>540.0</v>
      </c>
      <c r="C7" s="78">
        <v>750.0</v>
      </c>
      <c r="D7" s="78">
        <v>600.0</v>
      </c>
    </row>
    <row r="8">
      <c r="A8" s="78">
        <v>13.0</v>
      </c>
      <c r="B8" s="78">
        <v>720.0</v>
      </c>
      <c r="C8" s="78">
        <v>900.0</v>
      </c>
      <c r="D8" s="78">
        <v>800.0</v>
      </c>
    </row>
  </sheetData>
  <mergeCells count="1">
    <mergeCell ref="A1:D1"/>
  </mergeCells>
  <drawing r:id="rId1"/>
</worksheet>
</file>