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elenaramirezsandoval/Downloads/"/>
    </mc:Choice>
  </mc:AlternateContent>
  <xr:revisionPtr revIDLastSave="0" documentId="8_{7ADE98A9-D4B9-E940-A6F8-7904026E056C}" xr6:coauthVersionLast="47" xr6:coauthVersionMax="47" xr10:uidLastSave="{00000000-0000-0000-0000-000000000000}"/>
  <bookViews>
    <workbookView xWindow="0" yWindow="720" windowWidth="29400" windowHeight="18400" firstSheet="2" activeTab="3" xr2:uid="{00000000-000D-0000-FFFF-FFFF00000000}"/>
  </bookViews>
  <sheets>
    <sheet name="HISTORIA CLÍNICA" sheetId="4" r:id="rId1"/>
    <sheet name="RECORDATORIO 24H" sheetId="1" r:id="rId2"/>
    <sheet name="CÁLCULO" sheetId="2" r:id="rId3"/>
    <sheet name="Cálculo Nuevo" sheetId="5" r:id="rId4"/>
    <sheet name="BIOIMPEDANCI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2" l="1"/>
  <c r="M3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P7" i="5"/>
  <c r="O7" i="5"/>
  <c r="N7" i="5"/>
  <c r="M7" i="5"/>
  <c r="P6" i="5"/>
  <c r="O6" i="5"/>
  <c r="N6" i="5"/>
  <c r="M6" i="5"/>
  <c r="P5" i="5"/>
  <c r="O5" i="5"/>
  <c r="N5" i="5"/>
  <c r="M5" i="5"/>
  <c r="P4" i="5"/>
  <c r="O4" i="5"/>
  <c r="N4" i="5"/>
  <c r="M4" i="5"/>
  <c r="P3" i="5"/>
  <c r="O3" i="5"/>
  <c r="N3" i="5"/>
  <c r="M26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  <c r="H19" i="5"/>
  <c r="H27" i="2"/>
  <c r="F6" i="5"/>
  <c r="F11" i="5"/>
  <c r="H11" i="5" s="1"/>
  <c r="F12" i="2"/>
  <c r="F10" i="2"/>
  <c r="F11" i="2"/>
  <c r="F10" i="5"/>
  <c r="G10" i="5" s="1"/>
  <c r="F5" i="5"/>
  <c r="B22" i="2"/>
  <c r="F4" i="5"/>
  <c r="B21" i="2"/>
  <c r="B14" i="2"/>
  <c r="F4" i="2" s="1"/>
  <c r="F2" i="5"/>
  <c r="F3" i="5" s="1"/>
  <c r="F9" i="5" s="1"/>
  <c r="G9" i="5" s="1"/>
  <c r="G12" i="5"/>
  <c r="F16" i="2"/>
  <c r="F15" i="2"/>
  <c r="F17" i="2"/>
  <c r="F19" i="2"/>
  <c r="F18" i="2"/>
  <c r="B18" i="2"/>
  <c r="B12" i="2"/>
  <c r="B15" i="2" s="1"/>
  <c r="B11" i="2"/>
  <c r="B17" i="2" s="1"/>
  <c r="G17" i="5"/>
  <c r="H17" i="5" s="1"/>
  <c r="B9" i="2"/>
  <c r="F13" i="2"/>
  <c r="F8" i="2"/>
  <c r="F7" i="2"/>
  <c r="B26" i="2"/>
  <c r="B25" i="2"/>
  <c r="M19" i="1"/>
  <c r="L19" i="1"/>
  <c r="K19" i="1"/>
  <c r="J19" i="1"/>
  <c r="F19" i="1"/>
  <c r="E19" i="1"/>
  <c r="D19" i="1"/>
  <c r="C19" i="1"/>
  <c r="O25" i="2" l="1"/>
  <c r="P25" i="2"/>
  <c r="P26" i="2" s="1"/>
  <c r="N25" i="2"/>
  <c r="N26" i="2" s="1"/>
  <c r="N26" i="5"/>
  <c r="N27" i="5" s="1"/>
  <c r="O26" i="5"/>
  <c r="O27" i="5" s="1"/>
  <c r="M27" i="5"/>
  <c r="M28" i="5" s="1"/>
  <c r="P26" i="5"/>
  <c r="P28" i="5" s="1"/>
  <c r="O26" i="2"/>
  <c r="H23" i="2"/>
  <c r="G23" i="2" s="1"/>
  <c r="F23" i="2" s="1"/>
  <c r="F5" i="2"/>
  <c r="H15" i="5"/>
  <c r="H10" i="5"/>
  <c r="H9" i="5"/>
  <c r="G11" i="5"/>
  <c r="G15" i="5" l="1"/>
  <c r="F15" i="5" s="1"/>
  <c r="F16" i="5" s="1"/>
  <c r="G16" i="5" s="1"/>
  <c r="H16" i="5" s="1"/>
  <c r="O28" i="5" s="1"/>
  <c r="N28" i="5"/>
  <c r="P27" i="5"/>
  <c r="N27" i="2"/>
  <c r="G18" i="5" l="1"/>
  <c r="F18" i="5"/>
  <c r="G25" i="2" l="1"/>
  <c r="H25" i="2" s="1"/>
  <c r="P27" i="2" s="1"/>
  <c r="G13" i="2"/>
  <c r="H12" i="2"/>
  <c r="H11" i="2"/>
  <c r="H10" i="2"/>
  <c r="H8" i="2"/>
  <c r="G7" i="2"/>
  <c r="G4" i="2"/>
  <c r="H13" i="2" l="1"/>
  <c r="G11" i="2"/>
  <c r="G12" i="2"/>
  <c r="G10" i="2"/>
  <c r="H7" i="2"/>
  <c r="G8" i="2"/>
  <c r="H4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H5" i="2" l="1"/>
  <c r="G5" i="2"/>
  <c r="J21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E18" i="1"/>
  <c r="E17" i="1"/>
  <c r="E13" i="1"/>
  <c r="E12" i="1"/>
  <c r="E11" i="1"/>
  <c r="E10" i="1"/>
  <c r="E8" i="1"/>
  <c r="E7" i="1"/>
  <c r="E6" i="1"/>
  <c r="E4" i="1"/>
  <c r="E3" i="1"/>
  <c r="E2" i="1"/>
  <c r="E5" i="1"/>
  <c r="E9" i="1"/>
  <c r="E14" i="1"/>
  <c r="E15" i="1"/>
  <c r="E16" i="1"/>
  <c r="D18" i="1"/>
  <c r="D17" i="1"/>
  <c r="D16" i="1"/>
  <c r="D15" i="1"/>
  <c r="D14" i="1"/>
  <c r="D13" i="1"/>
  <c r="D12" i="1"/>
  <c r="D11" i="1"/>
  <c r="D10" i="1"/>
  <c r="D8" i="1"/>
  <c r="D9" i="1"/>
  <c r="D7" i="1"/>
  <c r="D6" i="1"/>
  <c r="D5" i="1"/>
  <c r="D4" i="1"/>
  <c r="D3" i="1"/>
  <c r="D2" i="1"/>
  <c r="C2" i="1"/>
  <c r="C18" i="1"/>
  <c r="C17" i="1"/>
  <c r="C16" i="1"/>
  <c r="C15" i="1"/>
  <c r="C14" i="1"/>
  <c r="C13" i="1"/>
  <c r="C12" i="1"/>
  <c r="C11" i="1"/>
  <c r="C10" i="1"/>
  <c r="C9" i="1"/>
  <c r="C8" i="1"/>
  <c r="C7" i="1"/>
  <c r="C5" i="1"/>
  <c r="C6" i="1"/>
  <c r="C4" i="1"/>
  <c r="C3" i="1"/>
  <c r="F24" i="2" l="1"/>
  <c r="G24" i="2" s="1"/>
  <c r="H24" i="2" s="1"/>
  <c r="O27" i="2" s="1"/>
  <c r="F26" i="2"/>
  <c r="C21" i="1"/>
  <c r="M20" i="1"/>
  <c r="M21" i="1" s="1"/>
  <c r="D20" i="1"/>
  <c r="D21" i="1" s="1"/>
  <c r="L20" i="1"/>
  <c r="L21" i="1" s="1"/>
  <c r="K20" i="1"/>
  <c r="K21" i="1" s="1"/>
  <c r="F20" i="1"/>
  <c r="F21" i="1" s="1"/>
  <c r="F22" i="1" s="1"/>
  <c r="E20" i="1"/>
  <c r="E21" i="1" s="1"/>
  <c r="G26" i="2" l="1"/>
  <c r="E22" i="1"/>
  <c r="D22" i="1"/>
  <c r="J22" i="1"/>
  <c r="K22" i="1"/>
  <c r="M22" i="1"/>
  <c r="L22" i="1"/>
</calcChain>
</file>

<file path=xl/sharedStrings.xml><?xml version="1.0" encoding="utf-8"?>
<sst xmlns="http://schemas.openxmlformats.org/spreadsheetml/2006/main" count="260" uniqueCount="132">
  <si>
    <t>Grupo</t>
  </si>
  <si>
    <t>Energía</t>
  </si>
  <si>
    <t>Proteína</t>
  </si>
  <si>
    <t>Lípidos</t>
  </si>
  <si>
    <t>Hidratos de carbono</t>
  </si>
  <si>
    <t>verduras</t>
  </si>
  <si>
    <t>frutas</t>
  </si>
  <si>
    <t>cereales s/g</t>
  </si>
  <si>
    <t>cereales c/g</t>
  </si>
  <si>
    <t>leguminosa</t>
  </si>
  <si>
    <t>carnes  mba</t>
  </si>
  <si>
    <t>carnes  bag</t>
  </si>
  <si>
    <t>carnes  mag</t>
  </si>
  <si>
    <t>carnes  aag</t>
  </si>
  <si>
    <t>leche  descremada</t>
  </si>
  <si>
    <t>leche  semi</t>
  </si>
  <si>
    <t>leche  entera</t>
  </si>
  <si>
    <t>leche  c/azucar</t>
  </si>
  <si>
    <t>grasas  s/p</t>
  </si>
  <si>
    <t>grasas  c/p</t>
  </si>
  <si>
    <t>azucares  s/g</t>
  </si>
  <si>
    <t>azucares  c/g</t>
  </si>
  <si>
    <t>alcohol</t>
  </si>
  <si>
    <t>Raciones</t>
  </si>
  <si>
    <t>Total Gramos</t>
  </si>
  <si>
    <t>Total Kcal</t>
  </si>
  <si>
    <t>% de Adecuación</t>
  </si>
  <si>
    <t>NOMBRE</t>
  </si>
  <si>
    <t>SEXO</t>
  </si>
  <si>
    <t>EDAD</t>
  </si>
  <si>
    <t>TALLA (M)</t>
  </si>
  <si>
    <t>IMC (KG/M2)</t>
  </si>
  <si>
    <t>PESO IDEAL</t>
  </si>
  <si>
    <t>M</t>
  </si>
  <si>
    <t>PESO AJUSTADO</t>
  </si>
  <si>
    <t>Columna1</t>
  </si>
  <si>
    <t>Columna2</t>
  </si>
  <si>
    <t>F</t>
  </si>
  <si>
    <t>GASTO ENERGÉTICO</t>
  </si>
  <si>
    <t>KCAL</t>
  </si>
  <si>
    <t>HARRIS-BENEDICT</t>
  </si>
  <si>
    <t>TALLA (CM)</t>
  </si>
  <si>
    <t>MIFFLIN-ST JEOR</t>
  </si>
  <si>
    <t>FACTOR DE ESTRÉS= 1.2</t>
  </si>
  <si>
    <t>VALENCIA</t>
  </si>
  <si>
    <t>M 18-30</t>
  </si>
  <si>
    <t>M 30-60</t>
  </si>
  <si>
    <t>F 18-30</t>
  </si>
  <si>
    <t>F 30-60</t>
  </si>
  <si>
    <t>Columna3</t>
  </si>
  <si>
    <t>FACTOR DE ESTRÉS= 1.1</t>
  </si>
  <si>
    <t>Columna4</t>
  </si>
  <si>
    <t>% DE PESO IDEAL</t>
  </si>
  <si>
    <t>PROTEÍNA</t>
  </si>
  <si>
    <t>LÍPIDOS</t>
  </si>
  <si>
    <t>CARBOHIDRATOS</t>
  </si>
  <si>
    <t>%</t>
  </si>
  <si>
    <t>G</t>
  </si>
  <si>
    <t>G/KG</t>
  </si>
  <si>
    <t>TOTAL</t>
  </si>
  <si>
    <t>CINTURA</t>
  </si>
  <si>
    <t>CADERA</t>
  </si>
  <si>
    <t>INDICE C/C</t>
  </si>
  <si>
    <t>% ADECUACIÓN</t>
  </si>
  <si>
    <t>PARÁMETRO</t>
  </si>
  <si>
    <t>C2</t>
  </si>
  <si>
    <t>C3</t>
  </si>
  <si>
    <t>C4</t>
  </si>
  <si>
    <t>C5</t>
  </si>
  <si>
    <t>C6</t>
  </si>
  <si>
    <t>C7</t>
  </si>
  <si>
    <t>% DE PÉRDIDA DE PESO</t>
  </si>
  <si>
    <t>OCUPACION</t>
  </si>
  <si>
    <t>TELEFONO</t>
  </si>
  <si>
    <t>ANTECEDENTES</t>
  </si>
  <si>
    <t>PERSONALES PATOLÓGICOS</t>
  </si>
  <si>
    <t>ALERGICOS</t>
  </si>
  <si>
    <t>CRÓNICOS</t>
  </si>
  <si>
    <t>QUIRURGICOS</t>
  </si>
  <si>
    <t>TRAUMATICOS</t>
  </si>
  <si>
    <t>TRANSFUSIONALES</t>
  </si>
  <si>
    <t>TABAQUISMO</t>
  </si>
  <si>
    <t>ALCOHOLISMO</t>
  </si>
  <si>
    <t>TOXICOMANIAS</t>
  </si>
  <si>
    <t>Padecimiento Actual</t>
  </si>
  <si>
    <t>SIGNOS VITALES</t>
  </si>
  <si>
    <t>T/A</t>
  </si>
  <si>
    <t>FC</t>
  </si>
  <si>
    <t>TEMP</t>
  </si>
  <si>
    <t>MAIL</t>
  </si>
  <si>
    <t>WHEY</t>
  </si>
  <si>
    <t>PESO habitual (KG)</t>
  </si>
  <si>
    <t>CREATININA/TALLA</t>
  </si>
  <si>
    <t>H</t>
  </si>
  <si>
    <t>EXCRECION DE CREATININA EN 24 H</t>
  </si>
  <si>
    <t>GLUTAMINA</t>
  </si>
  <si>
    <t>KCAL/KG/DÍA</t>
  </si>
  <si>
    <t>PESO ACTUAL (KG)</t>
  </si>
  <si>
    <t>0.2-0.4</t>
  </si>
  <si>
    <t>IMX</t>
  </si>
  <si>
    <t>CASEINATO DE CALCIO</t>
  </si>
  <si>
    <t>PROTICAL</t>
  </si>
  <si>
    <t>RNL</t>
  </si>
  <si>
    <t>PESO</t>
  </si>
  <si>
    <t>IMC</t>
  </si>
  <si>
    <t>GRASA CORPORAL</t>
  </si>
  <si>
    <t>BRAZO IZQUIERDO</t>
  </si>
  <si>
    <t>BRAZO DERECHO</t>
  </si>
  <si>
    <t>PIERNA IZQUIERDA</t>
  </si>
  <si>
    <t>PIERNA DERECHA</t>
  </si>
  <si>
    <t>TRONCO</t>
  </si>
  <si>
    <t>AGUA</t>
  </si>
  <si>
    <t>MASA MUSCULAR</t>
  </si>
  <si>
    <t>CALIDAD DEL MÚSCULO</t>
  </si>
  <si>
    <t>GRASA VISCERAL</t>
  </si>
  <si>
    <t>MASA ÓSEA</t>
  </si>
  <si>
    <t>EDAD METABÓLICA</t>
  </si>
  <si>
    <t>Hombre</t>
  </si>
  <si>
    <t>Mujer</t>
  </si>
  <si>
    <t>1700</t>
  </si>
  <si>
    <t>Sexo</t>
  </si>
  <si>
    <t>Edad</t>
  </si>
  <si>
    <t>Peso habitual (KG)</t>
  </si>
  <si>
    <t>Peso Actual (KG)</t>
  </si>
  <si>
    <t>Cintura</t>
  </si>
  <si>
    <t>Cadera</t>
  </si>
  <si>
    <t>Peso Ideal</t>
  </si>
  <si>
    <t>Peso Ajustado</t>
  </si>
  <si>
    <t>% Peso Ideal</t>
  </si>
  <si>
    <t>Índice C/C</t>
  </si>
  <si>
    <t>% Pérdida de Peso</t>
  </si>
  <si>
    <t>Altura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</si>
</sst>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9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BIOIMPEDANCIA!$A$2</c:f>
              <c:strCache>
                <c:ptCount val="1"/>
                <c:pt idx="0">
                  <c:v>PESO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BIOIMPEDANCIA!$B$1:$H$1</c:f>
              <c:strCache>
                <c:ptCount val="7"/>
                <c:pt idx="0">
                  <c:v>Columna1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</c:strCache>
            </c:strRef>
          </c:cat>
          <c:val>
            <c:numRef>
              <c:f>BIOIMPEDANCIA!$B$2:$H$2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8-4D87-AE2F-90DEEE8DC916}"/>
            </c:ext>
          </c:extLst>
        </c:ser>
        <c:ser>
          <c:idx val="1"/>
          <c:order val="1"/>
          <c:tx>
            <c:strRef>
              <c:f>BIOIMPEDANCIA!$A$3</c:f>
              <c:strCache>
                <c:ptCount val="1"/>
                <c:pt idx="0">
                  <c:v>IMC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BIOIMPEDANCIA!$B$1:$H$1</c:f>
              <c:strCache>
                <c:ptCount val="7"/>
                <c:pt idx="0">
                  <c:v>Columna1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</c:strCache>
            </c:strRef>
          </c:cat>
          <c:val>
            <c:numRef>
              <c:f>BIOIMPEDANCIA!$B$3:$H$3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8-4D87-AE2F-90DEEE8DC916}"/>
            </c:ext>
          </c:extLst>
        </c:ser>
        <c:ser>
          <c:idx val="2"/>
          <c:order val="2"/>
          <c:tx>
            <c:strRef>
              <c:f>BIOIMPEDANCIA!$A$4</c:f>
              <c:strCache>
                <c:ptCount val="1"/>
                <c:pt idx="0">
                  <c:v>GRASA CORPORAL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BIOIMPEDANCIA!$B$1:$H$1</c:f>
              <c:strCache>
                <c:ptCount val="7"/>
                <c:pt idx="0">
                  <c:v>Columna1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</c:strCache>
            </c:strRef>
          </c:cat>
          <c:val>
            <c:numRef>
              <c:f>BIOIMPEDANCIA!$B$4:$H$4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08-4D87-AE2F-90DEEE8DC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88348223"/>
        <c:axId val="1088359455"/>
      </c:lineChart>
      <c:catAx>
        <c:axId val="1088348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88359455"/>
        <c:crosses val="autoZero"/>
        <c:auto val="1"/>
        <c:lblAlgn val="ctr"/>
        <c:lblOffset val="100"/>
        <c:noMultiLvlLbl val="0"/>
      </c:catAx>
      <c:valAx>
        <c:axId val="108835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8834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3</xdr:row>
      <xdr:rowOff>61912</xdr:rowOff>
    </xdr:from>
    <xdr:to>
      <xdr:col>14</xdr:col>
      <xdr:colOff>609600</xdr:colOff>
      <xdr:row>17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F6C5BE-D7C7-4DAA-AD8B-309124EE8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2" totalsRowShown="0" headerRowDxfId="21">
  <autoFilter ref="A1:F22" xr:uid="{00000000-0009-0000-0100-000001000000}"/>
  <tableColumns count="6">
    <tableColumn id="1" xr3:uid="{00000000-0010-0000-0000-000001000000}" name="Grupo"/>
    <tableColumn id="2" xr3:uid="{00000000-0010-0000-0000-000002000000}" name="Raciones"/>
    <tableColumn id="3" xr3:uid="{00000000-0010-0000-0000-000003000000}" name="Energía" dataDxfId="20">
      <calculatedColumnFormula>(B2*25)</calculatedColumnFormula>
    </tableColumn>
    <tableColumn id="4" xr3:uid="{00000000-0010-0000-0000-000004000000}" name="Proteína"/>
    <tableColumn id="5" xr3:uid="{00000000-0010-0000-0000-000005000000}" name="Lípidos" dataDxfId="19">
      <calculatedColumnFormula>(B2*5)</calculatedColumnFormula>
    </tableColumn>
    <tableColumn id="6" xr3:uid="{00000000-0010-0000-0000-000006000000}" name="Hidratos de carbono" dataDxfId="18">
      <calculatedColumnFormula>(B2*4)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15" displayName="Tabla15" ref="H1:M22" totalsRowShown="0" headerRowDxfId="17">
  <autoFilter ref="H1:M22" xr:uid="{00000000-0009-0000-0100-000004000000}"/>
  <tableColumns count="6">
    <tableColumn id="1" xr3:uid="{00000000-0010-0000-0100-000001000000}" name="Grupo"/>
    <tableColumn id="2" xr3:uid="{00000000-0010-0000-0100-000002000000}" name="Raciones"/>
    <tableColumn id="3" xr3:uid="{00000000-0010-0000-0100-000003000000}" name="Energía" dataDxfId="16">
      <calculatedColumnFormula>(I2*25)</calculatedColumnFormula>
    </tableColumn>
    <tableColumn id="4" xr3:uid="{00000000-0010-0000-0100-000004000000}" name="Proteína"/>
    <tableColumn id="5" xr3:uid="{00000000-0010-0000-0100-000005000000}" name="Lípidos" dataDxfId="15">
      <calculatedColumnFormula>(I2*5)</calculatedColumnFormula>
    </tableColumn>
    <tableColumn id="6" xr3:uid="{00000000-0010-0000-0100-000006000000}" name="Hidratos de carbono" dataDxfId="14">
      <calculatedColumnFormula>(I2*4)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:B26" totalsRowShown="0">
  <autoFilter ref="A1:B26" xr:uid="{00000000-0009-0000-0100-000002000000}"/>
  <tableColumns count="2">
    <tableColumn id="1" xr3:uid="{00000000-0010-0000-0200-000001000000}" name="Columna1" dataDxfId="13"/>
    <tableColumn id="2" xr3:uid="{00000000-0010-0000-0200-000002000000}" name="Columna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E1:H19" totalsRowShown="0">
  <autoFilter ref="E1:H19" xr:uid="{00000000-0009-0000-0100-000003000000}"/>
  <tableColumns count="4">
    <tableColumn id="1" xr3:uid="{00000000-0010-0000-0300-000001000000}" name="Columna1" dataDxfId="12"/>
    <tableColumn id="2" xr3:uid="{00000000-0010-0000-0300-000002000000}" name="Columna2"/>
    <tableColumn id="3" xr3:uid="{00000000-0010-0000-0300-000003000000}" name="Columna3"/>
    <tableColumn id="4" xr3:uid="{00000000-0010-0000-0300-000004000000}" name="Columna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6" displayName="Tabla16" ref="K1:P27" totalsRowShown="0" headerRowDxfId="8">
  <autoFilter ref="K1:P27" xr:uid="{00000000-0009-0000-0100-000005000000}"/>
  <tableColumns count="6">
    <tableColumn id="1" xr3:uid="{00000000-0010-0000-0400-000001000000}" name="Grupo"/>
    <tableColumn id="2" xr3:uid="{00000000-0010-0000-0400-000002000000}" name="Raciones"/>
    <tableColumn id="3" xr3:uid="{00000000-0010-0000-0400-000003000000}" name="Energía" dataDxfId="11">
      <calculatedColumnFormula>(L2*25)</calculatedColumnFormula>
    </tableColumn>
    <tableColumn id="4" xr3:uid="{00000000-0010-0000-0400-000004000000}" name="Proteína"/>
    <tableColumn id="5" xr3:uid="{00000000-0010-0000-0400-000005000000}" name="Lípidos" dataDxfId="10">
      <calculatedColumnFormula>(L2*5)</calculatedColumnFormula>
    </tableColumn>
    <tableColumn id="6" xr3:uid="{00000000-0010-0000-0400-000006000000}" name="Hidratos de carbono" dataDxfId="9">
      <calculatedColumnFormula>(L2*4)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E22:I28" totalsRowShown="0">
  <autoFilter ref="E22:I28" xr:uid="{00000000-0009-0000-0100-000006000000}"/>
  <tableColumns count="5">
    <tableColumn id="1" xr3:uid="{00000000-0010-0000-0500-000001000000}" name="1700"/>
    <tableColumn id="2" xr3:uid="{00000000-0010-0000-0500-000002000000}" name="%"/>
    <tableColumn id="3" xr3:uid="{00000000-0010-0000-0500-000003000000}" name="KCAL"/>
    <tableColumn id="4" xr3:uid="{00000000-0010-0000-0500-000004000000}" name="G"/>
    <tableColumn id="5" xr3:uid="{00000000-0010-0000-0500-000005000000}" name="G/KG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BC09B0-55F8-C241-92F8-E57A5C3513A2}" name="Tabla1610" displayName="Tabla1610" ref="K2:P28" totalsRowShown="0" headerRowDxfId="1" dataDxfId="0">
  <tableColumns count="6">
    <tableColumn id="1" xr3:uid="{6EB60C6E-F2E8-5E48-96BC-ACD7B5D63209}" name="Grupo" dataDxfId="7"/>
    <tableColumn id="2" xr3:uid="{E019F579-C9F5-9C42-B2CE-B67F5EA7A976}" name="Raciones" dataDxfId="6"/>
    <tableColumn id="3" xr3:uid="{EDB08358-8E23-564E-A481-43936DB2E142}" name="Energía" dataDxfId="5">
      <calculatedColumnFormula>(L2*25)</calculatedColumnFormula>
    </tableColumn>
    <tableColumn id="4" xr3:uid="{2ECFCFE2-40BE-5949-B255-35E05D97C09F}" name="Proteína" dataDxfId="4"/>
    <tableColumn id="5" xr3:uid="{D51612AA-C4FA-C947-98BB-16C84A3E31D9}" name="Lípidos" dataDxfId="3">
      <calculatedColumnFormula>(L2*5)</calculatedColumnFormula>
    </tableColumn>
    <tableColumn id="6" xr3:uid="{8DF765BC-3C6C-044C-AD99-02DB84C529B9}" name="Hidratos de carbono" dataDxfId="2">
      <calculatedColumnFormula>(L2*4)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A1:H20" totalsRowShown="0">
  <autoFilter ref="A1:H20" xr:uid="{00000000-0009-0000-0100-000007000000}"/>
  <tableColumns count="8">
    <tableColumn id="1" xr3:uid="{00000000-0010-0000-0600-000001000000}" name="PARÁMETRO"/>
    <tableColumn id="2" xr3:uid="{00000000-0010-0000-0600-000002000000}" name="Columna1"/>
    <tableColumn id="3" xr3:uid="{00000000-0010-0000-0600-000003000000}" name="C2"/>
    <tableColumn id="4" xr3:uid="{00000000-0010-0000-0600-000004000000}" name="C3"/>
    <tableColumn id="5" xr3:uid="{00000000-0010-0000-0600-000005000000}" name="C4"/>
    <tableColumn id="6" xr3:uid="{00000000-0010-0000-0600-000006000000}" name="C5"/>
    <tableColumn id="7" xr3:uid="{00000000-0010-0000-0600-000007000000}" name="C6"/>
    <tableColumn id="8" xr3:uid="{00000000-0010-0000-0600-000008000000}" name="C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2:D20"/>
  <sheetViews>
    <sheetView workbookViewId="0">
      <selection activeCell="B2" sqref="B2:C2"/>
    </sheetView>
  </sheetViews>
  <sheetFormatPr baseColWidth="10" defaultRowHeight="15" x14ac:dyDescent="0.2"/>
  <cols>
    <col min="1" max="1" width="25.5" bestFit="1" customWidth="1"/>
    <col min="2" max="2" width="17.83203125" bestFit="1" customWidth="1"/>
    <col min="3" max="3" width="34.33203125" customWidth="1"/>
  </cols>
  <sheetData>
    <row r="2" spans="1:3" x14ac:dyDescent="0.2">
      <c r="A2" s="4" t="s">
        <v>27</v>
      </c>
      <c r="B2" s="10"/>
      <c r="C2" s="11"/>
    </row>
    <row r="3" spans="1:3" x14ac:dyDescent="0.2">
      <c r="A3" s="4" t="s">
        <v>29</v>
      </c>
      <c r="B3" s="10"/>
      <c r="C3" s="11"/>
    </row>
    <row r="4" spans="1:3" x14ac:dyDescent="0.2">
      <c r="A4" s="4" t="s">
        <v>72</v>
      </c>
      <c r="B4" s="10"/>
      <c r="C4" s="11"/>
    </row>
    <row r="5" spans="1:3" x14ac:dyDescent="0.2">
      <c r="A5" s="4" t="s">
        <v>89</v>
      </c>
      <c r="B5" s="12"/>
      <c r="C5" s="11"/>
    </row>
    <row r="6" spans="1:3" x14ac:dyDescent="0.2">
      <c r="A6" s="4" t="s">
        <v>73</v>
      </c>
      <c r="B6" s="10"/>
      <c r="C6" s="11"/>
    </row>
    <row r="7" spans="1:3" x14ac:dyDescent="0.2">
      <c r="A7" s="10"/>
      <c r="B7" s="14"/>
      <c r="C7" s="11"/>
    </row>
    <row r="8" spans="1:3" x14ac:dyDescent="0.2">
      <c r="A8" s="10" t="s">
        <v>74</v>
      </c>
      <c r="B8" s="14"/>
      <c r="C8" s="11"/>
    </row>
    <row r="9" spans="1:3" x14ac:dyDescent="0.2">
      <c r="A9" s="8" t="s">
        <v>75</v>
      </c>
      <c r="B9" s="4" t="s">
        <v>76</v>
      </c>
      <c r="C9" s="4"/>
    </row>
    <row r="10" spans="1:3" x14ac:dyDescent="0.2">
      <c r="A10" s="13"/>
      <c r="B10" s="4" t="s">
        <v>77</v>
      </c>
      <c r="C10" s="4"/>
    </row>
    <row r="11" spans="1:3" x14ac:dyDescent="0.2">
      <c r="A11" s="13"/>
      <c r="B11" s="4" t="s">
        <v>78</v>
      </c>
      <c r="C11" s="4"/>
    </row>
    <row r="12" spans="1:3" x14ac:dyDescent="0.2">
      <c r="A12" s="13"/>
      <c r="B12" s="4" t="s">
        <v>79</v>
      </c>
      <c r="C12" s="4"/>
    </row>
    <row r="13" spans="1:3" x14ac:dyDescent="0.2">
      <c r="A13" s="13"/>
      <c r="B13" s="4" t="s">
        <v>80</v>
      </c>
      <c r="C13" s="4"/>
    </row>
    <row r="14" spans="1:3" x14ac:dyDescent="0.2">
      <c r="A14" s="13"/>
      <c r="B14" s="4" t="s">
        <v>81</v>
      </c>
      <c r="C14" s="4"/>
    </row>
    <row r="15" spans="1:3" x14ac:dyDescent="0.2">
      <c r="A15" s="13"/>
      <c r="B15" s="4" t="s">
        <v>82</v>
      </c>
      <c r="C15" s="4"/>
    </row>
    <row r="16" spans="1:3" x14ac:dyDescent="0.2">
      <c r="A16" s="9"/>
      <c r="B16" s="4" t="s">
        <v>83</v>
      </c>
      <c r="C16" s="4"/>
    </row>
    <row r="17" spans="1:4" x14ac:dyDescent="0.2">
      <c r="A17" s="16" t="s">
        <v>84</v>
      </c>
      <c r="B17" s="15"/>
      <c r="C17" s="15"/>
    </row>
    <row r="18" spans="1:4" x14ac:dyDescent="0.2">
      <c r="A18" s="16"/>
      <c r="B18" s="15"/>
      <c r="C18" s="15"/>
    </row>
    <row r="19" spans="1:4" x14ac:dyDescent="0.2">
      <c r="A19" s="8" t="s">
        <v>85</v>
      </c>
      <c r="B19" s="4" t="s">
        <v>86</v>
      </c>
      <c r="C19" s="5" t="s">
        <v>87</v>
      </c>
      <c r="D19" s="4" t="s">
        <v>88</v>
      </c>
    </row>
    <row r="20" spans="1:4" x14ac:dyDescent="0.2">
      <c r="A20" s="9"/>
      <c r="B20" s="4"/>
      <c r="C20" s="5"/>
      <c r="D20" s="4"/>
    </row>
  </sheetData>
  <mergeCells count="11">
    <mergeCell ref="A19:A20"/>
    <mergeCell ref="B2:C2"/>
    <mergeCell ref="B3:C3"/>
    <mergeCell ref="B4:C4"/>
    <mergeCell ref="B5:C5"/>
    <mergeCell ref="B6:C6"/>
    <mergeCell ref="A9:A16"/>
    <mergeCell ref="A7:C7"/>
    <mergeCell ref="A8:C8"/>
    <mergeCell ref="B17:C18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opLeftCell="E1" workbookViewId="0">
      <selection activeCell="I2" sqref="I2:I18"/>
    </sheetView>
  </sheetViews>
  <sheetFormatPr baseColWidth="10" defaultRowHeight="15" x14ac:dyDescent="0.2"/>
  <cols>
    <col min="1" max="1" width="17.5" bestFit="1" customWidth="1"/>
    <col min="2" max="5" width="12" customWidth="1"/>
    <col min="6" max="6" width="18.83203125" bestFit="1" customWidth="1"/>
    <col min="8" max="8" width="17.5" bestFit="1" customWidth="1"/>
    <col min="9" max="9" width="13.5" bestFit="1" customWidth="1"/>
    <col min="10" max="10" width="12.1640625" bestFit="1" customWidth="1"/>
    <col min="11" max="11" width="13.1640625" bestFit="1" customWidth="1"/>
    <col min="12" max="12" width="12" bestFit="1" customWidth="1"/>
    <col min="13" max="13" width="23.5" bestFit="1" customWidth="1"/>
  </cols>
  <sheetData>
    <row r="1" spans="1:13" x14ac:dyDescent="0.2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23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">
      <c r="A2" t="s">
        <v>5</v>
      </c>
      <c r="C2">
        <f>(B2*25)</f>
        <v>0</v>
      </c>
      <c r="D2">
        <f>(B2*2)</f>
        <v>0</v>
      </c>
      <c r="E2">
        <f>(B2*0)</f>
        <v>0</v>
      </c>
      <c r="F2">
        <f>(B2*4)</f>
        <v>0</v>
      </c>
      <c r="H2" t="s">
        <v>5</v>
      </c>
      <c r="J2">
        <f>(I2*25)</f>
        <v>0</v>
      </c>
      <c r="K2">
        <f>(I2*2)</f>
        <v>0</v>
      </c>
      <c r="L2">
        <f>(I2*0)</f>
        <v>0</v>
      </c>
      <c r="M2">
        <f>(I2*4)</f>
        <v>0</v>
      </c>
    </row>
    <row r="3" spans="1:13" x14ac:dyDescent="0.2">
      <c r="A3" t="s">
        <v>6</v>
      </c>
      <c r="C3">
        <f>(B3*60)</f>
        <v>0</v>
      </c>
      <c r="D3">
        <f>(B3*0)</f>
        <v>0</v>
      </c>
      <c r="E3">
        <f>(B3*0)</f>
        <v>0</v>
      </c>
      <c r="F3">
        <f>(B3*15)</f>
        <v>0</v>
      </c>
      <c r="H3" t="s">
        <v>6</v>
      </c>
      <c r="J3">
        <f>(I3*60)</f>
        <v>0</v>
      </c>
      <c r="K3">
        <f>(I3*0)</f>
        <v>0</v>
      </c>
      <c r="L3">
        <f>(I3*0)</f>
        <v>0</v>
      </c>
      <c r="M3">
        <f>(I3*15)</f>
        <v>0</v>
      </c>
    </row>
    <row r="4" spans="1:13" x14ac:dyDescent="0.2">
      <c r="A4" t="s">
        <v>7</v>
      </c>
      <c r="C4">
        <f>(B4*70)</f>
        <v>0</v>
      </c>
      <c r="D4">
        <f>(B4*2)</f>
        <v>0</v>
      </c>
      <c r="E4">
        <f>(B4*0)</f>
        <v>0</v>
      </c>
      <c r="F4">
        <f>(B4*15)</f>
        <v>0</v>
      </c>
      <c r="H4" t="s">
        <v>7</v>
      </c>
      <c r="J4">
        <f>(I4*70)</f>
        <v>0</v>
      </c>
      <c r="K4">
        <f>(I4*2)</f>
        <v>0</v>
      </c>
      <c r="L4">
        <f>(I4*0)</f>
        <v>0</v>
      </c>
      <c r="M4">
        <f>(I4*15)</f>
        <v>0</v>
      </c>
    </row>
    <row r="5" spans="1:13" x14ac:dyDescent="0.2">
      <c r="A5" t="s">
        <v>8</v>
      </c>
      <c r="C5">
        <f>(B5*115)</f>
        <v>0</v>
      </c>
      <c r="D5">
        <f>(B5*2)</f>
        <v>0</v>
      </c>
      <c r="E5">
        <f>(B5*5)</f>
        <v>0</v>
      </c>
      <c r="F5">
        <f>(B5*15)</f>
        <v>0</v>
      </c>
      <c r="H5" t="s">
        <v>8</v>
      </c>
      <c r="J5">
        <f>(I5*115)</f>
        <v>0</v>
      </c>
      <c r="K5">
        <f>(I5*2)</f>
        <v>0</v>
      </c>
      <c r="L5">
        <f>(I5*5)</f>
        <v>0</v>
      </c>
      <c r="M5">
        <f>(I5*15)</f>
        <v>0</v>
      </c>
    </row>
    <row r="6" spans="1:13" x14ac:dyDescent="0.2">
      <c r="A6" t="s">
        <v>9</v>
      </c>
      <c r="C6">
        <f>(B6*120)</f>
        <v>0</v>
      </c>
      <c r="D6">
        <f>(B6*8)</f>
        <v>0</v>
      </c>
      <c r="E6">
        <f>(B6*1)</f>
        <v>0</v>
      </c>
      <c r="F6">
        <f>(B6*20)</f>
        <v>0</v>
      </c>
      <c r="H6" t="s">
        <v>9</v>
      </c>
      <c r="J6">
        <f>(I6*120)</f>
        <v>0</v>
      </c>
      <c r="K6">
        <f>(I6*8)</f>
        <v>0</v>
      </c>
      <c r="L6">
        <f>(I6*1)</f>
        <v>0</v>
      </c>
      <c r="M6">
        <f>(I6*20)</f>
        <v>0</v>
      </c>
    </row>
    <row r="7" spans="1:13" x14ac:dyDescent="0.2">
      <c r="A7" t="s">
        <v>10</v>
      </c>
      <c r="C7">
        <f>(B7*40)</f>
        <v>0</v>
      </c>
      <c r="D7">
        <f>(B7*7)</f>
        <v>0</v>
      </c>
      <c r="E7">
        <f>(B7*1)</f>
        <v>0</v>
      </c>
      <c r="F7">
        <f>(B7*0)</f>
        <v>0</v>
      </c>
      <c r="H7" t="s">
        <v>10</v>
      </c>
      <c r="J7">
        <f>(I7*40)</f>
        <v>0</v>
      </c>
      <c r="K7">
        <f>(I7*7)</f>
        <v>0</v>
      </c>
      <c r="L7">
        <f>(I7*1)</f>
        <v>0</v>
      </c>
      <c r="M7">
        <f>(I7*0)</f>
        <v>0</v>
      </c>
    </row>
    <row r="8" spans="1:13" x14ac:dyDescent="0.2">
      <c r="A8" t="s">
        <v>11</v>
      </c>
      <c r="C8">
        <f>(B8*55)</f>
        <v>0</v>
      </c>
      <c r="D8">
        <f>(B8*7)</f>
        <v>0</v>
      </c>
      <c r="E8">
        <f>(B8*3)</f>
        <v>0</v>
      </c>
      <c r="F8">
        <f>(B8*0)</f>
        <v>0</v>
      </c>
      <c r="H8" t="s">
        <v>11</v>
      </c>
      <c r="J8">
        <f>(I8*55)</f>
        <v>0</v>
      </c>
      <c r="K8">
        <f>(I8*7)</f>
        <v>0</v>
      </c>
      <c r="L8">
        <f>(I8*3)</f>
        <v>0</v>
      </c>
      <c r="M8">
        <f>(I8*0)</f>
        <v>0</v>
      </c>
    </row>
    <row r="9" spans="1:13" x14ac:dyDescent="0.2">
      <c r="A9" t="s">
        <v>12</v>
      </c>
      <c r="C9">
        <f>(B9*75)</f>
        <v>0</v>
      </c>
      <c r="D9">
        <f>(B9*7)</f>
        <v>0</v>
      </c>
      <c r="E9">
        <f>(B9*5)</f>
        <v>0</v>
      </c>
      <c r="F9">
        <f>(B9*0)</f>
        <v>0</v>
      </c>
      <c r="H9" t="s">
        <v>12</v>
      </c>
      <c r="J9">
        <f>(I9*75)</f>
        <v>0</v>
      </c>
      <c r="K9">
        <f>(I9*7)</f>
        <v>0</v>
      </c>
      <c r="L9">
        <f>(I9*5)</f>
        <v>0</v>
      </c>
      <c r="M9">
        <f>(I9*0)</f>
        <v>0</v>
      </c>
    </row>
    <row r="10" spans="1:13" x14ac:dyDescent="0.2">
      <c r="A10" t="s">
        <v>13</v>
      </c>
      <c r="C10">
        <f>(B10*100)</f>
        <v>0</v>
      </c>
      <c r="D10">
        <f>(B10*9)</f>
        <v>0</v>
      </c>
      <c r="E10">
        <f>(B10*8)</f>
        <v>0</v>
      </c>
      <c r="F10">
        <f>(B10*0)</f>
        <v>0</v>
      </c>
      <c r="H10" t="s">
        <v>13</v>
      </c>
      <c r="J10">
        <f>(I10*100)</f>
        <v>0</v>
      </c>
      <c r="K10">
        <f>(I10*9)</f>
        <v>0</v>
      </c>
      <c r="L10">
        <f>(I10*8)</f>
        <v>0</v>
      </c>
      <c r="M10">
        <f>(I10*0)</f>
        <v>0</v>
      </c>
    </row>
    <row r="11" spans="1:13" x14ac:dyDescent="0.2">
      <c r="A11" t="s">
        <v>14</v>
      </c>
      <c r="C11">
        <f>(B11*95)</f>
        <v>0</v>
      </c>
      <c r="D11">
        <f>(B11*9)</f>
        <v>0</v>
      </c>
      <c r="E11">
        <f>(B11*2)</f>
        <v>0</v>
      </c>
      <c r="F11">
        <f>(B11*12)</f>
        <v>0</v>
      </c>
      <c r="H11" t="s">
        <v>14</v>
      </c>
      <c r="J11">
        <f>(I11*95)</f>
        <v>0</v>
      </c>
      <c r="K11">
        <f>(I11*9)</f>
        <v>0</v>
      </c>
      <c r="L11">
        <f>(I11*2)</f>
        <v>0</v>
      </c>
      <c r="M11">
        <f>(I11*12)</f>
        <v>0</v>
      </c>
    </row>
    <row r="12" spans="1:13" x14ac:dyDescent="0.2">
      <c r="A12" t="s">
        <v>15</v>
      </c>
      <c r="C12">
        <f>(B12*100)</f>
        <v>0</v>
      </c>
      <c r="D12">
        <f>(B12*9)</f>
        <v>0</v>
      </c>
      <c r="E12">
        <f>(B12*4)</f>
        <v>0</v>
      </c>
      <c r="F12">
        <f>(B12*12)</f>
        <v>0</v>
      </c>
      <c r="H12" t="s">
        <v>15</v>
      </c>
      <c r="J12">
        <f>(I12*100)</f>
        <v>0</v>
      </c>
      <c r="K12">
        <f>(I12*9)</f>
        <v>0</v>
      </c>
      <c r="L12">
        <f>(I12*4)</f>
        <v>0</v>
      </c>
      <c r="M12">
        <f>(I12*12)</f>
        <v>0</v>
      </c>
    </row>
    <row r="13" spans="1:13" x14ac:dyDescent="0.2">
      <c r="A13" t="s">
        <v>16</v>
      </c>
      <c r="C13">
        <f>(B13*150)</f>
        <v>0</v>
      </c>
      <c r="D13">
        <f>(B13*9)</f>
        <v>0</v>
      </c>
      <c r="E13">
        <f>(B13*8)</f>
        <v>0</v>
      </c>
      <c r="F13">
        <f>(B13*12)</f>
        <v>0</v>
      </c>
      <c r="H13" t="s">
        <v>16</v>
      </c>
      <c r="J13">
        <f>(I13*150)</f>
        <v>0</v>
      </c>
      <c r="K13">
        <f>(I13*9)</f>
        <v>0</v>
      </c>
      <c r="L13">
        <f>(I13*8)</f>
        <v>0</v>
      </c>
      <c r="M13">
        <f>(I13*12)</f>
        <v>0</v>
      </c>
    </row>
    <row r="14" spans="1:13" x14ac:dyDescent="0.2">
      <c r="A14" t="s">
        <v>17</v>
      </c>
      <c r="C14">
        <f>(B14*200)</f>
        <v>0</v>
      </c>
      <c r="D14">
        <f>(B14*9)</f>
        <v>0</v>
      </c>
      <c r="E14">
        <f>(B14*5)</f>
        <v>0</v>
      </c>
      <c r="F14">
        <f>(B14*30)</f>
        <v>0</v>
      </c>
      <c r="H14" t="s">
        <v>17</v>
      </c>
      <c r="J14">
        <f>(I14*200)</f>
        <v>0</v>
      </c>
      <c r="K14">
        <f>(I14*9)</f>
        <v>0</v>
      </c>
      <c r="L14">
        <f>(I14*5)</f>
        <v>0</v>
      </c>
      <c r="M14">
        <f>(I14*30)</f>
        <v>0</v>
      </c>
    </row>
    <row r="15" spans="1:13" x14ac:dyDescent="0.2">
      <c r="A15" t="s">
        <v>18</v>
      </c>
      <c r="C15">
        <f>(B15*45)</f>
        <v>0</v>
      </c>
      <c r="D15">
        <f>(B15*0)</f>
        <v>0</v>
      </c>
      <c r="E15">
        <f>(B15*5)</f>
        <v>0</v>
      </c>
      <c r="F15">
        <f>(B15*0)</f>
        <v>0</v>
      </c>
      <c r="H15" t="s">
        <v>18</v>
      </c>
      <c r="J15">
        <f>(I15*45)</f>
        <v>0</v>
      </c>
      <c r="K15">
        <f>(I15*0)</f>
        <v>0</v>
      </c>
      <c r="L15">
        <f>(I15*5)</f>
        <v>0</v>
      </c>
      <c r="M15">
        <f>(I15*0)</f>
        <v>0</v>
      </c>
    </row>
    <row r="16" spans="1:13" x14ac:dyDescent="0.2">
      <c r="A16" t="s">
        <v>19</v>
      </c>
      <c r="C16">
        <f>(B16*70)</f>
        <v>0</v>
      </c>
      <c r="D16">
        <f>(B16*3)</f>
        <v>0</v>
      </c>
      <c r="E16">
        <f>(B16*5)</f>
        <v>0</v>
      </c>
      <c r="F16">
        <f>(B16*0)</f>
        <v>0</v>
      </c>
      <c r="H16" t="s">
        <v>19</v>
      </c>
      <c r="J16">
        <f>(I16*70)</f>
        <v>0</v>
      </c>
      <c r="K16">
        <f>(I16*3)</f>
        <v>0</v>
      </c>
      <c r="L16">
        <f>(I16*5)</f>
        <v>0</v>
      </c>
      <c r="M16">
        <f>(I16*0)</f>
        <v>0</v>
      </c>
    </row>
    <row r="17" spans="1:13" x14ac:dyDescent="0.2">
      <c r="A17" t="s">
        <v>20</v>
      </c>
      <c r="C17">
        <f>(B17*40)</f>
        <v>0</v>
      </c>
      <c r="D17">
        <f>(B17*0)</f>
        <v>0</v>
      </c>
      <c r="E17">
        <f>(B17*0)</f>
        <v>0</v>
      </c>
      <c r="F17">
        <f>(B17*10)</f>
        <v>0</v>
      </c>
      <c r="H17" t="s">
        <v>20</v>
      </c>
      <c r="J17">
        <f>(I17*40)</f>
        <v>0</v>
      </c>
      <c r="K17">
        <f>(I17*0)</f>
        <v>0</v>
      </c>
      <c r="L17">
        <f>(I17*0)</f>
        <v>0</v>
      </c>
      <c r="M17">
        <f>(I17*10)</f>
        <v>0</v>
      </c>
    </row>
    <row r="18" spans="1:13" x14ac:dyDescent="0.2">
      <c r="A18" t="s">
        <v>21</v>
      </c>
      <c r="C18">
        <f>(B18*85)</f>
        <v>0</v>
      </c>
      <c r="D18">
        <f>(B18*0)</f>
        <v>0</v>
      </c>
      <c r="E18">
        <f>(B18*5)</f>
        <v>0</v>
      </c>
      <c r="F18">
        <f>(B18*10)</f>
        <v>0</v>
      </c>
      <c r="H18" t="s">
        <v>21</v>
      </c>
      <c r="J18">
        <f>(I18*85)</f>
        <v>0</v>
      </c>
      <c r="K18">
        <f>(I18*0)</f>
        <v>0</v>
      </c>
      <c r="L18">
        <f>(I18*5)</f>
        <v>0</v>
      </c>
      <c r="M18">
        <f>(I18*10)</f>
        <v>0</v>
      </c>
    </row>
    <row r="19" spans="1:13" x14ac:dyDescent="0.2">
      <c r="A19" t="s">
        <v>90</v>
      </c>
      <c r="C19">
        <f>(B19*123)</f>
        <v>0</v>
      </c>
      <c r="D19">
        <f>(B19*24)</f>
        <v>0</v>
      </c>
      <c r="E19">
        <f>(B19*1)</f>
        <v>0</v>
      </c>
      <c r="F19">
        <f>(B19*4)</f>
        <v>0</v>
      </c>
      <c r="H19" t="s">
        <v>90</v>
      </c>
      <c r="J19">
        <f>(I19*123)</f>
        <v>0</v>
      </c>
      <c r="K19">
        <f>(I19*24)</f>
        <v>0</v>
      </c>
      <c r="L19">
        <f>(I19*1)</f>
        <v>0</v>
      </c>
      <c r="M19">
        <f>(I19*4)</f>
        <v>0</v>
      </c>
    </row>
    <row r="20" spans="1:13" x14ac:dyDescent="0.2">
      <c r="A20" t="s">
        <v>24</v>
      </c>
      <c r="C20">
        <v>0</v>
      </c>
      <c r="D20">
        <f>SUM(D2:D19)</f>
        <v>0</v>
      </c>
      <c r="E20">
        <f>SUM(E2:E19)</f>
        <v>0</v>
      </c>
      <c r="F20">
        <f>SUM(F2:F19)</f>
        <v>0</v>
      </c>
      <c r="H20" t="s">
        <v>24</v>
      </c>
      <c r="J20">
        <v>0</v>
      </c>
      <c r="K20">
        <f>SUM(K2:K19)</f>
        <v>0</v>
      </c>
      <c r="L20">
        <f>SUM(L2:L19)</f>
        <v>0</v>
      </c>
      <c r="M20">
        <f>SUM(M2:M19)</f>
        <v>0</v>
      </c>
    </row>
    <row r="21" spans="1:13" x14ac:dyDescent="0.2">
      <c r="A21" t="s">
        <v>25</v>
      </c>
      <c r="C21">
        <f>SUM(C2:C20)</f>
        <v>0</v>
      </c>
      <c r="D21">
        <f>D20*4</f>
        <v>0</v>
      </c>
      <c r="E21">
        <f>E20*9</f>
        <v>0</v>
      </c>
      <c r="F21">
        <f>F20*4</f>
        <v>0</v>
      </c>
      <c r="H21" t="s">
        <v>25</v>
      </c>
      <c r="J21">
        <f>SUM(J2:J20)</f>
        <v>0</v>
      </c>
      <c r="K21">
        <f>K20*4</f>
        <v>0</v>
      </c>
      <c r="L21">
        <f>L20*9</f>
        <v>0</v>
      </c>
      <c r="M21">
        <f>M20*4</f>
        <v>0</v>
      </c>
    </row>
    <row r="22" spans="1:13" x14ac:dyDescent="0.2">
      <c r="A22" t="s">
        <v>63</v>
      </c>
      <c r="D22" t="e">
        <f>(D21*100)/C21</f>
        <v>#DIV/0!</v>
      </c>
      <c r="E22" t="e">
        <f>(E21*100)/C21</f>
        <v>#DIV/0!</v>
      </c>
      <c r="F22" t="e">
        <f>(F21*100)/C21</f>
        <v>#DIV/0!</v>
      </c>
      <c r="H22" t="s">
        <v>26</v>
      </c>
      <c r="J22" t="e">
        <f>(J21*100)/C21</f>
        <v>#DIV/0!</v>
      </c>
      <c r="K22" t="e">
        <f>(K21*100)/D21</f>
        <v>#DIV/0!</v>
      </c>
      <c r="L22" t="e">
        <f>(L21*100)/E21</f>
        <v>#DIV/0!</v>
      </c>
      <c r="M22" t="e">
        <f>(M21*100)/F21</f>
        <v>#DIV/0!</v>
      </c>
    </row>
  </sheetData>
  <pageMargins left="0.7" right="0.7" top="0.75" bottom="0.75" header="0.3" footer="0.3"/>
  <ignoredErrors>
    <ignoredError sqref="K22" evalError="1"/>
  </ignoredError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8"/>
  <sheetViews>
    <sheetView zoomScale="118" workbookViewId="0">
      <selection activeCell="D27" sqref="D27"/>
    </sheetView>
  </sheetViews>
  <sheetFormatPr baseColWidth="10" defaultRowHeight="15" x14ac:dyDescent="0.2"/>
  <cols>
    <col min="1" max="1" width="31.5" bestFit="1" customWidth="1"/>
    <col min="2" max="2" width="12" customWidth="1"/>
    <col min="5" max="5" width="18.5" bestFit="1" customWidth="1"/>
    <col min="6" max="6" width="12" customWidth="1"/>
    <col min="7" max="8" width="21.5" bestFit="1" customWidth="1"/>
    <col min="11" max="11" width="17.5" bestFit="1" customWidth="1"/>
  </cols>
  <sheetData>
    <row r="1" spans="1:31" x14ac:dyDescent="0.2">
      <c r="A1" t="s">
        <v>35</v>
      </c>
      <c r="B1" t="s">
        <v>36</v>
      </c>
      <c r="E1" t="s">
        <v>35</v>
      </c>
      <c r="F1" t="s">
        <v>36</v>
      </c>
      <c r="G1" t="s">
        <v>49</v>
      </c>
      <c r="H1" t="s">
        <v>51</v>
      </c>
      <c r="K1" s="1" t="s">
        <v>0</v>
      </c>
      <c r="L1" s="1" t="s">
        <v>23</v>
      </c>
      <c r="M1" s="1" t="s">
        <v>1</v>
      </c>
      <c r="N1" s="1" t="s">
        <v>2</v>
      </c>
      <c r="O1" s="1" t="s">
        <v>3</v>
      </c>
      <c r="P1" s="1" t="s">
        <v>4</v>
      </c>
    </row>
    <row r="2" spans="1:31" x14ac:dyDescent="0.2">
      <c r="A2" s="3" t="s">
        <v>27</v>
      </c>
      <c r="E2" s="3" t="s">
        <v>38</v>
      </c>
      <c r="F2" s="3" t="s">
        <v>39</v>
      </c>
      <c r="G2" s="3" t="s">
        <v>50</v>
      </c>
      <c r="H2" s="3" t="s">
        <v>43</v>
      </c>
      <c r="K2" t="s">
        <v>5</v>
      </c>
      <c r="L2">
        <v>2</v>
      </c>
      <c r="M2">
        <f>(L2*25)</f>
        <v>50</v>
      </c>
      <c r="N2">
        <f>(L2*2)</f>
        <v>4</v>
      </c>
      <c r="O2">
        <f>(L2*0)</f>
        <v>0</v>
      </c>
      <c r="P2">
        <f>(L2*4)</f>
        <v>8</v>
      </c>
    </row>
    <row r="3" spans="1:31" x14ac:dyDescent="0.2">
      <c r="A3" s="3" t="s">
        <v>28</v>
      </c>
      <c r="B3" s="2" t="s">
        <v>117</v>
      </c>
      <c r="E3" s="3" t="s">
        <v>40</v>
      </c>
      <c r="K3" t="s">
        <v>6</v>
      </c>
      <c r="L3">
        <v>2</v>
      </c>
      <c r="M3">
        <f>(L3*60)</f>
        <v>120</v>
      </c>
      <c r="N3">
        <f>(L3*0)</f>
        <v>0</v>
      </c>
      <c r="O3">
        <f>(L3*0)</f>
        <v>0</v>
      </c>
      <c r="P3">
        <f>(L3*15)</f>
        <v>30</v>
      </c>
    </row>
    <row r="4" spans="1:31" x14ac:dyDescent="0.2">
      <c r="A4" s="3" t="s">
        <v>29</v>
      </c>
      <c r="B4" s="2">
        <v>18</v>
      </c>
      <c r="E4" s="3" t="s">
        <v>33</v>
      </c>
      <c r="F4">
        <f>66.473+(13.752*B14)+(5.003*B8)-(6.775*B4)</f>
        <v>1719.9925648000001</v>
      </c>
      <c r="G4">
        <f>F4*1.1</f>
        <v>1891.9918212800003</v>
      </c>
      <c r="H4">
        <f>F4*1.2</f>
        <v>2063.9910777599998</v>
      </c>
      <c r="K4" t="s">
        <v>7</v>
      </c>
      <c r="L4">
        <v>2</v>
      </c>
      <c r="M4">
        <f>(L4*70)</f>
        <v>140</v>
      </c>
      <c r="N4">
        <f>(L4*2)</f>
        <v>4</v>
      </c>
      <c r="O4">
        <f>(L4*0)</f>
        <v>0</v>
      </c>
      <c r="P4">
        <f>(L4*15)</f>
        <v>30</v>
      </c>
      <c r="AE4" t="s">
        <v>117</v>
      </c>
    </row>
    <row r="5" spans="1:31" x14ac:dyDescent="0.2">
      <c r="A5" s="3" t="s">
        <v>91</v>
      </c>
      <c r="B5" s="2">
        <v>63</v>
      </c>
      <c r="E5" s="3" t="s">
        <v>37</v>
      </c>
      <c r="F5">
        <f>655.096+(9.563*B15)+(1.85*B8)-(4.676*B4)</f>
        <v>1493.5497646000003</v>
      </c>
      <c r="G5">
        <f>F5*1.1</f>
        <v>1642.9047410600006</v>
      </c>
      <c r="H5">
        <f>F5*1.2</f>
        <v>1792.2597175200003</v>
      </c>
      <c r="K5" t="s">
        <v>8</v>
      </c>
      <c r="L5">
        <v>2</v>
      </c>
      <c r="M5">
        <f>(L5*115)</f>
        <v>230</v>
      </c>
      <c r="N5">
        <f>(L5*2)</f>
        <v>4</v>
      </c>
      <c r="O5">
        <f>(L5*5)</f>
        <v>10</v>
      </c>
      <c r="P5">
        <f>(L5*15)</f>
        <v>30</v>
      </c>
      <c r="AE5" t="s">
        <v>118</v>
      </c>
    </row>
    <row r="6" spans="1:31" x14ac:dyDescent="0.2">
      <c r="A6" s="3" t="s">
        <v>97</v>
      </c>
      <c r="B6" s="2">
        <v>62</v>
      </c>
      <c r="E6" s="3" t="s">
        <v>42</v>
      </c>
      <c r="K6" t="s">
        <v>9</v>
      </c>
      <c r="L6">
        <v>2</v>
      </c>
      <c r="M6">
        <f>(L6*120)</f>
        <v>240</v>
      </c>
      <c r="N6">
        <f>(L6*8)</f>
        <v>16</v>
      </c>
      <c r="O6">
        <f>(L6*1)</f>
        <v>2</v>
      </c>
      <c r="P6">
        <f>(L6*20)</f>
        <v>40</v>
      </c>
    </row>
    <row r="7" spans="1:31" x14ac:dyDescent="0.2">
      <c r="A7" s="3" t="s">
        <v>30</v>
      </c>
      <c r="B7" s="2">
        <v>1.72</v>
      </c>
      <c r="E7" s="3" t="s">
        <v>33</v>
      </c>
      <c r="F7">
        <f>(9.99*B6)+(6.25*B8)-(4.92*B4)+5</f>
        <v>1610.8200000000002</v>
      </c>
      <c r="G7">
        <f>F7*1.1</f>
        <v>1771.9020000000003</v>
      </c>
      <c r="H7">
        <f>F7*1.2</f>
        <v>1932.9840000000002</v>
      </c>
      <c r="K7" t="s">
        <v>10</v>
      </c>
      <c r="L7">
        <v>2</v>
      </c>
      <c r="M7">
        <f>(L7*40)</f>
        <v>80</v>
      </c>
      <c r="N7">
        <f>(L7*7)</f>
        <v>14</v>
      </c>
      <c r="O7">
        <f>(L7*1)</f>
        <v>2</v>
      </c>
      <c r="P7">
        <f>(L7*0)</f>
        <v>0</v>
      </c>
    </row>
    <row r="8" spans="1:31" x14ac:dyDescent="0.2">
      <c r="A8" s="3" t="s">
        <v>41</v>
      </c>
      <c r="B8" s="2">
        <v>172</v>
      </c>
      <c r="E8" s="3" t="s">
        <v>37</v>
      </c>
      <c r="F8">
        <f>(9.99*B6)+(6.25*B8)-(4.92*B4)-161</f>
        <v>1444.8200000000002</v>
      </c>
      <c r="G8">
        <f>F8*1.1</f>
        <v>1589.3020000000004</v>
      </c>
      <c r="H8">
        <f>F8*1.2</f>
        <v>1733.7840000000001</v>
      </c>
      <c r="K8" t="s">
        <v>11</v>
      </c>
      <c r="L8">
        <v>2</v>
      </c>
      <c r="M8">
        <f>(L8*55)</f>
        <v>110</v>
      </c>
      <c r="N8">
        <f>(L8*7)</f>
        <v>14</v>
      </c>
      <c r="O8">
        <f>(L8*3)</f>
        <v>6</v>
      </c>
      <c r="P8">
        <f>(L8*0)</f>
        <v>0</v>
      </c>
    </row>
    <row r="9" spans="1:31" x14ac:dyDescent="0.2">
      <c r="A9" s="3" t="s">
        <v>31</v>
      </c>
      <c r="B9">
        <f>(B6/(B7*B7))</f>
        <v>20.957274202271499</v>
      </c>
      <c r="E9" s="3" t="s">
        <v>44</v>
      </c>
      <c r="K9" t="s">
        <v>12</v>
      </c>
      <c r="L9">
        <v>2</v>
      </c>
      <c r="M9">
        <f>(L9*75)</f>
        <v>150</v>
      </c>
      <c r="N9">
        <f>(L9*7)</f>
        <v>14</v>
      </c>
      <c r="O9">
        <f>(L9*5)</f>
        <v>10</v>
      </c>
      <c r="P9">
        <f>(L9*0)</f>
        <v>0</v>
      </c>
    </row>
    <row r="10" spans="1:31" x14ac:dyDescent="0.2">
      <c r="A10" s="3" t="s">
        <v>32</v>
      </c>
      <c r="E10" s="3" t="s">
        <v>45</v>
      </c>
      <c r="F10">
        <f>(13.37*B6)+747</f>
        <v>1575.94</v>
      </c>
      <c r="G10">
        <f>F10*1.1</f>
        <v>1733.5340000000001</v>
      </c>
      <c r="H10">
        <f>F10*1.2</f>
        <v>1891.1279999999999</v>
      </c>
      <c r="K10" t="s">
        <v>13</v>
      </c>
      <c r="L10">
        <v>2</v>
      </c>
      <c r="M10">
        <f>(L10*100)</f>
        <v>200</v>
      </c>
      <c r="N10">
        <f>(L10*9)</f>
        <v>18</v>
      </c>
      <c r="O10">
        <f>(L10*8)</f>
        <v>16</v>
      </c>
      <c r="P10">
        <f>(L10*0)</f>
        <v>0</v>
      </c>
    </row>
    <row r="11" spans="1:31" x14ac:dyDescent="0.2">
      <c r="A11" s="3" t="s">
        <v>33</v>
      </c>
      <c r="B11">
        <f>((B7*B7)*23)</f>
        <v>68.043199999999999</v>
      </c>
      <c r="E11" s="3" t="s">
        <v>46</v>
      </c>
      <c r="F11">
        <f>(13.08*B6)+693</f>
        <v>1503.96</v>
      </c>
      <c r="G11">
        <f t="shared" ref="G11:G13" si="0">F11*1.1</f>
        <v>1654.3560000000002</v>
      </c>
      <c r="H11">
        <f t="shared" ref="H11:H13" si="1">F11*1.2</f>
        <v>1804.752</v>
      </c>
      <c r="K11" t="s">
        <v>14</v>
      </c>
      <c r="L11">
        <v>2</v>
      </c>
      <c r="M11">
        <f>(L11*95)</f>
        <v>190</v>
      </c>
      <c r="N11">
        <f>(L11*9)</f>
        <v>18</v>
      </c>
      <c r="O11">
        <f>(L11*2)</f>
        <v>4</v>
      </c>
      <c r="P11">
        <f>(L11*12)</f>
        <v>24</v>
      </c>
    </row>
    <row r="12" spans="1:31" x14ac:dyDescent="0.2">
      <c r="A12" s="3" t="s">
        <v>37</v>
      </c>
      <c r="B12">
        <f>((B7*B7)*21.5)</f>
        <v>63.605599999999995</v>
      </c>
      <c r="E12" s="3" t="s">
        <v>47</v>
      </c>
      <c r="F12">
        <f>(11.02*B6)+679</f>
        <v>1362.24</v>
      </c>
      <c r="G12">
        <f t="shared" si="0"/>
        <v>1498.4640000000002</v>
      </c>
      <c r="H12">
        <f t="shared" si="1"/>
        <v>1634.6879999999999</v>
      </c>
      <c r="K12" t="s">
        <v>15</v>
      </c>
      <c r="L12">
        <v>2</v>
      </c>
      <c r="M12">
        <f>(L12*100)</f>
        <v>200</v>
      </c>
      <c r="N12">
        <f>(L12*9)</f>
        <v>18</v>
      </c>
      <c r="O12">
        <f>(L12*4)</f>
        <v>8</v>
      </c>
      <c r="P12">
        <f>(L12*12)</f>
        <v>24</v>
      </c>
    </row>
    <row r="13" spans="1:31" x14ac:dyDescent="0.2">
      <c r="A13" s="3" t="s">
        <v>34</v>
      </c>
      <c r="E13" s="3" t="s">
        <v>48</v>
      </c>
      <c r="F13">
        <f>(10.92*B6)+677</f>
        <v>1354.04</v>
      </c>
      <c r="G13">
        <f t="shared" si="0"/>
        <v>1489.4440000000002</v>
      </c>
      <c r="H13">
        <f t="shared" si="1"/>
        <v>1624.848</v>
      </c>
      <c r="K13" t="s">
        <v>16</v>
      </c>
      <c r="L13">
        <v>2</v>
      </c>
      <c r="M13">
        <f>(L13*150)</f>
        <v>300</v>
      </c>
      <c r="N13">
        <f>(L13*9)</f>
        <v>18</v>
      </c>
      <c r="O13">
        <f>(L13*8)</f>
        <v>16</v>
      </c>
      <c r="P13">
        <f>(L13*12)</f>
        <v>24</v>
      </c>
    </row>
    <row r="14" spans="1:31" x14ac:dyDescent="0.2">
      <c r="A14" s="3" t="s">
        <v>33</v>
      </c>
      <c r="B14">
        <f>((B6-B11)*0.25)+B11</f>
        <v>66.532399999999996</v>
      </c>
      <c r="E14" s="7" t="s">
        <v>96</v>
      </c>
      <c r="K14" t="s">
        <v>17</v>
      </c>
      <c r="L14">
        <v>2</v>
      </c>
      <c r="M14">
        <f>(L14*200)</f>
        <v>400</v>
      </c>
      <c r="N14">
        <f>(L14*9)</f>
        <v>18</v>
      </c>
      <c r="O14">
        <f>(L14*5)</f>
        <v>10</v>
      </c>
      <c r="P14">
        <f>(L14*30)</f>
        <v>60</v>
      </c>
    </row>
    <row r="15" spans="1:31" x14ac:dyDescent="0.2">
      <c r="A15" s="3" t="s">
        <v>37</v>
      </c>
      <c r="B15">
        <f>((B6-B12)*0.25)+B12</f>
        <v>63.2042</v>
      </c>
      <c r="E15" s="3">
        <v>20</v>
      </c>
      <c r="F15">
        <f>(B6*20)</f>
        <v>1240</v>
      </c>
      <c r="K15" t="s">
        <v>18</v>
      </c>
      <c r="L15">
        <v>2</v>
      </c>
      <c r="M15">
        <f>(L15*45)</f>
        <v>90</v>
      </c>
      <c r="N15">
        <f>(L15*0)</f>
        <v>0</v>
      </c>
      <c r="O15">
        <f>(L15*5)</f>
        <v>10</v>
      </c>
      <c r="P15">
        <f>(L15*0)</f>
        <v>0</v>
      </c>
    </row>
    <row r="16" spans="1:31" x14ac:dyDescent="0.2">
      <c r="A16" s="3" t="s">
        <v>52</v>
      </c>
      <c r="E16" s="3">
        <v>25</v>
      </c>
      <c r="F16">
        <f>B6*25</f>
        <v>1550</v>
      </c>
      <c r="K16" t="s">
        <v>19</v>
      </c>
      <c r="L16">
        <v>2</v>
      </c>
      <c r="M16">
        <f>(L16*70)</f>
        <v>140</v>
      </c>
      <c r="N16">
        <f>(L16*3)</f>
        <v>6</v>
      </c>
      <c r="O16">
        <f>(L16*5)</f>
        <v>10</v>
      </c>
      <c r="P16">
        <f>(L16*0)</f>
        <v>0</v>
      </c>
    </row>
    <row r="17" spans="1:16" x14ac:dyDescent="0.2">
      <c r="A17" s="3" t="s">
        <v>33</v>
      </c>
      <c r="B17">
        <f>(B6/B11)*100</f>
        <v>91.118583488136949</v>
      </c>
      <c r="E17" s="3">
        <v>30</v>
      </c>
      <c r="F17">
        <f>B6*30</f>
        <v>1860</v>
      </c>
      <c r="K17" t="s">
        <v>20</v>
      </c>
      <c r="L17">
        <v>2</v>
      </c>
      <c r="M17">
        <f>(L17*40)</f>
        <v>80</v>
      </c>
      <c r="N17">
        <f>(L17*0)</f>
        <v>0</v>
      </c>
      <c r="O17">
        <f>(L17*0)</f>
        <v>0</v>
      </c>
      <c r="P17">
        <f>(L17*10)</f>
        <v>20</v>
      </c>
    </row>
    <row r="18" spans="1:16" x14ac:dyDescent="0.2">
      <c r="A18" s="3" t="s">
        <v>37</v>
      </c>
      <c r="B18">
        <f>(B5/B12)*100</f>
        <v>99.047882576376935</v>
      </c>
      <c r="E18" s="3">
        <v>35</v>
      </c>
      <c r="F18">
        <f>B6*35</f>
        <v>2170</v>
      </c>
      <c r="K18" t="s">
        <v>21</v>
      </c>
      <c r="L18">
        <v>2</v>
      </c>
      <c r="M18">
        <f>(L18*85)</f>
        <v>170</v>
      </c>
      <c r="N18">
        <f>(L18*0)</f>
        <v>0</v>
      </c>
      <c r="O18">
        <f>(L18*5)</f>
        <v>10</v>
      </c>
      <c r="P18">
        <f>(L18*10)</f>
        <v>20</v>
      </c>
    </row>
    <row r="19" spans="1:16" x14ac:dyDescent="0.2">
      <c r="A19" s="3" t="s">
        <v>60</v>
      </c>
      <c r="B19" s="2">
        <v>85</v>
      </c>
      <c r="E19" s="3">
        <v>40</v>
      </c>
      <c r="F19">
        <f>B6*40</f>
        <v>2480</v>
      </c>
      <c r="K19" t="s">
        <v>90</v>
      </c>
      <c r="L19">
        <v>2</v>
      </c>
      <c r="M19">
        <f>(L19*123)</f>
        <v>246</v>
      </c>
      <c r="N19">
        <f>(L19*24)</f>
        <v>48</v>
      </c>
      <c r="O19">
        <f>(L19*1)</f>
        <v>2</v>
      </c>
      <c r="P19">
        <f>(L19*4)</f>
        <v>8</v>
      </c>
    </row>
    <row r="20" spans="1:16" x14ac:dyDescent="0.2">
      <c r="A20" s="3" t="s">
        <v>61</v>
      </c>
      <c r="B20" s="2">
        <v>95</v>
      </c>
      <c r="K20" t="s">
        <v>99</v>
      </c>
      <c r="L20">
        <v>2</v>
      </c>
      <c r="M20">
        <f>(L20*500)</f>
        <v>1000</v>
      </c>
      <c r="N20">
        <f>(L20*41)</f>
        <v>82</v>
      </c>
      <c r="O20">
        <f>(L20*11)</f>
        <v>22</v>
      </c>
      <c r="P20">
        <f>(L20*60)</f>
        <v>120</v>
      </c>
    </row>
    <row r="21" spans="1:16" x14ac:dyDescent="0.2">
      <c r="A21" s="3" t="s">
        <v>62</v>
      </c>
      <c r="B21">
        <f>B19/B20</f>
        <v>0.89473684210526316</v>
      </c>
      <c r="K21" t="s">
        <v>102</v>
      </c>
      <c r="L21">
        <v>2</v>
      </c>
      <c r="M21">
        <f>(L21*472)</f>
        <v>944</v>
      </c>
      <c r="N21">
        <f>(L21*20)</f>
        <v>40</v>
      </c>
      <c r="O21">
        <f>(L21*24)</f>
        <v>48</v>
      </c>
      <c r="P21">
        <f>(L21*44)</f>
        <v>88</v>
      </c>
    </row>
    <row r="22" spans="1:16" x14ac:dyDescent="0.2">
      <c r="A22" s="3" t="s">
        <v>71</v>
      </c>
      <c r="B22">
        <f>100-(B6*100/B5)</f>
        <v>1.5873015873015817</v>
      </c>
      <c r="E22" s="2" t="s">
        <v>119</v>
      </c>
      <c r="F22" t="s">
        <v>56</v>
      </c>
      <c r="G22" t="s">
        <v>39</v>
      </c>
      <c r="H22" t="s">
        <v>57</v>
      </c>
      <c r="I22" t="s">
        <v>58</v>
      </c>
      <c r="K22" t="s">
        <v>100</v>
      </c>
      <c r="L22">
        <v>2</v>
      </c>
      <c r="M22">
        <f>(L22*35)</f>
        <v>70</v>
      </c>
      <c r="N22">
        <f>(L22*8.6)</f>
        <v>17.2</v>
      </c>
      <c r="O22">
        <f>(L22*0.1)</f>
        <v>0.2</v>
      </c>
      <c r="P22">
        <f>(L22*0)</f>
        <v>0</v>
      </c>
    </row>
    <row r="23" spans="1:16" x14ac:dyDescent="0.2">
      <c r="A23" s="3" t="s">
        <v>92</v>
      </c>
      <c r="E23" t="s">
        <v>53</v>
      </c>
      <c r="F23">
        <f>(G23/E22)*100</f>
        <v>29.743152941176472</v>
      </c>
      <c r="G23">
        <f>H23*4</f>
        <v>505.6336</v>
      </c>
      <c r="H23">
        <f>(I23*B15)</f>
        <v>126.4084</v>
      </c>
      <c r="I23" s="2">
        <v>2</v>
      </c>
      <c r="K23" t="s">
        <v>101</v>
      </c>
      <c r="L23">
        <v>2</v>
      </c>
      <c r="M23">
        <f>(Tabla16[[#This Row],[Raciones]]*320)</f>
        <v>640</v>
      </c>
      <c r="N23">
        <f>(Tabla16[[#This Row],[Raciones]]*20)</f>
        <v>40</v>
      </c>
      <c r="O23">
        <f>(Tabla16[[#This Row],[Raciones]]*20)</f>
        <v>40</v>
      </c>
      <c r="P23">
        <f>(Tabla16[[#This Row],[Raciones]]*15)</f>
        <v>30</v>
      </c>
    </row>
    <row r="24" spans="1:16" x14ac:dyDescent="0.2">
      <c r="A24" s="3" t="s">
        <v>94</v>
      </c>
      <c r="B24" s="2"/>
      <c r="E24" t="s">
        <v>54</v>
      </c>
      <c r="F24">
        <f>100-(F25+F23)</f>
        <v>35.256847058823524</v>
      </c>
      <c r="G24">
        <f>(F24*E22)/100</f>
        <v>599.36639999999989</v>
      </c>
      <c r="H24">
        <f>G24/9</f>
        <v>66.596266666666651</v>
      </c>
      <c r="K24" t="s">
        <v>22</v>
      </c>
      <c r="L24">
        <v>2</v>
      </c>
      <c r="M24">
        <f>(L24*140)</f>
        <v>280</v>
      </c>
      <c r="N24">
        <f>(L24*0)</f>
        <v>0</v>
      </c>
      <c r="O24">
        <f>(L24*0)</f>
        <v>0</v>
      </c>
      <c r="P24">
        <f>(L24*20)</f>
        <v>40</v>
      </c>
    </row>
    <row r="25" spans="1:16" x14ac:dyDescent="0.2">
      <c r="A25" s="3" t="s">
        <v>33</v>
      </c>
      <c r="B25" t="e">
        <f>(B24/(18*#REF!))*100</f>
        <v>#REF!</v>
      </c>
      <c r="E25" t="s">
        <v>55</v>
      </c>
      <c r="F25" s="2">
        <v>35</v>
      </c>
      <c r="G25">
        <f>(F25*E22)/100</f>
        <v>595</v>
      </c>
      <c r="H25">
        <f>G25/4</f>
        <v>148.75</v>
      </c>
      <c r="K25" t="s">
        <v>24</v>
      </c>
      <c r="M25">
        <v>0</v>
      </c>
      <c r="N25">
        <f>SUM(N2:N24)</f>
        <v>393.2</v>
      </c>
      <c r="O25">
        <f>SUM(O2:O24)</f>
        <v>226.2</v>
      </c>
      <c r="P25">
        <f>SUM(P2:P24)</f>
        <v>596</v>
      </c>
    </row>
    <row r="26" spans="1:16" x14ac:dyDescent="0.2">
      <c r="A26" s="3" t="s">
        <v>93</v>
      </c>
      <c r="B26" t="e">
        <f>(B24/(23*#REF!)*100)</f>
        <v>#REF!</v>
      </c>
      <c r="E26" t="s">
        <v>59</v>
      </c>
      <c r="F26">
        <f>SUM(F23:F25)</f>
        <v>100</v>
      </c>
      <c r="G26">
        <f>SUM(G23:G25)</f>
        <v>1700</v>
      </c>
      <c r="K26" t="s">
        <v>25</v>
      </c>
      <c r="M26">
        <f>SUM(M2:M25)</f>
        <v>6070</v>
      </c>
      <c r="N26">
        <f>N25*4</f>
        <v>1572.8</v>
      </c>
      <c r="O26">
        <f>O25*9</f>
        <v>2035.8</v>
      </c>
      <c r="P26">
        <f>P25*4</f>
        <v>2384</v>
      </c>
    </row>
    <row r="27" spans="1:16" x14ac:dyDescent="0.2">
      <c r="E27" t="s">
        <v>95</v>
      </c>
      <c r="H27">
        <f>(Tabla6[[#This Row],[G/KG]]*B6)</f>
        <v>12.4</v>
      </c>
      <c r="I27" s="2">
        <v>0.2</v>
      </c>
      <c r="K27" t="s">
        <v>63</v>
      </c>
      <c r="M27">
        <f>(M26*100)/E22</f>
        <v>357.05882352941177</v>
      </c>
      <c r="N27">
        <f>(N25*100)/H23</f>
        <v>311.05527797203348</v>
      </c>
      <c r="O27">
        <f>(O25*100)/H24</f>
        <v>339.65867956562136</v>
      </c>
      <c r="P27">
        <f>(P25*100)/H25</f>
        <v>400.67226890756302</v>
      </c>
    </row>
    <row r="28" spans="1:16" x14ac:dyDescent="0.2">
      <c r="I28" t="s">
        <v>98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3D2B-9D8A-CC47-A048-F0DBC057E3C4}">
  <dimension ref="B1:AA28"/>
  <sheetViews>
    <sheetView tabSelected="1" workbookViewId="0">
      <selection activeCell="E11" sqref="E11"/>
    </sheetView>
  </sheetViews>
  <sheetFormatPr baseColWidth="10" defaultRowHeight="16" x14ac:dyDescent="0.2"/>
  <cols>
    <col min="2" max="2" width="16.6640625" style="17" bestFit="1" customWidth="1"/>
    <col min="3" max="3" width="7.5" style="17" customWidth="1"/>
    <col min="4" max="4" width="17" style="18" bestFit="1" customWidth="1"/>
    <col min="5" max="5" width="18.1640625" style="17" bestFit="1" customWidth="1"/>
    <col min="6" max="6" width="12.1640625" style="17" bestFit="1" customWidth="1"/>
    <col min="7" max="8" width="21.1640625" style="17" bestFit="1" customWidth="1"/>
    <col min="9" max="9" width="6.83203125" style="18" bestFit="1" customWidth="1"/>
    <col min="11" max="11" width="17.6640625" style="18" customWidth="1"/>
    <col min="12" max="12" width="8.5" style="18" bestFit="1" customWidth="1"/>
    <col min="13" max="13" width="12.1640625" style="18" bestFit="1" customWidth="1"/>
    <col min="14" max="14" width="11.1640625" style="18" bestFit="1" customWidth="1"/>
    <col min="15" max="15" width="12.1640625" style="18" bestFit="1" customWidth="1"/>
    <col min="16" max="16" width="17.83203125" style="18" bestFit="1" customWidth="1"/>
  </cols>
  <sheetData>
    <row r="1" spans="2:27" ht="21" customHeight="1" x14ac:dyDescent="0.2">
      <c r="AA1" t="s">
        <v>117</v>
      </c>
    </row>
    <row r="2" spans="2:27" ht="21" customHeight="1" x14ac:dyDescent="0.2">
      <c r="B2" s="19" t="s">
        <v>120</v>
      </c>
      <c r="C2" s="20" t="s">
        <v>117</v>
      </c>
      <c r="E2" s="19" t="s">
        <v>126</v>
      </c>
      <c r="F2" s="21">
        <f>(C6/100)^2*IF(C2="Mujer",21.5,23)</f>
        <v>68.043199999999999</v>
      </c>
      <c r="K2" s="26" t="s">
        <v>0</v>
      </c>
      <c r="L2" s="26" t="s">
        <v>23</v>
      </c>
      <c r="M2" s="26" t="s">
        <v>1</v>
      </c>
      <c r="N2" s="26" t="s">
        <v>2</v>
      </c>
      <c r="O2" s="26" t="s">
        <v>3</v>
      </c>
      <c r="P2" s="26" t="s">
        <v>4</v>
      </c>
      <c r="AA2" t="s">
        <v>118</v>
      </c>
    </row>
    <row r="3" spans="2:27" ht="21" customHeight="1" x14ac:dyDescent="0.2">
      <c r="B3" s="22" t="s">
        <v>121</v>
      </c>
      <c r="C3" s="23">
        <v>18</v>
      </c>
      <c r="E3" s="22" t="s">
        <v>127</v>
      </c>
      <c r="F3" s="23">
        <f>((C5-F2)*0.25)+F2</f>
        <v>66.532399999999996</v>
      </c>
      <c r="K3" s="18" t="s">
        <v>5</v>
      </c>
      <c r="L3" s="18">
        <v>2</v>
      </c>
      <c r="M3" s="18">
        <f>(L3*25)</f>
        <v>50</v>
      </c>
      <c r="N3" s="18">
        <f>(L3*2)</f>
        <v>4</v>
      </c>
      <c r="O3" s="18">
        <f>(L3*0)</f>
        <v>0</v>
      </c>
      <c r="P3" s="18">
        <f>(L3*4)</f>
        <v>8</v>
      </c>
    </row>
    <row r="4" spans="2:27" ht="21" customHeight="1" x14ac:dyDescent="0.2">
      <c r="B4" s="19" t="s">
        <v>122</v>
      </c>
      <c r="C4" s="21">
        <v>63</v>
      </c>
      <c r="E4" s="19" t="s">
        <v>129</v>
      </c>
      <c r="F4" s="21">
        <f>C7/C8</f>
        <v>0.89473684210526316</v>
      </c>
      <c r="K4" s="18" t="s">
        <v>6</v>
      </c>
      <c r="L4" s="18">
        <v>2</v>
      </c>
      <c r="M4" s="18">
        <f>(L4*60)</f>
        <v>120</v>
      </c>
      <c r="N4" s="18">
        <f>(L4*0)</f>
        <v>0</v>
      </c>
      <c r="O4" s="18">
        <f>(L4*0)</f>
        <v>0</v>
      </c>
      <c r="P4" s="18">
        <f>(L4*15)</f>
        <v>30</v>
      </c>
      <c r="AA4">
        <v>20</v>
      </c>
    </row>
    <row r="5" spans="2:27" ht="21" customHeight="1" x14ac:dyDescent="0.2">
      <c r="B5" s="22" t="s">
        <v>123</v>
      </c>
      <c r="C5" s="23">
        <v>62</v>
      </c>
      <c r="E5" s="22" t="s">
        <v>130</v>
      </c>
      <c r="F5" s="23">
        <f>100-(C5*100/C4)</f>
        <v>1.5873015873015817</v>
      </c>
      <c r="K5" s="18" t="s">
        <v>7</v>
      </c>
      <c r="L5" s="18">
        <v>2</v>
      </c>
      <c r="M5" s="18">
        <f>(L5*70)</f>
        <v>140</v>
      </c>
      <c r="N5" s="18">
        <f>(L5*2)</f>
        <v>4</v>
      </c>
      <c r="O5" s="18">
        <f>(L5*0)</f>
        <v>0</v>
      </c>
      <c r="P5" s="18">
        <f>(L5*15)</f>
        <v>30</v>
      </c>
      <c r="AA5">
        <v>25</v>
      </c>
    </row>
    <row r="6" spans="2:27" ht="21" customHeight="1" x14ac:dyDescent="0.2">
      <c r="B6" s="19" t="s">
        <v>131</v>
      </c>
      <c r="C6" s="21">
        <v>172</v>
      </c>
      <c r="E6" s="19" t="s">
        <v>128</v>
      </c>
      <c r="F6" s="21">
        <f>C5*100/C4</f>
        <v>98.412698412698418</v>
      </c>
      <c r="K6" s="18" t="s">
        <v>8</v>
      </c>
      <c r="L6" s="18">
        <v>2</v>
      </c>
      <c r="M6" s="18">
        <f>(L6*115)</f>
        <v>230</v>
      </c>
      <c r="N6" s="18">
        <f>(L6*2)</f>
        <v>4</v>
      </c>
      <c r="O6" s="18">
        <f>(L6*5)</f>
        <v>10</v>
      </c>
      <c r="P6" s="18">
        <f>(L6*15)</f>
        <v>30</v>
      </c>
      <c r="AA6">
        <v>30</v>
      </c>
    </row>
    <row r="7" spans="2:27" ht="21" customHeight="1" x14ac:dyDescent="0.2">
      <c r="B7" s="22" t="s">
        <v>124</v>
      </c>
      <c r="C7" s="23">
        <v>85</v>
      </c>
      <c r="E7" s="24"/>
      <c r="K7" s="18" t="s">
        <v>9</v>
      </c>
      <c r="L7" s="18">
        <v>2</v>
      </c>
      <c r="M7" s="18">
        <f>(L7*120)</f>
        <v>240</v>
      </c>
      <c r="N7" s="18">
        <f>(L7*8)</f>
        <v>16</v>
      </c>
      <c r="O7" s="18">
        <f>(L7*1)</f>
        <v>2</v>
      </c>
      <c r="P7" s="18">
        <f>(L7*20)</f>
        <v>40</v>
      </c>
      <c r="AA7">
        <v>35</v>
      </c>
    </row>
    <row r="8" spans="2:27" ht="21" customHeight="1" x14ac:dyDescent="0.2">
      <c r="B8" s="19" t="s">
        <v>125</v>
      </c>
      <c r="C8" s="21">
        <v>95</v>
      </c>
      <c r="E8" s="19" t="s">
        <v>38</v>
      </c>
      <c r="F8" s="22" t="s">
        <v>39</v>
      </c>
      <c r="G8" s="19" t="s">
        <v>50</v>
      </c>
      <c r="H8" s="22" t="s">
        <v>43</v>
      </c>
      <c r="K8" s="18" t="s">
        <v>10</v>
      </c>
      <c r="L8" s="18">
        <v>2</v>
      </c>
      <c r="M8" s="18">
        <f>(L8*40)</f>
        <v>80</v>
      </c>
      <c r="N8" s="18">
        <f>(L8*7)</f>
        <v>14</v>
      </c>
      <c r="O8" s="18">
        <f>(L8*1)</f>
        <v>2</v>
      </c>
      <c r="P8" s="18">
        <f>(L8*0)</f>
        <v>0</v>
      </c>
      <c r="AA8">
        <v>40</v>
      </c>
    </row>
    <row r="9" spans="2:27" ht="21" customHeight="1" x14ac:dyDescent="0.2">
      <c r="E9" s="22" t="s">
        <v>40</v>
      </c>
      <c r="F9" s="21">
        <f>IF(C2="Mujer",655.096+(9.563*F3)+(1.85*C6)-(4.676*C3),66.473+(13.752*F3)+(5.003*C6)-(6.775*C3))</f>
        <v>1719.9925648000001</v>
      </c>
      <c r="G9" s="21">
        <f>F9*1.1</f>
        <v>1891.9918212800003</v>
      </c>
      <c r="H9" s="21">
        <f>F9*1.2</f>
        <v>2063.9910777599998</v>
      </c>
      <c r="K9" s="18" t="s">
        <v>11</v>
      </c>
      <c r="L9" s="18">
        <v>2</v>
      </c>
      <c r="M9" s="18">
        <f>(L9*55)</f>
        <v>110</v>
      </c>
      <c r="N9" s="18">
        <f>(L9*7)</f>
        <v>14</v>
      </c>
      <c r="O9" s="18">
        <f>(L9*3)</f>
        <v>6</v>
      </c>
      <c r="P9" s="18">
        <f>(L9*0)</f>
        <v>0</v>
      </c>
    </row>
    <row r="10" spans="2:27" ht="21" customHeight="1" x14ac:dyDescent="0.2">
      <c r="E10" s="19" t="s">
        <v>42</v>
      </c>
      <c r="F10" s="23">
        <f>IF(C2="Mujer",(9.99*C5)+(6.25*C6)-(4.92*C3)-161,(9.99*C5)+(6.25*C6)-(4.92*C3)+5)</f>
        <v>1610.8200000000002</v>
      </c>
      <c r="G10" s="23">
        <f>F10*1.1</f>
        <v>1771.9020000000003</v>
      </c>
      <c r="H10" s="23">
        <f>F10*1.2</f>
        <v>1932.9840000000002</v>
      </c>
      <c r="K10" s="18" t="s">
        <v>12</v>
      </c>
      <c r="L10" s="18">
        <v>2</v>
      </c>
      <c r="M10" s="18">
        <f>(L10*75)</f>
        <v>150</v>
      </c>
      <c r="N10" s="18">
        <f>(L10*7)</f>
        <v>14</v>
      </c>
      <c r="O10" s="18">
        <f>(L10*5)</f>
        <v>10</v>
      </c>
      <c r="P10" s="18">
        <f>(L10*0)</f>
        <v>0</v>
      </c>
    </row>
    <row r="11" spans="2:27" ht="21" customHeight="1" x14ac:dyDescent="0.2">
      <c r="E11" s="22" t="s">
        <v>44</v>
      </c>
      <c r="F11" s="21">
        <f>IF(C2="Mujer",IF(C3&lt;=30,(13.37*C5)+747,(13.08*C5)+693),IF(C3&lt;=30,(11.02*C5)+679,(10.92*C5)+677))</f>
        <v>1362.24</v>
      </c>
      <c r="G11" s="21">
        <f>F11*1.1</f>
        <v>1498.4640000000002</v>
      </c>
      <c r="H11" s="21">
        <f>F11*1.2</f>
        <v>1634.6879999999999</v>
      </c>
      <c r="K11" s="18" t="s">
        <v>13</v>
      </c>
      <c r="L11" s="18">
        <v>2</v>
      </c>
      <c r="M11" s="18">
        <f>(L11*100)</f>
        <v>200</v>
      </c>
      <c r="N11" s="18">
        <f>(L11*9)</f>
        <v>18</v>
      </c>
      <c r="O11" s="18">
        <f>(L11*8)</f>
        <v>16</v>
      </c>
      <c r="P11" s="18">
        <f>(L11*0)</f>
        <v>0</v>
      </c>
    </row>
    <row r="12" spans="2:27" ht="21" customHeight="1" x14ac:dyDescent="0.2">
      <c r="E12" s="19" t="s">
        <v>96</v>
      </c>
      <c r="F12" s="23">
        <v>25</v>
      </c>
      <c r="G12" s="23">
        <f>C5*F12</f>
        <v>1550</v>
      </c>
      <c r="H12" s="23"/>
      <c r="K12" s="18" t="s">
        <v>14</v>
      </c>
      <c r="L12" s="18">
        <v>2</v>
      </c>
      <c r="M12" s="18">
        <f>(L12*95)</f>
        <v>190</v>
      </c>
      <c r="N12" s="18">
        <f>(L12*9)</f>
        <v>18</v>
      </c>
      <c r="O12" s="18">
        <f>(L12*2)</f>
        <v>4</v>
      </c>
      <c r="P12" s="18">
        <f>(L12*12)</f>
        <v>24</v>
      </c>
    </row>
    <row r="13" spans="2:27" ht="21" customHeight="1" x14ac:dyDescent="0.2">
      <c r="E13" s="24"/>
      <c r="F13" s="24"/>
      <c r="G13" s="24"/>
      <c r="H13" s="24"/>
      <c r="I13" s="24"/>
      <c r="K13" s="18" t="s">
        <v>15</v>
      </c>
      <c r="L13" s="18">
        <v>2</v>
      </c>
      <c r="M13" s="18">
        <f>(L13*100)</f>
        <v>200</v>
      </c>
      <c r="N13" s="18">
        <f>(L13*9)</f>
        <v>18</v>
      </c>
      <c r="O13" s="18">
        <f>(L13*4)</f>
        <v>8</v>
      </c>
      <c r="P13" s="18">
        <f>(L13*12)</f>
        <v>24</v>
      </c>
    </row>
    <row r="14" spans="2:27" ht="21" customHeight="1" x14ac:dyDescent="0.2">
      <c r="E14" s="19" t="s">
        <v>119</v>
      </c>
      <c r="F14" s="22" t="s">
        <v>56</v>
      </c>
      <c r="G14" s="19" t="s">
        <v>39</v>
      </c>
      <c r="H14" s="22" t="s">
        <v>57</v>
      </c>
      <c r="I14" s="19" t="s">
        <v>58</v>
      </c>
      <c r="K14" s="18" t="s">
        <v>16</v>
      </c>
      <c r="L14" s="18">
        <v>2</v>
      </c>
      <c r="M14" s="18">
        <f>(L14*150)</f>
        <v>300</v>
      </c>
      <c r="N14" s="18">
        <f>(L14*9)</f>
        <v>18</v>
      </c>
      <c r="O14" s="18">
        <f>(L14*8)</f>
        <v>16</v>
      </c>
      <c r="P14" s="18">
        <f>(L14*12)</f>
        <v>24</v>
      </c>
    </row>
    <row r="15" spans="2:27" ht="21" customHeight="1" x14ac:dyDescent="0.2">
      <c r="E15" s="22" t="s">
        <v>53</v>
      </c>
      <c r="F15" s="21">
        <f>(G15/E14)*100</f>
        <v>31.309364705882352</v>
      </c>
      <c r="G15" s="21">
        <f>H15*4</f>
        <v>532.25919999999996</v>
      </c>
      <c r="H15" s="21">
        <f>(I15*F3)</f>
        <v>133.06479999999999</v>
      </c>
      <c r="I15" s="21">
        <v>2</v>
      </c>
      <c r="K15" s="18" t="s">
        <v>17</v>
      </c>
      <c r="L15" s="18">
        <v>2</v>
      </c>
      <c r="M15" s="18">
        <f>(L15*200)</f>
        <v>400</v>
      </c>
      <c r="N15" s="18">
        <f>(L15*9)</f>
        <v>18</v>
      </c>
      <c r="O15" s="18">
        <f>(L15*5)</f>
        <v>10</v>
      </c>
      <c r="P15" s="18">
        <f>(L15*30)</f>
        <v>60</v>
      </c>
    </row>
    <row r="16" spans="2:27" ht="21" customHeight="1" x14ac:dyDescent="0.2">
      <c r="E16" s="19" t="s">
        <v>54</v>
      </c>
      <c r="F16" s="23">
        <f>100-(F17+F15)</f>
        <v>33.690635294117641</v>
      </c>
      <c r="G16" s="23">
        <f>(F16*E14)/100</f>
        <v>572.74079999999992</v>
      </c>
      <c r="H16" s="23">
        <f>G16/9</f>
        <v>63.63786666666666</v>
      </c>
      <c r="I16" s="23"/>
      <c r="K16" s="18" t="s">
        <v>18</v>
      </c>
      <c r="L16" s="18">
        <v>2</v>
      </c>
      <c r="M16" s="18">
        <f>(L16*45)</f>
        <v>90</v>
      </c>
      <c r="N16" s="18">
        <f>(L16*0)</f>
        <v>0</v>
      </c>
      <c r="O16" s="18">
        <f>(L16*5)</f>
        <v>10</v>
      </c>
      <c r="P16" s="18">
        <f>(L16*0)</f>
        <v>0</v>
      </c>
    </row>
    <row r="17" spans="5:16" ht="21" customHeight="1" x14ac:dyDescent="0.2">
      <c r="E17" s="22" t="s">
        <v>55</v>
      </c>
      <c r="F17" s="21">
        <v>35</v>
      </c>
      <c r="G17" s="21">
        <f>(F17*E14)/100</f>
        <v>595</v>
      </c>
      <c r="H17" s="21">
        <f>G17/4</f>
        <v>148.75</v>
      </c>
      <c r="I17" s="21"/>
      <c r="K17" s="18" t="s">
        <v>19</v>
      </c>
      <c r="L17" s="18">
        <v>2</v>
      </c>
      <c r="M17" s="18">
        <f>(L17*70)</f>
        <v>140</v>
      </c>
      <c r="N17" s="18">
        <f>(L17*3)</f>
        <v>6</v>
      </c>
      <c r="O17" s="18">
        <f>(L17*5)</f>
        <v>10</v>
      </c>
      <c r="P17" s="18">
        <f>(L17*0)</f>
        <v>0</v>
      </c>
    </row>
    <row r="18" spans="5:16" ht="21" customHeight="1" x14ac:dyDescent="0.2">
      <c r="E18" s="19" t="s">
        <v>59</v>
      </c>
      <c r="F18" s="23">
        <f>SUM(F15:F17)</f>
        <v>100</v>
      </c>
      <c r="G18" s="23">
        <f>SUM(G15:G17)</f>
        <v>1700</v>
      </c>
      <c r="H18" s="23"/>
      <c r="I18" s="23"/>
      <c r="K18" s="18" t="s">
        <v>20</v>
      </c>
      <c r="L18" s="18">
        <v>2</v>
      </c>
      <c r="M18" s="18">
        <f>(L18*40)</f>
        <v>80</v>
      </c>
      <c r="N18" s="18">
        <f>(L18*0)</f>
        <v>0</v>
      </c>
      <c r="O18" s="18">
        <f>(L18*0)</f>
        <v>0</v>
      </c>
      <c r="P18" s="18">
        <f>(L18*10)</f>
        <v>20</v>
      </c>
    </row>
    <row r="19" spans="5:16" ht="21" customHeight="1" x14ac:dyDescent="0.2">
      <c r="E19" s="22" t="s">
        <v>95</v>
      </c>
      <c r="F19" s="21"/>
      <c r="G19" s="21"/>
      <c r="H19" s="21">
        <f>(I19*C5)</f>
        <v>12.4</v>
      </c>
      <c r="I19" s="21">
        <v>0.2</v>
      </c>
      <c r="K19" s="18" t="s">
        <v>21</v>
      </c>
      <c r="L19" s="18">
        <v>2</v>
      </c>
      <c r="M19" s="18">
        <f>(L19*85)</f>
        <v>170</v>
      </c>
      <c r="N19" s="18">
        <f>(L19*0)</f>
        <v>0</v>
      </c>
      <c r="O19" s="18">
        <f>(L19*5)</f>
        <v>10</v>
      </c>
      <c r="P19" s="18">
        <f>(L19*10)</f>
        <v>20</v>
      </c>
    </row>
    <row r="20" spans="5:16" ht="21" customHeight="1" x14ac:dyDescent="0.2">
      <c r="E20" s="25"/>
      <c r="F20" s="23"/>
      <c r="G20" s="23"/>
      <c r="H20" s="23"/>
      <c r="I20" s="23" t="s">
        <v>98</v>
      </c>
      <c r="K20" s="18" t="s">
        <v>90</v>
      </c>
      <c r="L20" s="18">
        <v>2</v>
      </c>
      <c r="M20" s="18">
        <f>(L20*123)</f>
        <v>246</v>
      </c>
      <c r="N20" s="18">
        <f>(L20*24)</f>
        <v>48</v>
      </c>
      <c r="O20" s="18">
        <f>(L20*1)</f>
        <v>2</v>
      </c>
      <c r="P20" s="18">
        <f>(L20*4)</f>
        <v>8</v>
      </c>
    </row>
    <row r="21" spans="5:16" ht="21" customHeight="1" x14ac:dyDescent="0.2">
      <c r="I21" s="17"/>
      <c r="K21" s="18" t="s">
        <v>99</v>
      </c>
      <c r="L21" s="18">
        <v>2</v>
      </c>
      <c r="M21" s="18">
        <f>(L21*500)</f>
        <v>1000</v>
      </c>
      <c r="N21" s="18">
        <f>(L21*41)</f>
        <v>82</v>
      </c>
      <c r="O21" s="18">
        <f>(L21*11)</f>
        <v>22</v>
      </c>
      <c r="P21" s="18">
        <f>(L21*60)</f>
        <v>120</v>
      </c>
    </row>
    <row r="22" spans="5:16" ht="21" customHeight="1" x14ac:dyDescent="0.2">
      <c r="K22" s="18" t="s">
        <v>102</v>
      </c>
      <c r="L22" s="18">
        <v>2</v>
      </c>
      <c r="M22" s="18">
        <f>(L22*472)</f>
        <v>944</v>
      </c>
      <c r="N22" s="18">
        <f>(L22*20)</f>
        <v>40</v>
      </c>
      <c r="O22" s="18">
        <f>(L22*24)</f>
        <v>48</v>
      </c>
      <c r="P22" s="18">
        <f>(L22*44)</f>
        <v>88</v>
      </c>
    </row>
    <row r="23" spans="5:16" ht="21" customHeight="1" x14ac:dyDescent="0.2">
      <c r="K23" s="18" t="s">
        <v>100</v>
      </c>
      <c r="L23" s="18">
        <v>2</v>
      </c>
      <c r="M23" s="18">
        <f>(L23*35)</f>
        <v>70</v>
      </c>
      <c r="N23" s="18">
        <f>(L23*8.6)</f>
        <v>17.2</v>
      </c>
      <c r="O23" s="18">
        <f>(L23*0.1)</f>
        <v>0.2</v>
      </c>
      <c r="P23" s="18">
        <f>(L23*0)</f>
        <v>0</v>
      </c>
    </row>
    <row r="24" spans="5:16" ht="21" customHeight="1" x14ac:dyDescent="0.2">
      <c r="K24" s="18" t="s">
        <v>101</v>
      </c>
      <c r="L24" s="18">
        <v>2</v>
      </c>
      <c r="M24" s="18">
        <f>(Tabla1610[[#This Row],[Raciones]]*320)</f>
        <v>640</v>
      </c>
      <c r="N24" s="18">
        <f>(Tabla1610[[#This Row],[Raciones]]*20)</f>
        <v>40</v>
      </c>
      <c r="O24" s="18">
        <f>(Tabla1610[[#This Row],[Raciones]]*20)</f>
        <v>40</v>
      </c>
      <c r="P24" s="18">
        <f>(Tabla1610[[#This Row],[Raciones]]*15)</f>
        <v>30</v>
      </c>
    </row>
    <row r="25" spans="5:16" ht="21" customHeight="1" x14ac:dyDescent="0.2">
      <c r="K25" s="18" t="s">
        <v>22</v>
      </c>
      <c r="L25" s="18">
        <v>2</v>
      </c>
      <c r="M25" s="18">
        <f>(L25*140)</f>
        <v>280</v>
      </c>
      <c r="N25" s="18">
        <f>(L25*0)</f>
        <v>0</v>
      </c>
      <c r="O25" s="18">
        <f>(L25*0)</f>
        <v>0</v>
      </c>
      <c r="P25" s="18">
        <f>(L25*20)</f>
        <v>40</v>
      </c>
    </row>
    <row r="26" spans="5:16" ht="21" customHeight="1" x14ac:dyDescent="0.2">
      <c r="K26" s="18" t="s">
        <v>24</v>
      </c>
      <c r="M26" s="18">
        <v>0</v>
      </c>
      <c r="N26" s="18">
        <f>SUM(N3:N25)</f>
        <v>393.2</v>
      </c>
      <c r="O26" s="18">
        <f>SUM(O3:O25)</f>
        <v>226.2</v>
      </c>
      <c r="P26" s="18">
        <f>SUM(P3:P25)</f>
        <v>596</v>
      </c>
    </row>
    <row r="27" spans="5:16" ht="21" customHeight="1" x14ac:dyDescent="0.2">
      <c r="K27" s="18" t="s">
        <v>25</v>
      </c>
      <c r="M27" s="18">
        <f>SUM(M3:M26)</f>
        <v>6070</v>
      </c>
      <c r="N27" s="18">
        <f>N26*4</f>
        <v>1572.8</v>
      </c>
      <c r="O27" s="18">
        <f>O26*9</f>
        <v>2035.8</v>
      </c>
      <c r="P27" s="18">
        <f>P26*4</f>
        <v>2384</v>
      </c>
    </row>
    <row r="28" spans="5:16" ht="21" customHeight="1" x14ac:dyDescent="0.2">
      <c r="K28" s="18" t="s">
        <v>63</v>
      </c>
      <c r="M28" s="18">
        <f>(M27*100)/E14</f>
        <v>357.05882352941177</v>
      </c>
      <c r="N28" s="18">
        <f>(N26*100)/H15</f>
        <v>295.49512718615296</v>
      </c>
      <c r="O28" s="18">
        <f>(O26*100)/H16</f>
        <v>355.44874749624967</v>
      </c>
      <c r="P28" s="18">
        <f>(P26*100)/H17</f>
        <v>400.67226890756302</v>
      </c>
    </row>
  </sheetData>
  <dataValidations count="2">
    <dataValidation type="list" allowBlank="1" showInputMessage="1" showErrorMessage="1" sqref="C2" xr:uid="{1CECA5A3-0E8E-9040-AB2A-9DF0C4EABBB2}">
      <formula1>$AA$1:$AA$2</formula1>
    </dataValidation>
    <dataValidation type="list" allowBlank="1" showInputMessage="1" showErrorMessage="1" sqref="F12" xr:uid="{DF21F21B-1A4F-6A49-9CDB-DD00C5C76B23}">
      <formula1>$AA$4:$AA$8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="140" zoomScaleNormal="140" workbookViewId="0">
      <selection activeCell="B20" sqref="B20"/>
    </sheetView>
  </sheetViews>
  <sheetFormatPr baseColWidth="10" defaultRowHeight="15" x14ac:dyDescent="0.2"/>
  <cols>
    <col min="1" max="1" width="21.6640625" bestFit="1" customWidth="1"/>
    <col min="2" max="8" width="12" customWidth="1"/>
  </cols>
  <sheetData>
    <row r="1" spans="1:8" x14ac:dyDescent="0.2">
      <c r="A1" t="s">
        <v>64</v>
      </c>
      <c r="B1" s="6" t="s">
        <v>35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">
      <c r="A2" t="s">
        <v>103</v>
      </c>
    </row>
    <row r="3" spans="1:8" x14ac:dyDescent="0.2">
      <c r="A3" t="s">
        <v>104</v>
      </c>
    </row>
    <row r="4" spans="1:8" x14ac:dyDescent="0.2">
      <c r="A4" t="s">
        <v>105</v>
      </c>
    </row>
    <row r="5" spans="1:8" x14ac:dyDescent="0.2">
      <c r="A5" t="s">
        <v>106</v>
      </c>
    </row>
    <row r="6" spans="1:8" x14ac:dyDescent="0.2">
      <c r="A6" t="s">
        <v>107</v>
      </c>
    </row>
    <row r="7" spans="1:8" x14ac:dyDescent="0.2">
      <c r="A7" t="s">
        <v>108</v>
      </c>
    </row>
    <row r="8" spans="1:8" x14ac:dyDescent="0.2">
      <c r="A8" t="s">
        <v>109</v>
      </c>
    </row>
    <row r="9" spans="1:8" x14ac:dyDescent="0.2">
      <c r="A9" t="s">
        <v>110</v>
      </c>
    </row>
    <row r="10" spans="1:8" x14ac:dyDescent="0.2">
      <c r="A10" t="s">
        <v>111</v>
      </c>
    </row>
    <row r="11" spans="1:8" x14ac:dyDescent="0.2">
      <c r="A11" t="s">
        <v>112</v>
      </c>
    </row>
    <row r="12" spans="1:8" x14ac:dyDescent="0.2">
      <c r="A12" t="s">
        <v>107</v>
      </c>
    </row>
    <row r="13" spans="1:8" x14ac:dyDescent="0.2">
      <c r="A13" t="s">
        <v>106</v>
      </c>
    </row>
    <row r="14" spans="1:8" x14ac:dyDescent="0.2">
      <c r="A14" t="s">
        <v>109</v>
      </c>
    </row>
    <row r="15" spans="1:8" x14ac:dyDescent="0.2">
      <c r="A15" t="s">
        <v>108</v>
      </c>
    </row>
    <row r="16" spans="1:8" x14ac:dyDescent="0.2">
      <c r="A16" t="s">
        <v>110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HISTORIA CLÍNICA</vt:lpstr>
      <vt:lpstr>RECORDATORIO 24H</vt:lpstr>
      <vt:lpstr>CÁLCULO</vt:lpstr>
      <vt:lpstr>Cálculo Nuevo</vt:lpstr>
      <vt:lpstr>BIOIMPEDANCIA</vt:lpstr>
    </vt:vector>
  </TitlesOfParts>
  <Company>UVM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</dc:creator>
  <cp:lastModifiedBy>Elena Ramírez</cp:lastModifiedBy>
  <dcterms:created xsi:type="dcterms:W3CDTF">2017-07-07T15:17:05Z</dcterms:created>
  <dcterms:modified xsi:type="dcterms:W3CDTF">2024-09-26T04:25:18Z</dcterms:modified>
</cp:coreProperties>
</file>