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a2efficiency.sharepoint.com/sites/P-RESO-001.00HPWHEnergyPlus/Shared Documents/4.00-Modeling/"/>
    </mc:Choice>
  </mc:AlternateContent>
  <xr:revisionPtr revIDLastSave="776" documentId="11_5B165BA9C35DDA1E6E36583641C1D67BD78295BA" xr6:coauthVersionLast="47" xr6:coauthVersionMax="47" xr10:uidLastSave="{FCE71516-143F-48FE-A6F9-135F3A3EAE22}"/>
  <bookViews>
    <workbookView xWindow="324" yWindow="300" windowWidth="18972" windowHeight="10128" xr2:uid="{00000000-000D-0000-FFFF-FFFF00000000}"/>
  </bookViews>
  <sheets>
    <sheet name="HPWH Pre-Simulation Sizing" sheetId="1" r:id="rId1"/>
    <sheet name="DHW EUI Tool" sheetId="3" r:id="rId2"/>
    <sheet name="Schedules" sheetId="5" r:id="rId3"/>
    <sheet name="Complete Building Method" sheetId="6" r:id="rId4"/>
    <sheet name="Area Category Method" sheetId="7" r:id="rId5"/>
    <sheet name="For CSV Generation" sheetId="8" r:id="rId6"/>
    <sheet name="FuncSchGrp Table" sheetId="9" state="hidden" r:id="rId7"/>
  </sheets>
  <externalReferences>
    <externalReference r:id="rId8"/>
  </externalReferences>
  <definedNames>
    <definedName name="_xlnm._FilterDatabase" localSheetId="4" hidden="1">'Area Category Method'!$A$2:$X$2</definedName>
    <definedName name="CFM">#REF!</definedName>
    <definedName name="CPD">#REF!</definedName>
    <definedName name="ECB">#REF!</definedName>
    <definedName name="ECBasic">#REF!</definedName>
    <definedName name="GAS">#REF!</definedName>
    <definedName name="NACM">#REF!</definedName>
    <definedName name="NACMWB">#REF!</definedName>
    <definedName name="NREL">#REF!</definedName>
    <definedName name="NRELPBA">#REF!</definedName>
    <definedName name="NRELWB">#REF!</definedName>
    <definedName name="PBAPLUS">#REF!</definedName>
    <definedName name="SD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C18" i="1"/>
  <c r="C38" i="1"/>
  <c r="C29" i="1"/>
  <c r="C42" i="1"/>
  <c r="C45" i="1"/>
  <c r="D42" i="3" l="1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O72" i="8"/>
  <c r="N72" i="8"/>
  <c r="M72" i="8"/>
  <c r="L72" i="8"/>
  <c r="K72" i="8"/>
  <c r="J72" i="8"/>
  <c r="I72" i="8"/>
  <c r="H72" i="8"/>
  <c r="F72" i="8"/>
  <c r="E72" i="8"/>
  <c r="D72" i="8"/>
  <c r="C72" i="8"/>
  <c r="B72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C67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J61" i="8"/>
  <c r="I61" i="8"/>
  <c r="H61" i="8"/>
  <c r="G61" i="8"/>
  <c r="F61" i="8"/>
  <c r="E61" i="8"/>
  <c r="D61" i="8"/>
  <c r="C61" i="8"/>
  <c r="B61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J60" i="8"/>
  <c r="I60" i="8"/>
  <c r="H60" i="8"/>
  <c r="G60" i="8"/>
  <c r="F60" i="8"/>
  <c r="E60" i="8"/>
  <c r="D60" i="8"/>
  <c r="C60" i="8"/>
  <c r="B60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J56" i="8"/>
  <c r="I56" i="8"/>
  <c r="H56" i="8"/>
  <c r="G56" i="8"/>
  <c r="F56" i="8"/>
  <c r="E56" i="8"/>
  <c r="D56" i="8"/>
  <c r="C56" i="8"/>
  <c r="B56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J55" i="8"/>
  <c r="I55" i="8"/>
  <c r="H55" i="8"/>
  <c r="G55" i="8"/>
  <c r="F55" i="8"/>
  <c r="E55" i="8"/>
  <c r="D55" i="8"/>
  <c r="C55" i="8"/>
  <c r="B55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J54" i="8"/>
  <c r="I54" i="8"/>
  <c r="H54" i="8"/>
  <c r="G54" i="8"/>
  <c r="F54" i="8"/>
  <c r="E54" i="8"/>
  <c r="D54" i="8"/>
  <c r="C54" i="8"/>
  <c r="B54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J53" i="8"/>
  <c r="I53" i="8"/>
  <c r="H53" i="8"/>
  <c r="G53" i="8"/>
  <c r="F53" i="8"/>
  <c r="E53" i="8"/>
  <c r="D53" i="8"/>
  <c r="C53" i="8"/>
  <c r="B53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J51" i="8"/>
  <c r="I51" i="8"/>
  <c r="H51" i="8"/>
  <c r="G51" i="8"/>
  <c r="F51" i="8"/>
  <c r="E51" i="8"/>
  <c r="D51" i="8"/>
  <c r="C51" i="8"/>
  <c r="B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J50" i="8"/>
  <c r="I50" i="8"/>
  <c r="H50" i="8"/>
  <c r="G50" i="8"/>
  <c r="F50" i="8"/>
  <c r="E50" i="8"/>
  <c r="D50" i="8"/>
  <c r="C50" i="8"/>
  <c r="B50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J46" i="8"/>
  <c r="I46" i="8"/>
  <c r="H46" i="8"/>
  <c r="G46" i="8"/>
  <c r="F46" i="8"/>
  <c r="E46" i="8"/>
  <c r="D46" i="8"/>
  <c r="C46" i="8"/>
  <c r="B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J44" i="8"/>
  <c r="I44" i="8"/>
  <c r="H44" i="8"/>
  <c r="G44" i="8"/>
  <c r="F44" i="8"/>
  <c r="E44" i="8"/>
  <c r="D44" i="8"/>
  <c r="C44" i="8"/>
  <c r="B44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J43" i="8"/>
  <c r="I43" i="8"/>
  <c r="H43" i="8"/>
  <c r="G43" i="8"/>
  <c r="F43" i="8"/>
  <c r="E43" i="8"/>
  <c r="D43" i="8"/>
  <c r="C43" i="8"/>
  <c r="B43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J42" i="8"/>
  <c r="I42" i="8"/>
  <c r="H42" i="8"/>
  <c r="G42" i="8"/>
  <c r="F42" i="8"/>
  <c r="E42" i="8"/>
  <c r="D42" i="8"/>
  <c r="C42" i="8"/>
  <c r="B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J41" i="8"/>
  <c r="I41" i="8"/>
  <c r="H41" i="8"/>
  <c r="G41" i="8"/>
  <c r="F41" i="8"/>
  <c r="E41" i="8"/>
  <c r="D41" i="8"/>
  <c r="C41" i="8"/>
  <c r="B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J40" i="8"/>
  <c r="I40" i="8"/>
  <c r="H40" i="8"/>
  <c r="G40" i="8"/>
  <c r="F40" i="8"/>
  <c r="E40" i="8"/>
  <c r="D40" i="8"/>
  <c r="C40" i="8"/>
  <c r="B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J39" i="8"/>
  <c r="I39" i="8"/>
  <c r="H39" i="8"/>
  <c r="G39" i="8"/>
  <c r="F39" i="8"/>
  <c r="E39" i="8"/>
  <c r="D39" i="8"/>
  <c r="C39" i="8"/>
  <c r="B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J36" i="8"/>
  <c r="I36" i="8"/>
  <c r="H36" i="8"/>
  <c r="G36" i="8"/>
  <c r="F36" i="8"/>
  <c r="E36" i="8"/>
  <c r="D36" i="8"/>
  <c r="C36" i="8"/>
  <c r="B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J35" i="8"/>
  <c r="I35" i="8"/>
  <c r="H35" i="8"/>
  <c r="G35" i="8"/>
  <c r="F35" i="8"/>
  <c r="E35" i="8"/>
  <c r="D35" i="8"/>
  <c r="C35" i="8"/>
  <c r="B35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J34" i="8"/>
  <c r="I34" i="8"/>
  <c r="H34" i="8"/>
  <c r="G34" i="8"/>
  <c r="F34" i="8"/>
  <c r="E34" i="8"/>
  <c r="D34" i="8"/>
  <c r="C34" i="8"/>
  <c r="B34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J33" i="8"/>
  <c r="I33" i="8"/>
  <c r="H33" i="8"/>
  <c r="G33" i="8"/>
  <c r="F33" i="8"/>
  <c r="E33" i="8"/>
  <c r="D33" i="8"/>
  <c r="C33" i="8"/>
  <c r="B33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J32" i="8"/>
  <c r="I32" i="8"/>
  <c r="H32" i="8"/>
  <c r="G32" i="8"/>
  <c r="F32" i="8"/>
  <c r="E32" i="8"/>
  <c r="D32" i="8"/>
  <c r="C32" i="8"/>
  <c r="B32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J31" i="8"/>
  <c r="I31" i="8"/>
  <c r="H31" i="8"/>
  <c r="G31" i="8"/>
  <c r="F31" i="8"/>
  <c r="E31" i="8"/>
  <c r="D31" i="8"/>
  <c r="C31" i="8"/>
  <c r="B31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J30" i="8"/>
  <c r="I30" i="8"/>
  <c r="H30" i="8"/>
  <c r="G30" i="8"/>
  <c r="F30" i="8"/>
  <c r="E30" i="8"/>
  <c r="D30" i="8"/>
  <c r="C30" i="8"/>
  <c r="B30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J29" i="8"/>
  <c r="I29" i="8"/>
  <c r="H29" i="8"/>
  <c r="G29" i="8"/>
  <c r="F29" i="8"/>
  <c r="E29" i="8"/>
  <c r="D29" i="8"/>
  <c r="C29" i="8"/>
  <c r="B29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J28" i="8"/>
  <c r="I28" i="8"/>
  <c r="H28" i="8"/>
  <c r="G28" i="8"/>
  <c r="F28" i="8"/>
  <c r="E28" i="8"/>
  <c r="D28" i="8"/>
  <c r="C28" i="8"/>
  <c r="B28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J27" i="8"/>
  <c r="I27" i="8"/>
  <c r="G27" i="8"/>
  <c r="F27" i="8"/>
  <c r="E27" i="8"/>
  <c r="D27" i="8"/>
  <c r="C27" i="8"/>
  <c r="B27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J24" i="8"/>
  <c r="I24" i="8"/>
  <c r="H24" i="8"/>
  <c r="G24" i="8"/>
  <c r="F24" i="8"/>
  <c r="E24" i="8"/>
  <c r="D24" i="8"/>
  <c r="C24" i="8"/>
  <c r="B24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J23" i="8"/>
  <c r="I23" i="8"/>
  <c r="H23" i="8"/>
  <c r="G23" i="8"/>
  <c r="F23" i="8"/>
  <c r="E23" i="8"/>
  <c r="D23" i="8"/>
  <c r="C23" i="8"/>
  <c r="B23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J20" i="8"/>
  <c r="I20" i="8"/>
  <c r="H20" i="8"/>
  <c r="G20" i="8"/>
  <c r="F20" i="8"/>
  <c r="E20" i="8"/>
  <c r="D20" i="8"/>
  <c r="C20" i="8"/>
  <c r="B20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J19" i="8"/>
  <c r="I19" i="8"/>
  <c r="H19" i="8"/>
  <c r="G19" i="8"/>
  <c r="F19" i="8"/>
  <c r="E19" i="8"/>
  <c r="D19" i="8"/>
  <c r="C19" i="8"/>
  <c r="B19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J17" i="8"/>
  <c r="I17" i="8"/>
  <c r="H17" i="8"/>
  <c r="G17" i="8"/>
  <c r="F17" i="8"/>
  <c r="E17" i="8"/>
  <c r="D17" i="8"/>
  <c r="C17" i="8"/>
  <c r="B17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J16" i="8"/>
  <c r="I16" i="8"/>
  <c r="H16" i="8"/>
  <c r="G16" i="8"/>
  <c r="F16" i="8"/>
  <c r="E16" i="8"/>
  <c r="D16" i="8"/>
  <c r="C16" i="8"/>
  <c r="B16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J13" i="8"/>
  <c r="I13" i="8"/>
  <c r="H13" i="8"/>
  <c r="F13" i="8"/>
  <c r="E13" i="8"/>
  <c r="D13" i="8"/>
  <c r="C13" i="8"/>
  <c r="B13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J12" i="8"/>
  <c r="I12" i="8"/>
  <c r="H12" i="8"/>
  <c r="G12" i="8"/>
  <c r="F12" i="8"/>
  <c r="E12" i="8"/>
  <c r="D12" i="8"/>
  <c r="C12" i="8"/>
  <c r="B12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J11" i="8"/>
  <c r="I11" i="8"/>
  <c r="H11" i="8"/>
  <c r="G11" i="8"/>
  <c r="F11" i="8"/>
  <c r="E11" i="8"/>
  <c r="D11" i="8"/>
  <c r="C11" i="8"/>
  <c r="B11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J10" i="8"/>
  <c r="I10" i="8"/>
  <c r="H10" i="8"/>
  <c r="G10" i="8"/>
  <c r="F10" i="8"/>
  <c r="E10" i="8"/>
  <c r="D10" i="8"/>
  <c r="C10" i="8"/>
  <c r="B10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J7" i="8"/>
  <c r="I7" i="8"/>
  <c r="H7" i="8"/>
  <c r="G7" i="8"/>
  <c r="F7" i="8"/>
  <c r="E7" i="8"/>
  <c r="D7" i="8"/>
  <c r="C7" i="8"/>
  <c r="B7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J5" i="8"/>
  <c r="I5" i="8"/>
  <c r="H5" i="8"/>
  <c r="G5" i="8"/>
  <c r="F5" i="8"/>
  <c r="E5" i="8"/>
  <c r="D5" i="8"/>
  <c r="C5" i="8"/>
  <c r="B5" i="8"/>
  <c r="V59" i="7"/>
  <c r="J59" i="7"/>
  <c r="X59" i="7" s="1"/>
  <c r="V58" i="7"/>
  <c r="J58" i="7"/>
  <c r="X58" i="7" s="1"/>
  <c r="X57" i="7"/>
  <c r="V57" i="7"/>
  <c r="J57" i="7"/>
  <c r="X56" i="7"/>
  <c r="V56" i="7"/>
  <c r="X55" i="7"/>
  <c r="V55" i="7"/>
  <c r="X54" i="7"/>
  <c r="V54" i="7"/>
  <c r="J54" i="7"/>
  <c r="K56" i="8" s="1"/>
  <c r="X53" i="7"/>
  <c r="V53" i="7"/>
  <c r="J53" i="7"/>
  <c r="K55" i="8" s="1"/>
  <c r="V52" i="7"/>
  <c r="J52" i="7"/>
  <c r="X52" i="7" s="1"/>
  <c r="X51" i="7"/>
  <c r="V51" i="7"/>
  <c r="J51" i="7"/>
  <c r="K53" i="8" s="1"/>
  <c r="X50" i="7"/>
  <c r="V50" i="7"/>
  <c r="J50" i="7"/>
  <c r="V49" i="7"/>
  <c r="J49" i="7"/>
  <c r="X49" i="7" s="1"/>
  <c r="V48" i="7"/>
  <c r="J48" i="7"/>
  <c r="X48" i="7" s="1"/>
  <c r="X47" i="7"/>
  <c r="V47" i="7"/>
  <c r="X46" i="7"/>
  <c r="V46" i="7"/>
  <c r="X45" i="7"/>
  <c r="V45" i="7"/>
  <c r="X44" i="7"/>
  <c r="V44" i="7"/>
  <c r="J44" i="7"/>
  <c r="K46" i="8" s="1"/>
  <c r="V43" i="7"/>
  <c r="J43" i="7"/>
  <c r="X43" i="7" s="1"/>
  <c r="V42" i="7"/>
  <c r="J42" i="7"/>
  <c r="X42" i="7" s="1"/>
  <c r="V41" i="7"/>
  <c r="J41" i="7"/>
  <c r="X41" i="7" s="1"/>
  <c r="V40" i="7"/>
  <c r="J40" i="7"/>
  <c r="K42" i="8" s="1"/>
  <c r="X39" i="7"/>
  <c r="V39" i="7"/>
  <c r="J39" i="7"/>
  <c r="K41" i="8" s="1"/>
  <c r="X38" i="7"/>
  <c r="V38" i="7"/>
  <c r="J38" i="7"/>
  <c r="K40" i="8" s="1"/>
  <c r="V37" i="7"/>
  <c r="J37" i="7"/>
  <c r="X37" i="7" s="1"/>
  <c r="X36" i="7"/>
  <c r="V36" i="7"/>
  <c r="J36" i="7"/>
  <c r="X35" i="7"/>
  <c r="V35" i="7"/>
  <c r="J35" i="7"/>
  <c r="V34" i="7"/>
  <c r="J34" i="7"/>
  <c r="X34" i="7" s="1"/>
  <c r="V33" i="7"/>
  <c r="V32" i="7"/>
  <c r="V31" i="7"/>
  <c r="J31" i="7"/>
  <c r="X31" i="7" s="1"/>
  <c r="X30" i="7"/>
  <c r="V30" i="7"/>
  <c r="J30" i="7"/>
  <c r="K32" i="8" s="1"/>
  <c r="X29" i="7"/>
  <c r="V29" i="7"/>
  <c r="J29" i="7"/>
  <c r="K31" i="8" s="1"/>
  <c r="V28" i="7"/>
  <c r="J28" i="7"/>
  <c r="X28" i="7" s="1"/>
  <c r="V27" i="7"/>
  <c r="J27" i="7"/>
  <c r="X27" i="7" s="1"/>
  <c r="X26" i="7"/>
  <c r="V26" i="7"/>
  <c r="J26" i="7"/>
  <c r="K28" i="8" s="1"/>
  <c r="V25" i="7"/>
  <c r="J25" i="7"/>
  <c r="K27" i="8" s="1"/>
  <c r="X24" i="7"/>
  <c r="V24" i="7"/>
  <c r="J24" i="7"/>
  <c r="V23" i="7"/>
  <c r="J23" i="7"/>
  <c r="X23" i="7" s="1"/>
  <c r="V22" i="7"/>
  <c r="J22" i="7"/>
  <c r="K24" i="8" s="1"/>
  <c r="V21" i="7"/>
  <c r="J21" i="7"/>
  <c r="K23" i="8" s="1"/>
  <c r="V20" i="7"/>
  <c r="J20" i="7"/>
  <c r="X20" i="7" s="1"/>
  <c r="X19" i="7"/>
  <c r="V19" i="7"/>
  <c r="J19" i="7"/>
  <c r="X18" i="7"/>
  <c r="V18" i="7"/>
  <c r="J18" i="7"/>
  <c r="K20" i="8" s="1"/>
  <c r="V17" i="7"/>
  <c r="J17" i="7"/>
  <c r="K19" i="8" s="1"/>
  <c r="X16" i="7"/>
  <c r="V16" i="7"/>
  <c r="J16" i="7"/>
  <c r="X15" i="7"/>
  <c r="V15" i="7"/>
  <c r="J15" i="7"/>
  <c r="K17" i="8" s="1"/>
  <c r="V14" i="7"/>
  <c r="J14" i="7"/>
  <c r="X14" i="7" s="1"/>
  <c r="V13" i="7"/>
  <c r="J13" i="7"/>
  <c r="X13" i="7" s="1"/>
  <c r="X12" i="7"/>
  <c r="V12" i="7"/>
  <c r="J12" i="7"/>
  <c r="V11" i="7"/>
  <c r="J11" i="7"/>
  <c r="K13" i="8" s="1"/>
  <c r="X10" i="7"/>
  <c r="V10" i="7"/>
  <c r="J10" i="7"/>
  <c r="K12" i="8" s="1"/>
  <c r="V9" i="7"/>
  <c r="J9" i="7"/>
  <c r="X9" i="7" s="1"/>
  <c r="V8" i="7"/>
  <c r="J8" i="7"/>
  <c r="X8" i="7" s="1"/>
  <c r="V7" i="7"/>
  <c r="J7" i="7"/>
  <c r="X7" i="7" s="1"/>
  <c r="V6" i="7"/>
  <c r="J6" i="7"/>
  <c r="X6" i="7" s="1"/>
  <c r="X5" i="7"/>
  <c r="V5" i="7"/>
  <c r="J5" i="7"/>
  <c r="K7" i="8" s="1"/>
  <c r="X4" i="7"/>
  <c r="V4" i="7"/>
  <c r="J4" i="7"/>
  <c r="V3" i="7"/>
  <c r="J3" i="7"/>
  <c r="K5" i="8" s="1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J40" i="3"/>
  <c r="G40" i="3"/>
  <c r="E40" i="3"/>
  <c r="F40" i="3" s="1"/>
  <c r="J39" i="3"/>
  <c r="G39" i="3"/>
  <c r="E39" i="3"/>
  <c r="F39" i="3" s="1"/>
  <c r="I39" i="3" s="1"/>
  <c r="J38" i="3"/>
  <c r="G38" i="3"/>
  <c r="E38" i="3"/>
  <c r="F38" i="3" s="1"/>
  <c r="J37" i="3"/>
  <c r="G37" i="3"/>
  <c r="E37" i="3"/>
  <c r="F37" i="3" s="1"/>
  <c r="I37" i="3" s="1"/>
  <c r="J36" i="3"/>
  <c r="G36" i="3"/>
  <c r="E36" i="3"/>
  <c r="F36" i="3" s="1"/>
  <c r="I36" i="3" s="1"/>
  <c r="J35" i="3"/>
  <c r="G35" i="3"/>
  <c r="E35" i="3"/>
  <c r="F35" i="3" s="1"/>
  <c r="J34" i="3"/>
  <c r="G34" i="3"/>
  <c r="E34" i="3"/>
  <c r="F34" i="3" s="1"/>
  <c r="I34" i="3" s="1"/>
  <c r="J33" i="3"/>
  <c r="G33" i="3"/>
  <c r="E33" i="3"/>
  <c r="F33" i="3" s="1"/>
  <c r="J32" i="3"/>
  <c r="G32" i="3"/>
  <c r="E32" i="3"/>
  <c r="F32" i="3" s="1"/>
  <c r="J31" i="3"/>
  <c r="G31" i="3"/>
  <c r="E31" i="3"/>
  <c r="F31" i="3" s="1"/>
  <c r="J30" i="3"/>
  <c r="G30" i="3"/>
  <c r="E30" i="3"/>
  <c r="F30" i="3" s="1"/>
  <c r="J29" i="3"/>
  <c r="G29" i="3"/>
  <c r="E29" i="3"/>
  <c r="F29" i="3" s="1"/>
  <c r="I29" i="3" s="1"/>
  <c r="J28" i="3"/>
  <c r="G28" i="3"/>
  <c r="E28" i="3"/>
  <c r="F28" i="3" s="1"/>
  <c r="J27" i="3"/>
  <c r="G27" i="3"/>
  <c r="E27" i="3"/>
  <c r="F27" i="3" s="1"/>
  <c r="J26" i="3"/>
  <c r="G26" i="3"/>
  <c r="E26" i="3"/>
  <c r="F26" i="3" s="1"/>
  <c r="J19" i="3"/>
  <c r="F19" i="3"/>
  <c r="D19" i="3"/>
  <c r="E21" i="3" s="1"/>
  <c r="C12" i="3"/>
  <c r="C11" i="3"/>
  <c r="I26" i="3" l="1"/>
  <c r="I35" i="3"/>
  <c r="I27" i="3"/>
  <c r="I28" i="3"/>
  <c r="I30" i="3"/>
  <c r="I31" i="3"/>
  <c r="I40" i="3"/>
  <c r="I33" i="3"/>
  <c r="G19" i="3"/>
  <c r="H19" i="3" s="1"/>
  <c r="I38" i="3"/>
  <c r="I32" i="3"/>
  <c r="AL36" i="3"/>
  <c r="I19" i="3"/>
  <c r="AC19" i="3"/>
  <c r="AC21" i="3" s="1"/>
  <c r="K10" i="8"/>
  <c r="K39" i="8"/>
  <c r="K60" i="8"/>
  <c r="AE39" i="3"/>
  <c r="Z40" i="3"/>
  <c r="X40" i="7"/>
  <c r="K36" i="8"/>
  <c r="K43" i="8"/>
  <c r="K50" i="8"/>
  <c r="T33" i="3"/>
  <c r="AH33" i="3"/>
  <c r="X11" i="7"/>
  <c r="X25" i="7"/>
  <c r="K11" i="8"/>
  <c r="K29" i="8"/>
  <c r="K54" i="8"/>
  <c r="K61" i="8"/>
  <c r="U33" i="3"/>
  <c r="AI33" i="3"/>
  <c r="X21" i="7"/>
  <c r="AJ36" i="3"/>
  <c r="Q37" i="3"/>
  <c r="K33" i="8"/>
  <c r="K44" i="8"/>
  <c r="K51" i="8"/>
  <c r="X3" i="7"/>
  <c r="X17" i="7"/>
  <c r="C13" i="3"/>
  <c r="AI34" i="3" s="1"/>
  <c r="X22" i="7"/>
  <c r="K30" i="8"/>
  <c r="T37" i="3"/>
  <c r="AH37" i="3"/>
  <c r="K16" i="8"/>
  <c r="AE38" i="3"/>
  <c r="W40" i="3"/>
  <c r="R29" i="3" l="1"/>
  <c r="Y34" i="3"/>
  <c r="Q29" i="3"/>
  <c r="AJ28" i="3"/>
  <c r="R26" i="3"/>
  <c r="R31" i="3"/>
  <c r="P29" i="3"/>
  <c r="AE31" i="3"/>
  <c r="I42" i="3"/>
  <c r="Z39" i="3"/>
  <c r="AI28" i="3"/>
  <c r="AD26" i="3"/>
  <c r="V36" i="3"/>
  <c r="AF26" i="3"/>
  <c r="AJ37" i="3"/>
  <c r="Y27" i="3"/>
  <c r="AY19" i="3"/>
  <c r="AD28" i="3"/>
  <c r="Z35" i="3"/>
  <c r="AF40" i="3"/>
  <c r="AJ33" i="3"/>
  <c r="AI19" i="3"/>
  <c r="AI21" i="3" s="1"/>
  <c r="P34" i="3"/>
  <c r="R40" i="3"/>
  <c r="AD34" i="3"/>
  <c r="AG40" i="3"/>
  <c r="AA32" i="3"/>
  <c r="AT19" i="3"/>
  <c r="S40" i="3"/>
  <c r="X33" i="3"/>
  <c r="AI39" i="3"/>
  <c r="X26" i="3"/>
  <c r="AC36" i="3"/>
  <c r="O36" i="3"/>
  <c r="AH35" i="3"/>
  <c r="T35" i="3"/>
  <c r="AD33" i="3"/>
  <c r="P33" i="3"/>
  <c r="AI32" i="3"/>
  <c r="U32" i="3"/>
  <c r="Y39" i="3"/>
  <c r="Z36" i="3"/>
  <c r="AE35" i="3"/>
  <c r="Q35" i="3"/>
  <c r="AA33" i="3"/>
  <c r="AF32" i="3"/>
  <c r="R32" i="3"/>
  <c r="AB30" i="3"/>
  <c r="AC27" i="3"/>
  <c r="O27" i="3"/>
  <c r="AI27" i="3"/>
  <c r="AD39" i="3"/>
  <c r="Q36" i="3"/>
  <c r="S30" i="3"/>
  <c r="T27" i="3"/>
  <c r="AK32" i="3"/>
  <c r="AH27" i="3"/>
  <c r="U27" i="3"/>
  <c r="AJ35" i="3"/>
  <c r="AF33" i="3"/>
  <c r="W32" i="3"/>
  <c r="AG30" i="3"/>
  <c r="Z37" i="3"/>
  <c r="P39" i="3"/>
  <c r="AE36" i="3"/>
  <c r="V35" i="3"/>
  <c r="R33" i="3"/>
  <c r="R38" i="3"/>
  <c r="AB36" i="3"/>
  <c r="V32" i="3"/>
  <c r="AF27" i="3"/>
  <c r="AE27" i="3"/>
  <c r="AD30" i="3"/>
  <c r="T38" i="3"/>
  <c r="AA36" i="3"/>
  <c r="AE33" i="3"/>
  <c r="T32" i="3"/>
  <c r="AL31" i="3"/>
  <c r="AC30" i="3"/>
  <c r="Y31" i="3"/>
  <c r="O30" i="3"/>
  <c r="P36" i="3"/>
  <c r="AC33" i="3"/>
  <c r="S32" i="3"/>
  <c r="AB28" i="3"/>
  <c r="AD27" i="3"/>
  <c r="AB33" i="3"/>
  <c r="AK29" i="3"/>
  <c r="AA28" i="3"/>
  <c r="S27" i="3"/>
  <c r="AK37" i="3"/>
  <c r="Q33" i="3"/>
  <c r="O33" i="3"/>
  <c r="AI29" i="3"/>
  <c r="O39" i="3"/>
  <c r="AF30" i="3"/>
  <c r="AE30" i="3"/>
  <c r="V29" i="3"/>
  <c r="AG35" i="3"/>
  <c r="AF35" i="3"/>
  <c r="T29" i="3"/>
  <c r="AL26" i="3"/>
  <c r="AH38" i="3"/>
  <c r="U35" i="3"/>
  <c r="AJ32" i="3"/>
  <c r="X31" i="3"/>
  <c r="S35" i="3"/>
  <c r="AJ26" i="3"/>
  <c r="AV19" i="3"/>
  <c r="AG32" i="3"/>
  <c r="AJ29" i="3"/>
  <c r="R27" i="3"/>
  <c r="Y37" i="3"/>
  <c r="Q27" i="3"/>
  <c r="W37" i="3"/>
  <c r="W29" i="3"/>
  <c r="AI35" i="3"/>
  <c r="AA31" i="3"/>
  <c r="U29" i="3"/>
  <c r="Q30" i="3"/>
  <c r="AK26" i="3"/>
  <c r="AW19" i="3"/>
  <c r="AF38" i="3"/>
  <c r="AH32" i="3"/>
  <c r="P30" i="3"/>
  <c r="R35" i="3"/>
  <c r="AL19" i="3"/>
  <c r="AL21" i="3" s="1"/>
  <c r="AC39" i="3"/>
  <c r="Z28" i="3"/>
  <c r="AH29" i="3"/>
  <c r="AD36" i="3"/>
  <c r="AI26" i="3"/>
  <c r="AA39" i="3"/>
  <c r="Y28" i="3"/>
  <c r="P27" i="3"/>
  <c r="Z31" i="3"/>
  <c r="R30" i="3"/>
  <c r="AG27" i="3"/>
  <c r="AL33" i="3"/>
  <c r="AD19" i="3"/>
  <c r="AD21" i="3" s="1"/>
  <c r="O19" i="3"/>
  <c r="AG34" i="3"/>
  <c r="T19" i="3"/>
  <c r="T21" i="3" s="1"/>
  <c r="Y26" i="3"/>
  <c r="AK31" i="3"/>
  <c r="AD31" i="3"/>
  <c r="AL40" i="3"/>
  <c r="AA37" i="3"/>
  <c r="AG36" i="3"/>
  <c r="X27" i="3"/>
  <c r="AD37" i="3"/>
  <c r="P40" i="3"/>
  <c r="AL30" i="3"/>
  <c r="AK36" i="3"/>
  <c r="T28" i="3"/>
  <c r="X36" i="3"/>
  <c r="AF29" i="3"/>
  <c r="U40" i="3"/>
  <c r="W31" i="3"/>
  <c r="Y40" i="3"/>
  <c r="V27" i="3"/>
  <c r="AL27" i="3"/>
  <c r="Y38" i="3"/>
  <c r="AD40" i="3"/>
  <c r="AB32" i="3"/>
  <c r="AH28" i="3"/>
  <c r="S37" i="3"/>
  <c r="AA30" i="3"/>
  <c r="X28" i="3"/>
  <c r="AI40" i="3"/>
  <c r="W38" i="3"/>
  <c r="S28" i="3"/>
  <c r="T39" i="3"/>
  <c r="W33" i="3"/>
  <c r="AF37" i="3"/>
  <c r="O29" i="3"/>
  <c r="Q32" i="3"/>
  <c r="V40" i="3"/>
  <c r="BI19" i="3"/>
  <c r="Y19" i="3"/>
  <c r="Y21" i="3" s="1"/>
  <c r="AO19" i="3"/>
  <c r="R34" i="3"/>
  <c r="V31" i="3"/>
  <c r="O31" i="3"/>
  <c r="Y29" i="3"/>
  <c r="Q28" i="3"/>
  <c r="AK38" i="3"/>
  <c r="AH39" i="3"/>
  <c r="AK33" i="3"/>
  <c r="AC29" i="3"/>
  <c r="AB38" i="3"/>
  <c r="U37" i="3"/>
  <c r="AA19" i="3"/>
  <c r="AA21" i="3" s="1"/>
  <c r="AA34" i="3"/>
  <c r="AA26" i="3"/>
  <c r="AC28" i="3"/>
  <c r="R39" i="3"/>
  <c r="O40" i="3"/>
  <c r="AA35" i="3"/>
  <c r="V39" i="3"/>
  <c r="P35" i="3"/>
  <c r="AI37" i="3"/>
  <c r="X37" i="3"/>
  <c r="U26" i="3"/>
  <c r="AN19" i="3"/>
  <c r="AG26" i="3"/>
  <c r="U31" i="3"/>
  <c r="AL29" i="3"/>
  <c r="Z29" i="3"/>
  <c r="AJ30" i="3"/>
  <c r="O28" i="3"/>
  <c r="AJ39" i="3"/>
  <c r="AD35" i="3"/>
  <c r="S38" i="3"/>
  <c r="Z34" i="3"/>
  <c r="AX19" i="3"/>
  <c r="Y36" i="3"/>
  <c r="AH31" i="3"/>
  <c r="X32" i="3"/>
  <c r="Z32" i="3"/>
  <c r="AL34" i="3"/>
  <c r="AP19" i="3"/>
  <c r="BB19" i="3"/>
  <c r="S34" i="3"/>
  <c r="W34" i="3"/>
  <c r="AC26" i="3"/>
  <c r="P31" i="3"/>
  <c r="AB37" i="3"/>
  <c r="R37" i="3"/>
  <c r="AG37" i="3"/>
  <c r="S29" i="3"/>
  <c r="Z26" i="3"/>
  <c r="AU19" i="3"/>
  <c r="AE28" i="3"/>
  <c r="AA27" i="3"/>
  <c r="AG19" i="3"/>
  <c r="AG21" i="3" s="1"/>
  <c r="AC40" i="3"/>
  <c r="S19" i="3"/>
  <c r="S21" i="3" s="1"/>
  <c r="V38" i="3"/>
  <c r="AK30" i="3"/>
  <c r="X19" i="3"/>
  <c r="X21" i="3" s="1"/>
  <c r="AG29" i="3"/>
  <c r="Z19" i="3"/>
  <c r="Z21" i="3" s="1"/>
  <c r="BC19" i="3"/>
  <c r="AF34" i="3"/>
  <c r="AL37" i="3"/>
  <c r="O26" i="3"/>
  <c r="AJ31" i="3"/>
  <c r="AC31" i="3"/>
  <c r="P28" i="3"/>
  <c r="AJ27" i="3"/>
  <c r="Z27" i="3"/>
  <c r="AG28" i="3"/>
  <c r="AA38" i="3"/>
  <c r="AJ40" i="3"/>
  <c r="AB31" i="3"/>
  <c r="AB29" i="3"/>
  <c r="W39" i="3"/>
  <c r="AS19" i="3"/>
  <c r="AK39" i="3"/>
  <c r="Q34" i="3"/>
  <c r="Z33" i="3"/>
  <c r="BG19" i="3"/>
  <c r="AI31" i="3"/>
  <c r="T30" i="3"/>
  <c r="U38" i="3"/>
  <c r="AZ19" i="3"/>
  <c r="AE34" i="3"/>
  <c r="T26" i="3"/>
  <c r="AG38" i="3"/>
  <c r="AH30" i="3"/>
  <c r="AF39" i="3"/>
  <c r="W30" i="3"/>
  <c r="U28" i="3"/>
  <c r="V28" i="3"/>
  <c r="P38" i="3"/>
  <c r="AB39" i="3"/>
  <c r="AE19" i="3"/>
  <c r="AE21" i="3" s="1"/>
  <c r="S26" i="3"/>
  <c r="AK40" i="3"/>
  <c r="U30" i="3"/>
  <c r="AA40" i="3"/>
  <c r="X29" i="3"/>
  <c r="W19" i="3"/>
  <c r="W21" i="3" s="1"/>
  <c r="AF19" i="3"/>
  <c r="AF21" i="3" s="1"/>
  <c r="BE19" i="3"/>
  <c r="U34" i="3"/>
  <c r="AB34" i="3"/>
  <c r="AE26" i="3"/>
  <c r="W26" i="3"/>
  <c r="AF31" i="3"/>
  <c r="Z30" i="3"/>
  <c r="AK35" i="3"/>
  <c r="X35" i="3"/>
  <c r="S39" i="3"/>
  <c r="AH36" i="3"/>
  <c r="U36" i="3"/>
  <c r="Z38" i="3"/>
  <c r="V30" i="3"/>
  <c r="AC32" i="3"/>
  <c r="W27" i="3"/>
  <c r="Y33" i="3"/>
  <c r="W28" i="3"/>
  <c r="AL39" i="3"/>
  <c r="Q38" i="3"/>
  <c r="Y32" i="3"/>
  <c r="S31" i="3"/>
  <c r="AQ19" i="3"/>
  <c r="AK28" i="3"/>
  <c r="AJ38" i="3"/>
  <c r="AG31" i="3"/>
  <c r="V19" i="3"/>
  <c r="V21" i="3" s="1"/>
  <c r="V37" i="3"/>
  <c r="AA29" i="3"/>
  <c r="AF36" i="3"/>
  <c r="P19" i="3"/>
  <c r="P21" i="3" s="1"/>
  <c r="AH40" i="3"/>
  <c r="AI36" i="3"/>
  <c r="R36" i="3"/>
  <c r="O34" i="3"/>
  <c r="AR19" i="3"/>
  <c r="U19" i="3"/>
  <c r="U21" i="3" s="1"/>
  <c r="T40" i="3"/>
  <c r="AK27" i="3"/>
  <c r="W35" i="3"/>
  <c r="AC34" i="3"/>
  <c r="AE40" i="3"/>
  <c r="AG33" i="3"/>
  <c r="BF19" i="3"/>
  <c r="Q40" i="3"/>
  <c r="AL38" i="3"/>
  <c r="AB35" i="3"/>
  <c r="AL28" i="3"/>
  <c r="W36" i="3"/>
  <c r="X38" i="3"/>
  <c r="AL32" i="3"/>
  <c r="AH26" i="3"/>
  <c r="T34" i="3"/>
  <c r="O35" i="3"/>
  <c r="AK19" i="3"/>
  <c r="AK21" i="3" s="1"/>
  <c r="AH34" i="3"/>
  <c r="X34" i="3"/>
  <c r="AD32" i="3"/>
  <c r="P26" i="3"/>
  <c r="P32" i="3"/>
  <c r="Y30" i="3"/>
  <c r="U39" i="3"/>
  <c r="T36" i="3"/>
  <c r="S36" i="3"/>
  <c r="AJ19" i="3"/>
  <c r="AJ21" i="3" s="1"/>
  <c r="Q26" i="3"/>
  <c r="V34" i="3"/>
  <c r="AB19" i="3"/>
  <c r="AB21" i="3" s="1"/>
  <c r="X30" i="3"/>
  <c r="Q39" i="3"/>
  <c r="BJ19" i="3"/>
  <c r="R28" i="3"/>
  <c r="AI30" i="3"/>
  <c r="BD19" i="3"/>
  <c r="AB27" i="3"/>
  <c r="P37" i="3"/>
  <c r="T31" i="3"/>
  <c r="BA19" i="3"/>
  <c r="AF28" i="3"/>
  <c r="AB40" i="3"/>
  <c r="Q19" i="3"/>
  <c r="Q21" i="3" s="1"/>
  <c r="AD38" i="3"/>
  <c r="AI38" i="3"/>
  <c r="AG39" i="3"/>
  <c r="X40" i="3"/>
  <c r="V33" i="3"/>
  <c r="S33" i="3"/>
  <c r="AE32" i="3"/>
  <c r="R19" i="3"/>
  <c r="R21" i="3" s="1"/>
  <c r="AC35" i="3"/>
  <c r="V26" i="3"/>
  <c r="AK34" i="3"/>
  <c r="AC37" i="3"/>
  <c r="AH19" i="3"/>
  <c r="AH21" i="3" s="1"/>
  <c r="BH19" i="3"/>
  <c r="X39" i="3"/>
  <c r="O32" i="3"/>
  <c r="O37" i="3"/>
  <c r="AM19" i="3"/>
  <c r="AC38" i="3"/>
  <c r="O38" i="3"/>
  <c r="AE29" i="3"/>
  <c r="AD29" i="3"/>
  <c r="AE37" i="3"/>
  <c r="Y35" i="3"/>
  <c r="AL35" i="3"/>
  <c r="Q31" i="3"/>
  <c r="AB26" i="3"/>
  <c r="AJ34" i="3"/>
  <c r="K34" i="3" l="1"/>
  <c r="L34" i="3" s="1"/>
  <c r="M34" i="3" s="1"/>
  <c r="N34" i="3" s="1"/>
  <c r="K39" i="3"/>
  <c r="L39" i="3" s="1"/>
  <c r="M39" i="3" s="1"/>
  <c r="N39" i="3" s="1"/>
  <c r="K30" i="3"/>
  <c r="L30" i="3" s="1"/>
  <c r="M30" i="3" s="1"/>
  <c r="N30" i="3" s="1"/>
  <c r="K26" i="3"/>
  <c r="L26" i="3" s="1"/>
  <c r="K33" i="3"/>
  <c r="L33" i="3" s="1"/>
  <c r="M33" i="3" s="1"/>
  <c r="N33" i="3" s="1"/>
  <c r="K27" i="3"/>
  <c r="L27" i="3" s="1"/>
  <c r="M27" i="3" s="1"/>
  <c r="N27" i="3" s="1"/>
  <c r="K40" i="3"/>
  <c r="K37" i="3"/>
  <c r="L37" i="3" s="1"/>
  <c r="M37" i="3" s="1"/>
  <c r="N37" i="3" s="1"/>
  <c r="K32" i="3"/>
  <c r="L32" i="3" s="1"/>
  <c r="M32" i="3" s="1"/>
  <c r="N32" i="3" s="1"/>
  <c r="K35" i="3"/>
  <c r="L35" i="3" s="1"/>
  <c r="M35" i="3" s="1"/>
  <c r="N35" i="3" s="1"/>
  <c r="K31" i="3"/>
  <c r="L31" i="3" s="1"/>
  <c r="M31" i="3" s="1"/>
  <c r="N31" i="3" s="1"/>
  <c r="K28" i="3"/>
  <c r="L28" i="3" s="1"/>
  <c r="M28" i="3" s="1"/>
  <c r="N28" i="3" s="1"/>
  <c r="K19" i="3"/>
  <c r="L19" i="3" s="1"/>
  <c r="M19" i="3" s="1"/>
  <c r="N19" i="3" s="1"/>
  <c r="O21" i="3"/>
  <c r="K38" i="3"/>
  <c r="L38" i="3" s="1"/>
  <c r="M38" i="3" s="1"/>
  <c r="N38" i="3" s="1"/>
  <c r="K29" i="3"/>
  <c r="L29" i="3" s="1"/>
  <c r="M29" i="3" s="1"/>
  <c r="N29" i="3" s="1"/>
  <c r="K36" i="3"/>
  <c r="L36" i="3" s="1"/>
  <c r="M36" i="3" s="1"/>
  <c r="N36" i="3" s="1"/>
  <c r="K42" i="3" l="1"/>
  <c r="L40" i="3"/>
  <c r="M40" i="3" s="1"/>
  <c r="N40" i="3" s="1"/>
  <c r="L42" i="3"/>
  <c r="M42" i="3" s="1"/>
  <c r="N42" i="3" s="1"/>
  <c r="M26" i="3"/>
  <c r="N26" i="3" s="1"/>
  <c r="C41" i="1" l="1"/>
  <c r="C19" i="1"/>
  <c r="C17" i="1"/>
  <c r="C34" i="1"/>
  <c r="C78" i="1"/>
  <c r="C75" i="1" l="1"/>
  <c r="C74" i="1"/>
  <c r="C76" i="1" l="1"/>
  <c r="C77" i="1" s="1"/>
  <c r="C13" i="1" l="1"/>
  <c r="C27" i="1" s="1"/>
  <c r="C30" i="1" s="1"/>
  <c r="C14" i="1"/>
  <c r="C28" i="1" l="1"/>
  <c r="C52" i="1"/>
  <c r="C56" i="1" l="1"/>
  <c r="C46" i="1"/>
  <c r="C33" i="1"/>
  <c r="C31" i="1"/>
  <c r="C61" i="1"/>
  <c r="C65" i="1" s="1"/>
  <c r="C32" i="1" l="1"/>
  <c r="C53" i="1"/>
  <c r="C54" i="1" s="1"/>
  <c r="C64" i="1"/>
  <c r="C58" i="1" l="1"/>
  <c r="C57" i="1"/>
  <c r="C55" i="1"/>
</calcChain>
</file>

<file path=xl/sharedStrings.xml><?xml version="1.0" encoding="utf-8"?>
<sst xmlns="http://schemas.openxmlformats.org/spreadsheetml/2006/main" count="1048" uniqueCount="574">
  <si>
    <t>Input Description</t>
  </si>
  <si>
    <t>Value</t>
  </si>
  <si>
    <t>Units</t>
  </si>
  <si>
    <t>Notes</t>
  </si>
  <si>
    <t>Daily Hot Water Draw (gallons)</t>
  </si>
  <si>
    <t>gallons</t>
  </si>
  <si>
    <t>Min Tank Volume (gal)</t>
  </si>
  <si>
    <t>Target Water Temp (°F)</t>
  </si>
  <si>
    <t>°F</t>
  </si>
  <si>
    <t>Desired delivery temp at fixtures</t>
  </si>
  <si>
    <t>Daily Energy (BTU)</t>
  </si>
  <si>
    <t>BTU</t>
  </si>
  <si>
    <t>Mains Water Temp (°F)</t>
  </si>
  <si>
    <t>Heat Pump Thermal Output</t>
  </si>
  <si>
    <t>BTU/hr</t>
  </si>
  <si>
    <t>Desired Recovery Time (hours)</t>
  </si>
  <si>
    <t>hours</t>
  </si>
  <si>
    <t>Time window to fully recharge tank</t>
  </si>
  <si>
    <t>Heat Pump Input Power</t>
  </si>
  <si>
    <t>Watts</t>
  </si>
  <si>
    <t>Stratification Efficiency (0.7 - 0.9)</t>
  </si>
  <si>
    <t>fraction</t>
  </si>
  <si>
    <t>Effective usable volume accounting for stratification</t>
  </si>
  <si>
    <t>Backup Heater Capacity</t>
  </si>
  <si>
    <t>Coefficient of Performance of HPWH</t>
  </si>
  <si>
    <t>m3/s</t>
  </si>
  <si>
    <t>Peak Flow per Zone</t>
  </si>
  <si>
    <t>gpm</t>
  </si>
  <si>
    <t>Schedule</t>
  </si>
  <si>
    <t>Fraction</t>
  </si>
  <si>
    <t>Peak Day Minutes</t>
  </si>
  <si>
    <t>minutes</t>
  </si>
  <si>
    <t>Backup Heating Cap of Primary</t>
  </si>
  <si>
    <t>Tank Volume</t>
  </si>
  <si>
    <t>m3</t>
  </si>
  <si>
    <t>Tank Height</t>
  </si>
  <si>
    <t>Height (m)≈1.5+0.005⋅(Volume in gal−80)</t>
  </si>
  <si>
    <t>m</t>
  </si>
  <si>
    <t>ft</t>
  </si>
  <si>
    <t>Tank Perimeter</t>
  </si>
  <si>
    <t>Parasitic On Cycle Losses, % of Cap</t>
  </si>
  <si>
    <t>Parasitic Off Cycle Losses, % of Cap</t>
  </si>
  <si>
    <t>Evap Inlet Air Dry-Bulb Rated</t>
  </si>
  <si>
    <t>Evap Inlet Air Wet-Bulb Rated</t>
  </si>
  <si>
    <t>COP of Heat Pump rated</t>
  </si>
  <si>
    <t>Crank Case Heater Power</t>
  </si>
  <si>
    <t>Crank Case Heater Db</t>
  </si>
  <si>
    <t>3 tons = 75 watts for a crankcase, rule assumed</t>
  </si>
  <si>
    <t>Zones with same flow</t>
  </si>
  <si>
    <t>Total Building Peak Flow</t>
  </si>
  <si>
    <t>Water Peak Flow Rate (conversion)</t>
  </si>
  <si>
    <t>Weekday DHW Fraction</t>
  </si>
  <si>
    <t>Sensible Heat Ratio</t>
  </si>
  <si>
    <t>Coil:WaterHeating:AirToWaterHeatPump:Pumped,</t>
  </si>
  <si>
    <t>Heat Pump Thermal Output (conversion)</t>
  </si>
  <si>
    <t>(user spec)</t>
  </si>
  <si>
    <t>Tank Height (conversion)</t>
  </si>
  <si>
    <t>User specified how much of HP the backup elec heater is</t>
  </si>
  <si>
    <t>Parasitic Power, On Cycle</t>
  </si>
  <si>
    <t>Parasitic Power, Off Cycle</t>
  </si>
  <si>
    <t>WaterHeater:Stratified</t>
  </si>
  <si>
    <t>Backup Heater Capacity (2)</t>
  </si>
  <si>
    <t>Heater 1 Sensor Height</t>
  </si>
  <si>
    <t>Heater 2 Sensor Height</t>
  </si>
  <si>
    <t>~0.1–0.2 × total height</t>
  </si>
  <si>
    <t>~0.4–0.6 × total height</t>
  </si>
  <si>
    <t>Heater 1 Deadband Temp Diff</t>
  </si>
  <si>
    <t>Heater 2 Deadband Temp Diff</t>
  </si>
  <si>
    <t>3–5°C (5.4 - 9F) Balanced, moderate recovery delay</t>
  </si>
  <si>
    <t>0.5–1.0°C Quick, tight control High comfort priority (e.g., residential)</t>
  </si>
  <si>
    <t>Rated Condenser Inlet Water</t>
  </si>
  <si>
    <t>Operating Water Temperature Change</t>
  </si>
  <si>
    <t>Flow Rate Peak</t>
  </si>
  <si>
    <t>Condenser Pump Eff</t>
  </si>
  <si>
    <t>Condenser Pump Pressure</t>
  </si>
  <si>
    <t>%</t>
  </si>
  <si>
    <t>Condenser Water Pump Power</t>
  </si>
  <si>
    <t>Rated COP</t>
  </si>
  <si>
    <t>cop</t>
  </si>
  <si>
    <t>autocalculate</t>
  </si>
  <si>
    <t>Rated Evaporated Airflow Rate</t>
  </si>
  <si>
    <t>Rated Condenser Water Flow Rate</t>
  </si>
  <si>
    <t>Fan:SystemModel</t>
  </si>
  <si>
    <t>Design Pressure Rise</t>
  </si>
  <si>
    <t>Fan Total Efficiency</t>
  </si>
  <si>
    <t>inches</t>
  </si>
  <si>
    <t>Loop Design Temperature Difference</t>
  </si>
  <si>
    <t>DHW Supply Temp</t>
  </si>
  <si>
    <t>Lower Backup Element Schedule (Heater 2)</t>
  </si>
  <si>
    <t>Peak Flow for 1 hour</t>
  </si>
  <si>
    <t>Tank Energy for Sizing</t>
  </si>
  <si>
    <t>Tank/HP check</t>
  </si>
  <si>
    <t>gal/kW</t>
  </si>
  <si>
    <t>A2 Efficiency</t>
  </si>
  <si>
    <t>EnergyPlus HPWH Pre-Simulation Sizing and Input Guide</t>
  </si>
  <si>
    <t>www.a2efficiency.com</t>
  </si>
  <si>
    <t>Color Key</t>
  </si>
  <si>
    <t>Design Parameter Entered in Excel</t>
  </si>
  <si>
    <t xml:space="preserve">EnergyPlus Input </t>
  </si>
  <si>
    <t>Sized at 2.5 hrs of the peak flow. Change as desired, 1.5 to 2.5 recommended.</t>
  </si>
  <si>
    <t>Lower backup Setpoint</t>
  </si>
  <si>
    <t>°C</t>
  </si>
  <si>
    <t>Delta-°F</t>
  </si>
  <si>
    <t>Assuming 12°F below the target setpoint</t>
  </si>
  <si>
    <t>Typical cold water inlet temp, change to site location</t>
  </si>
  <si>
    <t>Typical daily hot water use, calculated from flow x schedule fractions for 1 day</t>
  </si>
  <si>
    <t>~40–45°C (104–113°F)	Residential HPWHs w/ 120°F setpoints
~48–50°C (118–122°F)	Balanced mid-range
~54°C (129°F)	Commercial settings or high setpoints (~140°F)</t>
  </si>
  <si>
    <t>47F or 17F depending on the test point for the rated COP selected</t>
  </si>
  <si>
    <t>43°F (6.1°C) for 47F DB, 15°F (-9.4°C) for 17F DB</t>
  </si>
  <si>
    <t>Assumed feet of pressure the pump is designed for</t>
  </si>
  <si>
    <t>Assumed pump efficiency</t>
  </si>
  <si>
    <t>Assumed HPWH 75–150 Pa (0.3–0.6")</t>
  </si>
  <si>
    <t>Assumed fan efficiency</t>
  </si>
  <si>
    <t>WaterUse:Equipment Data (From your model)</t>
  </si>
  <si>
    <t>Hour</t>
  </si>
  <si>
    <t>From the model's wateruse input in EnergyPlus</t>
  </si>
  <si>
    <t>kBtu/yr</t>
  </si>
  <si>
    <t>DHW Inlet Water Temp</t>
  </si>
  <si>
    <t>deg F</t>
  </si>
  <si>
    <t>DHW Design Outlet Water</t>
  </si>
  <si>
    <t>Delta-T</t>
  </si>
  <si>
    <t>delta-T</t>
  </si>
  <si>
    <t>Weekdays per year</t>
  </si>
  <si>
    <t>days/year</t>
  </si>
  <si>
    <t>Weekend days per year</t>
  </si>
  <si>
    <t>DHW Heat to Energy Efficiency</t>
  </si>
  <si>
    <t>&gt;100% is Heat Pump.</t>
  </si>
  <si>
    <t>Fractional Weekday</t>
  </si>
  <si>
    <t>DHW Use by Whole Building Category</t>
  </si>
  <si>
    <t>Hour of Day</t>
  </si>
  <si>
    <t>Area of Building</t>
  </si>
  <si>
    <t>People</t>
  </si>
  <si>
    <t>Hot water</t>
  </si>
  <si>
    <t>Hot Water Demand</t>
  </si>
  <si>
    <t>Schedule for Lookup</t>
  </si>
  <si>
    <t>Hot Water Flow Annual</t>
  </si>
  <si>
    <t>Heat</t>
  </si>
  <si>
    <t>Energy</t>
  </si>
  <si>
    <t>sf</t>
  </si>
  <si>
    <t># per 1000 ft²</t>
  </si>
  <si>
    <t>sf/person</t>
  </si>
  <si>
    <t>Gal/h per person</t>
  </si>
  <si>
    <t>GPM</t>
  </si>
  <si>
    <t>Gallons/hr/sf</t>
  </si>
  <si>
    <t>Btu/sf Peak Demand</t>
  </si>
  <si>
    <t>FTE hrs/yr</t>
  </si>
  <si>
    <t>kBtu/sf</t>
  </si>
  <si>
    <t>Office Building</t>
  </si>
  <si>
    <t>people per day</t>
  </si>
  <si>
    <t>DHW Use by Space Type</t>
  </si>
  <si>
    <t>Retail Merchandise Sales, Wholesale Showroom</t>
  </si>
  <si>
    <t>CORE_BOTTOM</t>
  </si>
  <si>
    <t>High-Rise Residential Living Spaces (Note 9)</t>
  </si>
  <si>
    <t>CORE_MID</t>
  </si>
  <si>
    <t>Convention, Conference, Multipurpose and Meeting Center Areas (Note 10)</t>
  </si>
  <si>
    <t>CORE_TOP</t>
  </si>
  <si>
    <t>Corridors, Restrooms, Stairs, and Support Areas</t>
  </si>
  <si>
    <t>PERIMETER_TOP_ZN_3</t>
  </si>
  <si>
    <t>Office (250 square feet in floor area or less)</t>
  </si>
  <si>
    <t>PERIMETER_TOP_ZN_2</t>
  </si>
  <si>
    <t>PERIMETER_TOP_ZN_1</t>
  </si>
  <si>
    <t>PERIMETER_TOP_ZN_4</t>
  </si>
  <si>
    <t>PERIMETER_BOT_ZN_3</t>
  </si>
  <si>
    <t>Lobby, Main Entry</t>
  </si>
  <si>
    <t>PERIMETER_BOT_ZN_2</t>
  </si>
  <si>
    <t>PERIMETER_BOT_ZN_1</t>
  </si>
  <si>
    <t>Office (Greater than 250 square feet in floor area)</t>
  </si>
  <si>
    <t>PERIMETER_BOT_ZN_4</t>
  </si>
  <si>
    <t>PERIMETER_MID_ZN_3</t>
  </si>
  <si>
    <t>PERIMETER_MID_ZN_2</t>
  </si>
  <si>
    <t>PERIMETER_MID_ZN_1</t>
  </si>
  <si>
    <t>PERIMETER_MID_ZN_4</t>
  </si>
  <si>
    <t>Office</t>
  </si>
  <si>
    <t>Description</t>
  </si>
  <si>
    <t>Daily Sch</t>
  </si>
  <si>
    <t>FTE</t>
  </si>
  <si>
    <t>Warehouse</t>
  </si>
  <si>
    <t>WD</t>
  </si>
  <si>
    <t>Sat</t>
  </si>
  <si>
    <t>Sun</t>
  </si>
  <si>
    <t>School</t>
  </si>
  <si>
    <t>Retail</t>
  </si>
  <si>
    <t>Restaurant</t>
  </si>
  <si>
    <t>ResidentialLiving</t>
  </si>
  <si>
    <t>ResidentialCommon</t>
  </si>
  <si>
    <t>Parking</t>
  </si>
  <si>
    <t>Manufacturing</t>
  </si>
  <si>
    <t>Lab</t>
  </si>
  <si>
    <t>Health</t>
  </si>
  <si>
    <t>Data</t>
  </si>
  <si>
    <t>Assembly</t>
  </si>
  <si>
    <t>2013 NACM</t>
  </si>
  <si>
    <t>Occupancy Vent Factor</t>
  </si>
  <si>
    <t>Sensible heat</t>
  </si>
  <si>
    <t>Latent heat</t>
  </si>
  <si>
    <t>Receptacle</t>
  </si>
  <si>
    <t>Lighting</t>
  </si>
  <si>
    <t>Min. Vent per Area</t>
  </si>
  <si>
    <t>Ventilation</t>
  </si>
  <si>
    <t>Cooling UMLH Limit</t>
  </si>
  <si>
    <t>Heating UMLH Limit</t>
  </si>
  <si>
    <t>Gas Appl Load</t>
  </si>
  <si>
    <t>Refrig Load</t>
  </si>
  <si>
    <t>Btu/h per person</t>
  </si>
  <si>
    <t>Load W/ft²</t>
  </si>
  <si>
    <t>W/ft²</t>
  </si>
  <si>
    <t>CFM/ft²</t>
  </si>
  <si>
    <t>Hrs</t>
  </si>
  <si>
    <t>Btu/h-ft2</t>
  </si>
  <si>
    <t>W/ft2</t>
  </si>
  <si>
    <t>Auditorium Building</t>
  </si>
  <si>
    <t>Classroom Building</t>
  </si>
  <si>
    <t>Commercial and Industrial Storage Building</t>
  </si>
  <si>
    <t>Convention Center Building</t>
  </si>
  <si>
    <t>Data Center Buildings (Note 9)</t>
  </si>
  <si>
    <t>note 9</t>
  </si>
  <si>
    <t>Financial Institution Building</t>
  </si>
  <si>
    <t>General Commercia' or Industrial Work Building</t>
  </si>
  <si>
    <r>
      <t>Grocery Store</t>
    </r>
    <r>
      <rPr>
        <sz val="10"/>
        <rFont val="Arial"/>
        <family val="2"/>
      </rPr>
      <t xml:space="preserve"> Buildings</t>
    </r>
  </si>
  <si>
    <t>Library Building</t>
  </si>
  <si>
    <t>Medical Building/Clinic Building</t>
  </si>
  <si>
    <t>Parking Garage Building</t>
  </si>
  <si>
    <t>Religious Facility Building</t>
  </si>
  <si>
    <t>Restaurant Building</t>
  </si>
  <si>
    <t>School Building</t>
  </si>
  <si>
    <t>Theater Building</t>
  </si>
  <si>
    <t>All Other Buildings</t>
  </si>
  <si>
    <t>Note 9 - Receptacle Load shall be specified by the user.</t>
  </si>
  <si>
    <t>2013 NACM Space Type</t>
  </si>
  <si>
    <t>Minimum Ventilation Per Area</t>
  </si>
  <si>
    <t>Minimum Design Ventilation Per Area</t>
  </si>
  <si>
    <t>Gas Equipment Power</t>
  </si>
  <si>
    <t>Illuminance Setpoint for Daylighting</t>
  </si>
  <si>
    <t>Primary Sidelit Daylighting Zone Setpoint Adjustment Factor</t>
  </si>
  <si>
    <t>Secondary Sidelit Daylighting Zone Setpoint Adjustment Factor</t>
  </si>
  <si>
    <t>People
(Pre-V3b)</t>
  </si>
  <si>
    <t>Diff</t>
  </si>
  <si>
    <t>Ventilation (Pre-V3b)</t>
  </si>
  <si>
    <t xml:space="preserve"> </t>
  </si>
  <si>
    <t>per person</t>
  </si>
  <si>
    <t>Min (lux)</t>
  </si>
  <si>
    <t>Max (lux)</t>
  </si>
  <si>
    <t># per 1000 ft2</t>
  </si>
  <si>
    <t>Auditorium Area</t>
  </si>
  <si>
    <t xml:space="preserve">Auto Repair Area </t>
  </si>
  <si>
    <t>Bar, Cocktail Lounge and Casino Areas</t>
  </si>
  <si>
    <t>Beauty Salon Area</t>
  </si>
  <si>
    <t>Classrooms, Lecture, Training, Vocational Areas</t>
  </si>
  <si>
    <t>Civic Meeting Place Area</t>
  </si>
  <si>
    <t>DR 1/24/15 Revised occupancy from 25 to 67 per JA updates</t>
  </si>
  <si>
    <t>Commercial and Industrial Storage Areas (conditioned or unconditioned)</t>
  </si>
  <si>
    <t>DR 2/18/15: Revised occupancy from 3 to 2 per CEC Review
Instead of relaxed UMLH, use modified thermostat schedule?</t>
  </si>
  <si>
    <t>Commercial and Industrial Storage Areas (refrigerated)</t>
  </si>
  <si>
    <t>Instead of relaxed UMLH, use modified thermostat schedule?</t>
  </si>
  <si>
    <t>Computer Room (Note 11)</t>
  </si>
  <si>
    <t>SpcFunc only valid if user-input receptacle load is &gt;= 20W/ft2</t>
  </si>
  <si>
    <t>RLH: Hot water at zero on assumption that the occupancy in this space is double counting of people already counted in other spaces.  
Instead of relaxed UMLH, use modified thermostat schedule?</t>
  </si>
  <si>
    <t>Dining Area</t>
  </si>
  <si>
    <t>Dry Cleaning (Coin Operated)</t>
  </si>
  <si>
    <t>Dry Cleaning (Full Service Commercial)</t>
  </si>
  <si>
    <t>Electrical, Mechanical, Telephone Rooms</t>
  </si>
  <si>
    <t>Exercise Center, Gymnasium Areas</t>
  </si>
  <si>
    <t>Exhibit, Museum Areas</t>
  </si>
  <si>
    <t>Financial Transaction Area</t>
  </si>
  <si>
    <t>General Commercial and Industrial Work Areas, High Bay</t>
  </si>
  <si>
    <t>General Commercial and Industrial Work Areas, Low Bay</t>
  </si>
  <si>
    <t>General Commercial and Industrial Work Areas, Precision</t>
  </si>
  <si>
    <t>Grocery Sales Areas</t>
  </si>
  <si>
    <t>T24 RecircDHW</t>
  </si>
  <si>
    <t>Hotel Function Area</t>
  </si>
  <si>
    <t>DR 1/24/15 Revised occupancy from 67 to 143 per JA updates</t>
  </si>
  <si>
    <t>Hotel/Motel Guest Room (Note 9)</t>
  </si>
  <si>
    <t>Housing, Public and Common Areas: Multi-family, Dormitory</t>
  </si>
  <si>
    <t>DR 1/24/15 Revised occupancy from 10 to 20 per JA updates</t>
  </si>
  <si>
    <t>Housing, Public and Common Areas: Senior Housing</t>
  </si>
  <si>
    <t>Kitchen, Commercial Food Preparation</t>
  </si>
  <si>
    <t>GasEquipPwr only valid if hood length &gt; 0.  If there is an exhaust hood, set convective fraction to 0</t>
  </si>
  <si>
    <t>Kitchenette or Residential Kitchen</t>
  </si>
  <si>
    <t>Laboratory, Scientific</t>
  </si>
  <si>
    <t>see NACM</t>
  </si>
  <si>
    <t>Laboratory</t>
  </si>
  <si>
    <t>Laboratory, Equipment Room</t>
  </si>
  <si>
    <t>Laundry</t>
  </si>
  <si>
    <t>Library, Reading Areas</t>
  </si>
  <si>
    <t>Library, Stacks</t>
  </si>
  <si>
    <t>Lobby, Hotel</t>
  </si>
  <si>
    <t>DR 2/18/15: Revised occupancy from 67 to 10 per CEC Review</t>
  </si>
  <si>
    <t>DR 1/24/15 Revised occupancy from 10 to 67 per JA updates</t>
  </si>
  <si>
    <t>Locker/Dressing Room</t>
  </si>
  <si>
    <t>Lounge, Recreation</t>
  </si>
  <si>
    <t>Malls and Atria</t>
  </si>
  <si>
    <t>DR 1/24/15 Revised occupancy from 33.333 to 33 per JA updates</t>
  </si>
  <si>
    <t>Medical and Clinical Care</t>
  </si>
  <si>
    <t>Parking Garage Building, Parking Area</t>
  </si>
  <si>
    <t>DR 2/18/15: Revised occupancy from 10 to 5 per CEC Review
LF: 0.75 CFM/SF per 2010 CMC Table 4-4
Instead of relaxed UMLH, use modified thermostat schedule?</t>
  </si>
  <si>
    <t>Parking Garage Area Dedicated Ramps</t>
  </si>
  <si>
    <t>DR 2/18/15: Revised occupancy from 10 to 5 per CEC Review
LF: 0.75 CFM/SF per 2010 CMC Table 4-4  
Instead of relaxed UMLH, use modified thermostat schedule?</t>
  </si>
  <si>
    <t>Parking Garage Area Daylight Adaptation Zones</t>
  </si>
  <si>
    <t>Police Station and Fire Station</t>
  </si>
  <si>
    <t>Religious Worship Area</t>
  </si>
  <si>
    <t>Sports Arena, Indoor Playing Area</t>
  </si>
  <si>
    <t>DR 2/18/15: Revised occupancy from 143 to 67 per CEC Review</t>
  </si>
  <si>
    <t>Theater, Motion Picture</t>
  </si>
  <si>
    <t>Theater, Performance</t>
  </si>
  <si>
    <t>Transportation Function</t>
  </si>
  <si>
    <t>Unoccupied-Exclude from Gross Floor Area</t>
  </si>
  <si>
    <t>Unoccupied</t>
  </si>
  <si>
    <t>Unoccupied-Include in Gross Floor Area</t>
  </si>
  <si>
    <t>Videoconferencing Studio (Note S1)</t>
  </si>
  <si>
    <t>Waiting Area</t>
  </si>
  <si>
    <t>DR 2/18/15 Revised occupancy from 10 to 67 per CEC review</t>
  </si>
  <si>
    <t>All Others (including unleased tenant space in multi-tenant facilities)</t>
  </si>
  <si>
    <t>Note 7:</t>
  </si>
  <si>
    <t>Refer to the Residential ACM, Appendix E for determining residential hot water load</t>
  </si>
  <si>
    <t>Note 11.</t>
  </si>
  <si>
    <t>For data centers the process load from the servers and UPS shall be as designed, with the baseline same as proposed.</t>
  </si>
  <si>
    <t xml:space="preserve">Note S1: </t>
  </si>
  <si>
    <t>Videoconferencing studios may install up to an additional 1.5 W/ft2 for videoconferencing rooms that meet all requirements in section 140.6(c)2Gvii.</t>
  </si>
  <si>
    <t>// This table pasted into App5-4A_SpaceBySpace.csv</t>
  </si>
  <si>
    <t>TABLE SpaceFunctionData</t>
  </si>
  <si>
    <t>FuncType</t>
  </si>
  <si>
    <t>OccDens</t>
  </si>
  <si>
    <t>OccVentFrac</t>
  </si>
  <si>
    <t>OccSensHtRt</t>
  </si>
  <si>
    <t>OccLatHtRt</t>
  </si>
  <si>
    <t>RecptPwrDens</t>
  </si>
  <si>
    <t>HotWtrHtgRt</t>
  </si>
  <si>
    <t>IntLPDReg</t>
  </si>
  <si>
    <t>MinVentPerArea</t>
  </si>
  <si>
    <t>MinDsgnVentPerArea</t>
  </si>
  <si>
    <t>ClgUMLHLimit</t>
  </si>
  <si>
    <t>HtgUMLHLimit</t>
  </si>
  <si>
    <t>GasEqpPwrDens</t>
  </si>
  <si>
    <t>CommRfrgEPD</t>
  </si>
  <si>
    <t>IllumSetptMin</t>
  </si>
  <si>
    <t>IllumSetptMax</t>
  </si>
  <si>
    <t>IllumSetptAdjFacPri</t>
  </si>
  <si>
    <t>IllumSetptAdjFacSec</t>
  </si>
  <si>
    <t>FuncSchGrp</t>
  </si>
  <si>
    <t>OccSchRef</t>
  </si>
  <si>
    <t>RecptSchRef</t>
  </si>
  <si>
    <t>HotWtrHtgSchRef</t>
  </si>
  <si>
    <t>IntLtgRegSchRef</t>
  </si>
  <si>
    <t>GasEqpSchRef</t>
  </si>
  <si>
    <t>CommRfrgEqpSchRef</t>
  </si>
  <si>
    <t>InfSchRef</t>
  </si>
  <si>
    <t>AvailSchRef</t>
  </si>
  <si>
    <t>HtgTstatSchRef</t>
  </si>
  <si>
    <t>ClgTstatSchRef</t>
  </si>
  <si>
    <t>ElevSchRef</t>
  </si>
  <si>
    <t>EscalSchRef</t>
  </si>
  <si>
    <t>WtrHtrTempSetptSchRef</t>
  </si>
  <si>
    <t xml:space="preserve">; </t>
  </si>
  <si>
    <t>//SpaceBySpace</t>
  </si>
  <si>
    <t>Btu / occupant</t>
  </si>
  <si>
    <t>lux</t>
  </si>
  <si>
    <t>Occupancy Schedule</t>
  </si>
  <si>
    <t>Receptacle Schedule</t>
  </si>
  <si>
    <t>Hot Water Schedule</t>
  </si>
  <si>
    <t>Regulated Lighting Schedule</t>
  </si>
  <si>
    <t>Gas Equipment Schedule</t>
  </si>
  <si>
    <t>Refrigeration Schedule</t>
  </si>
  <si>
    <t>Infiltration Schedule</t>
  </si>
  <si>
    <t>Availability Sched</t>
  </si>
  <si>
    <t>Heating Setpoint Schedule (F)</t>
  </si>
  <si>
    <t>Cooling Setpoint Schedule (F)</t>
  </si>
  <si>
    <t>Elevator Schedule</t>
  </si>
  <si>
    <t>Escalator Schedule</t>
  </si>
  <si>
    <t>Water Heater Temperature Setpoint Schedule</t>
  </si>
  <si>
    <t>ENDTABLE</t>
  </si>
  <si>
    <t>//</t>
  </si>
  <si>
    <t>// This table pasted into App5-4A_CompleteBuilding.csv</t>
  </si>
  <si>
    <t>TABLE BldgUseData</t>
  </si>
  <si>
    <t>BldgType</t>
  </si>
  <si>
    <t>//Complete Building</t>
  </si>
  <si>
    <t>NA</t>
  </si>
  <si>
    <t>Occupancy</t>
  </si>
  <si>
    <t>ServiceHotWater</t>
  </si>
  <si>
    <t>Lights</t>
  </si>
  <si>
    <t>GasEquip</t>
  </si>
  <si>
    <t>Refrigeration</t>
  </si>
  <si>
    <t>Infiltration</t>
  </si>
  <si>
    <t>HVACAvail</t>
  </si>
  <si>
    <t>HtgSetpt</t>
  </si>
  <si>
    <t>ClgSetpt</t>
  </si>
  <si>
    <t>Elevator</t>
  </si>
  <si>
    <t>Escalator</t>
  </si>
  <si>
    <t>WtrHtrSetpt</t>
  </si>
  <si>
    <t>// Schedule names by Space:FunctionScheduleGroup</t>
  </si>
  <si>
    <t>TABLE SpaceFunctionGroups</t>
  </si>
  <si>
    <t>FuncGroup</t>
  </si>
  <si>
    <t>ProcGasSchRef</t>
  </si>
  <si>
    <t>Function Group Name</t>
  </si>
  <si>
    <t>Process Gas Schedule</t>
  </si>
  <si>
    <t>AssemblyOccupancy</t>
  </si>
  <si>
    <t>AssemblyReceptacle</t>
  </si>
  <si>
    <t>AssemblyServiceHotWater</t>
  </si>
  <si>
    <t>AssemblyLights</t>
  </si>
  <si>
    <t>AssemblyGasEquip</t>
  </si>
  <si>
    <t>AssemblyRefrigeration</t>
  </si>
  <si>
    <t>AssemblyInfiltration</t>
  </si>
  <si>
    <t>AssemblyHVACAvail</t>
  </si>
  <si>
    <t>AssemblyHtgSetpt</t>
  </si>
  <si>
    <t>AssemblyClgSetpt</t>
  </si>
  <si>
    <t>AssemblyElevator</t>
  </si>
  <si>
    <t>AssemblyEscalator</t>
  </si>
  <si>
    <t>AssemblyWtrHtrSetpt</t>
  </si>
  <si>
    <t>DataOccupancy</t>
  </si>
  <si>
    <t>DataReceptacle</t>
  </si>
  <si>
    <t>DataServiceHotWater</t>
  </si>
  <si>
    <t>DataLights</t>
  </si>
  <si>
    <t>DataGasEquip</t>
  </si>
  <si>
    <t>DataRefrigeration</t>
  </si>
  <si>
    <t>DataInfiltration</t>
  </si>
  <si>
    <t>DataHVACAvail</t>
  </si>
  <si>
    <t>DataHtgSetpt</t>
  </si>
  <si>
    <t>DataClgSetpt</t>
  </si>
  <si>
    <t>DataElevator</t>
  </si>
  <si>
    <t>DataEscalator</t>
  </si>
  <si>
    <t>DataWtrHtrSetpt</t>
  </si>
  <si>
    <t>HealthOccupancy</t>
  </si>
  <si>
    <t>HealthReceptacle</t>
  </si>
  <si>
    <t>HealthServiceHotWater</t>
  </si>
  <si>
    <t>HealthLights</t>
  </si>
  <si>
    <t>HealthGasEquip</t>
  </si>
  <si>
    <t>HealthRefrigeration</t>
  </si>
  <si>
    <t>HealthInfiltration</t>
  </si>
  <si>
    <t>HealthHVACAvail</t>
  </si>
  <si>
    <t>HealthHtgSetpt</t>
  </si>
  <si>
    <t>HealthClgSetpt</t>
  </si>
  <si>
    <t>HealthElevator</t>
  </si>
  <si>
    <t>HealthEscalator</t>
  </si>
  <si>
    <t>HealthWtrHtrSetpt</t>
  </si>
  <si>
    <t>LabOccupancy</t>
  </si>
  <si>
    <t>LabReceptacle</t>
  </si>
  <si>
    <t>LabServiceHotWater</t>
  </si>
  <si>
    <t>LabLights</t>
  </si>
  <si>
    <t>LabGasEquip</t>
  </si>
  <si>
    <t>LabRefrigeration</t>
  </si>
  <si>
    <t>LabInfiltration</t>
  </si>
  <si>
    <t>LabHVACAvail</t>
  </si>
  <si>
    <t>LabHtgSetpt</t>
  </si>
  <si>
    <t>LabClgSetpt</t>
  </si>
  <si>
    <t>LabElevator</t>
  </si>
  <si>
    <t>LabEscalator</t>
  </si>
  <si>
    <t>LabWtrHtrSetpt</t>
  </si>
  <si>
    <t>ManufacturingOccupancy</t>
  </si>
  <si>
    <t>ManufacturingReceptacle</t>
  </si>
  <si>
    <t>ManufacturingServiceHotWater</t>
  </si>
  <si>
    <t>ManufacturingLights</t>
  </si>
  <si>
    <t>ManufacturingGasEquip</t>
  </si>
  <si>
    <t>ManufacturingRefrigeration</t>
  </si>
  <si>
    <t>ManufacturingInfiltration</t>
  </si>
  <si>
    <t>ManufacturingHVACAvail</t>
  </si>
  <si>
    <t>ManufacturingHtgSetpt</t>
  </si>
  <si>
    <t>ManufacturingClgSetpt</t>
  </si>
  <si>
    <t>ManufacturingElevator</t>
  </si>
  <si>
    <t>ManufacturingEscalator</t>
  </si>
  <si>
    <t>ManufacturingWtrHtrSetpt</t>
  </si>
  <si>
    <t>OfficeOccupancy</t>
  </si>
  <si>
    <t>OfficeReceptacle</t>
  </si>
  <si>
    <t>OfficeServiceHotWater</t>
  </si>
  <si>
    <t>OfficeLights</t>
  </si>
  <si>
    <t>OfficeGasEquip</t>
  </si>
  <si>
    <t>OfficeRefrigeration</t>
  </si>
  <si>
    <t>OfficeInfiltration</t>
  </si>
  <si>
    <t>OfficeHVACAvail</t>
  </si>
  <si>
    <t>OfficeHtgSetpt</t>
  </si>
  <si>
    <t>OfficeClgSetpt</t>
  </si>
  <si>
    <t>OfficeElevator</t>
  </si>
  <si>
    <t>OfficeEscalator</t>
  </si>
  <si>
    <t>OfficeWtrHtrSetpt</t>
  </si>
  <si>
    <t>ParkingOccupancy</t>
  </si>
  <si>
    <t>ParkingReceptacle</t>
  </si>
  <si>
    <t>ParkingServiceHotWater</t>
  </si>
  <si>
    <t>ParkingLights</t>
  </si>
  <si>
    <t>ParkingGasEquip</t>
  </si>
  <si>
    <t>ParkingRefrigeration</t>
  </si>
  <si>
    <t>ParkingInfiltration</t>
  </si>
  <si>
    <t>ParkingHVACAvail</t>
  </si>
  <si>
    <t>ParkingHtgSetpt</t>
  </si>
  <si>
    <t>ParkingClgSetpt</t>
  </si>
  <si>
    <t>ParkingElevator</t>
  </si>
  <si>
    <t>ParkingEscalator</t>
  </si>
  <si>
    <t>ParkingWtrHtrSetpt</t>
  </si>
  <si>
    <t>ResidentialLivingOccupancy</t>
  </si>
  <si>
    <t>ResidentialLivingReceptacle</t>
  </si>
  <si>
    <t>ResidentialLivingServiceHotWater</t>
  </si>
  <si>
    <t>ResidentialLivingLights</t>
  </si>
  <si>
    <t>ResidentialLivingGasEquip</t>
  </si>
  <si>
    <t>ResidentialLivingRefrigeration</t>
  </si>
  <si>
    <t>ResidentialLivingInfiltration</t>
  </si>
  <si>
    <t>ResidentialLivingHVACAvail</t>
  </si>
  <si>
    <t>ResidentialLivingHtgSetpt</t>
  </si>
  <si>
    <t>ResidentialLivingClgSetpt</t>
  </si>
  <si>
    <t>ResidentialLivingElevator</t>
  </si>
  <si>
    <t>ResidentialLivingEscalator</t>
  </si>
  <si>
    <t>ResidentialLivingWtrHtrSetpt</t>
  </si>
  <si>
    <t>ResidentialCommonOccupancy</t>
  </si>
  <si>
    <t>ResidentialCommonReceptacle</t>
  </si>
  <si>
    <t>ResidentialCommonServiceHotWater</t>
  </si>
  <si>
    <t>ResidentialCommonLights</t>
  </si>
  <si>
    <t>ResidentialCommonGasEquip</t>
  </si>
  <si>
    <t>ResidentialCommonRefrigeration</t>
  </si>
  <si>
    <t>ResidentialCommonInfiltration</t>
  </si>
  <si>
    <t>ResidentialCommonHVACAvail</t>
  </si>
  <si>
    <t>ResidentialCommonHtgSetpt</t>
  </si>
  <si>
    <t>ResidentialCommonClgSetpt</t>
  </si>
  <si>
    <t>ResidentialCommonElevator</t>
  </si>
  <si>
    <t>ResidentialCommonEscalator</t>
  </si>
  <si>
    <t>ResidentialCommonWtrHtrSetpt</t>
  </si>
  <si>
    <t>RestaurantOccupancy</t>
  </si>
  <si>
    <t>RestaurantReceptacle</t>
  </si>
  <si>
    <t>RestaurantServiceHotWater</t>
  </si>
  <si>
    <t>RestaurantLights</t>
  </si>
  <si>
    <t>RestaurantGasEquip</t>
  </si>
  <si>
    <t>RestaurantRefrigeration</t>
  </si>
  <si>
    <t>RestaurantInfiltration</t>
  </si>
  <si>
    <t>RestaurantHVACAvail</t>
  </si>
  <si>
    <t>RestaurantHtgSetpt</t>
  </si>
  <si>
    <t>RestaurantClgSetpt</t>
  </si>
  <si>
    <t>RestaurantElevator</t>
  </si>
  <si>
    <t>RestaurantEscalator</t>
  </si>
  <si>
    <t>RestaurantWtrHtrSetpt</t>
  </si>
  <si>
    <t>RetailOccupancy</t>
  </si>
  <si>
    <t>RetailReceptacle</t>
  </si>
  <si>
    <t>RetailServiceHotWater</t>
  </si>
  <si>
    <t>RetailLights</t>
  </si>
  <si>
    <t>RetailGasEquip</t>
  </si>
  <si>
    <t>RetailRefrigeration</t>
  </si>
  <si>
    <t>RetailInfiltration</t>
  </si>
  <si>
    <t>RetailHVACAvail</t>
  </si>
  <si>
    <t>RetailHtgSetpt</t>
  </si>
  <si>
    <t>RetailClgSetpt</t>
  </si>
  <si>
    <t>RetailElevator</t>
  </si>
  <si>
    <t>RetailEscalator</t>
  </si>
  <si>
    <t>RetailWtrHtrSetpt</t>
  </si>
  <si>
    <t>SchoolOccupancy</t>
  </si>
  <si>
    <t>SchoolReceptacle</t>
  </si>
  <si>
    <t>SchoolServiceHotWater</t>
  </si>
  <si>
    <t>SchoolLights</t>
  </si>
  <si>
    <t>SchoolGasEquip</t>
  </si>
  <si>
    <t>SchoolRefrigeration</t>
  </si>
  <si>
    <t>SchoolInfiltration</t>
  </si>
  <si>
    <t>SchoolHVACAvail</t>
  </si>
  <si>
    <t>SchoolHtgSetpt</t>
  </si>
  <si>
    <t>SchoolClgSetpt</t>
  </si>
  <si>
    <t>SchoolElevator</t>
  </si>
  <si>
    <t>SchoolEscalator</t>
  </si>
  <si>
    <t>SchoolWtrHtrSetpt</t>
  </si>
  <si>
    <t>WarehouseOccupancy</t>
  </si>
  <si>
    <t>WarehouseReceptacle</t>
  </si>
  <si>
    <t>WarehouseServiceHotWater</t>
  </si>
  <si>
    <t>WarehouseLights</t>
  </si>
  <si>
    <t>WarehouseGasEquip</t>
  </si>
  <si>
    <t>WarehouseRefrigeration</t>
  </si>
  <si>
    <t>WarehouseInfiltration</t>
  </si>
  <si>
    <t>WarehouseHVACAvail</t>
  </si>
  <si>
    <t>WarehouseHtgSetpt</t>
  </si>
  <si>
    <t>WarehouseClgSetpt</t>
  </si>
  <si>
    <t>WarehouseElevator</t>
  </si>
  <si>
    <t>WarehouseEscalator</t>
  </si>
  <si>
    <t>WarehouseWtrHtrSetpt</t>
  </si>
  <si>
    <t>Use Type (T24)</t>
  </si>
  <si>
    <t>Zone (or space) Name</t>
  </si>
  <si>
    <t>(drop down user select)</t>
  </si>
  <si>
    <t>(manually enter)</t>
  </si>
  <si>
    <t>(sf, manual entry)</t>
  </si>
  <si>
    <t>Checksum</t>
  </si>
  <si>
    <t>Domestic Hot Water Rough Calculation (T24 2016)</t>
  </si>
  <si>
    <t>Version 1</t>
  </si>
  <si>
    <t>E+ Input</t>
  </si>
  <si>
    <t>y</t>
  </si>
  <si>
    <t>Basic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</si>
</sst>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0.0"/>
    <numFmt numFmtId="166" formatCode="#,##0.0"/>
    <numFmt numFmtId="167" formatCode="0.0000"/>
    <numFmt numFmtId="168" formatCode="0.00;\-0.00;0"/>
    <numFmt numFmtId="169" formatCode="&quot;- &quot;0"/>
    <numFmt numFmtId="170" formatCode="_(* #,##0_);_(* \(#,##0\);_(* &quot;-&quot;??_);_(@_)"/>
  </numFmts>
  <fonts count="25" x14ac:knownFonts="1">
    <font>
      <sz val="11"/>
      <color theme="1"/>
      <name val="Arial Nova"/>
      <family val="2"/>
      <scheme val="minor"/>
    </font>
    <font>
      <b/>
      <sz val="11"/>
      <color theme="1"/>
      <name val="Arial Nova"/>
      <family val="2"/>
      <scheme val="minor"/>
    </font>
    <font>
      <b/>
      <u/>
      <sz val="11"/>
      <color theme="1"/>
      <name val="Arial Nova"/>
      <family val="2"/>
      <scheme val="minor"/>
    </font>
    <font>
      <i/>
      <sz val="11"/>
      <color theme="1"/>
      <name val="Arial Nova"/>
      <family val="2"/>
      <scheme val="minor"/>
    </font>
    <font>
      <sz val="11"/>
      <color theme="1"/>
      <name val="Arial Nova"/>
      <family val="2"/>
      <scheme val="minor"/>
    </font>
    <font>
      <sz val="11"/>
      <color rgb="FF9C0006"/>
      <name val="Arial Nova"/>
      <family val="2"/>
      <scheme val="minor"/>
    </font>
    <font>
      <sz val="18"/>
      <color theme="1"/>
      <name val="Arial Nova"/>
      <family val="2"/>
      <scheme val="minor"/>
    </font>
    <font>
      <u/>
      <sz val="11"/>
      <color theme="10"/>
      <name val="Arial Nova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rgb="FF333333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sz val="11"/>
      <name val="Arial Nova"/>
      <family val="2"/>
      <scheme val="minor"/>
    </font>
    <font>
      <sz val="11"/>
      <color theme="1"/>
      <name val="Arial"/>
      <family val="2"/>
    </font>
    <font>
      <b/>
      <sz val="11"/>
      <name val="Arial Nova"/>
      <family val="2"/>
      <scheme val="minor"/>
    </font>
    <font>
      <i/>
      <sz val="11"/>
      <name val="Arial Nov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6"/>
      </right>
      <top/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5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164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4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10" fontId="0" fillId="2" borderId="1" xfId="0" applyNumberFormat="1" applyFill="1" applyBorder="1"/>
    <xf numFmtId="1" fontId="0" fillId="3" borderId="1" xfId="0" applyNumberFormat="1" applyFill="1" applyBorder="1"/>
    <xf numFmtId="165" fontId="0" fillId="3" borderId="1" xfId="0" applyNumberFormat="1" applyFill="1" applyBorder="1"/>
    <xf numFmtId="166" fontId="0" fillId="0" borderId="1" xfId="0" applyNumberFormat="1" applyBorder="1"/>
    <xf numFmtId="3" fontId="0" fillId="4" borderId="1" xfId="0" applyNumberFormat="1" applyFill="1" applyBorder="1"/>
    <xf numFmtId="3" fontId="0" fillId="2" borderId="1" xfId="0" applyNumberFormat="1" applyFill="1" applyBorder="1"/>
    <xf numFmtId="15" fontId="0" fillId="0" borderId="0" xfId="0" applyNumberFormat="1" applyAlignment="1">
      <alignment horizontal="left"/>
    </xf>
    <xf numFmtId="0" fontId="7" fillId="0" borderId="0" xfId="3"/>
    <xf numFmtId="0" fontId="0" fillId="3" borderId="0" xfId="0" applyFill="1"/>
    <xf numFmtId="0" fontId="0" fillId="5" borderId="0" xfId="0" applyFill="1"/>
    <xf numFmtId="0" fontId="0" fillId="0" borderId="1" xfId="0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166" fontId="0" fillId="3" borderId="1" xfId="0" applyNumberFormat="1" applyFill="1" applyBorder="1"/>
    <xf numFmtId="9" fontId="0" fillId="3" borderId="1" xfId="1" applyFont="1" applyFill="1" applyBorder="1"/>
    <xf numFmtId="4" fontId="0" fillId="3" borderId="1" xfId="0" applyNumberFormat="1" applyFill="1" applyBorder="1"/>
    <xf numFmtId="9" fontId="0" fillId="3" borderId="1" xfId="0" applyNumberFormat="1" applyFill="1" applyBorder="1"/>
    <xf numFmtId="0" fontId="3" fillId="0" borderId="2" xfId="0" applyFont="1" applyBorder="1"/>
    <xf numFmtId="0" fontId="0" fillId="0" borderId="2" xfId="0" applyBorder="1"/>
    <xf numFmtId="1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 applyAlignment="1">
      <alignment wrapText="1"/>
    </xf>
    <xf numFmtId="0" fontId="0" fillId="0" borderId="3" xfId="0" applyBorder="1"/>
    <xf numFmtId="0" fontId="3" fillId="0" borderId="4" xfId="0" applyFont="1" applyBorder="1"/>
    <xf numFmtId="0" fontId="0" fillId="0" borderId="4" xfId="0" applyBorder="1"/>
    <xf numFmtId="0" fontId="1" fillId="0" borderId="5" xfId="0" applyFont="1" applyBorder="1"/>
    <xf numFmtId="0" fontId="9" fillId="0" borderId="0" xfId="4" applyFont="1"/>
    <xf numFmtId="0" fontId="8" fillId="0" borderId="0" xfId="4"/>
    <xf numFmtId="0" fontId="8" fillId="0" borderId="1" xfId="4" applyBorder="1"/>
    <xf numFmtId="3" fontId="8" fillId="0" borderId="0" xfId="4" applyNumberFormat="1"/>
    <xf numFmtId="165" fontId="8" fillId="0" borderId="0" xfId="4" applyNumberFormat="1"/>
    <xf numFmtId="0" fontId="10" fillId="0" borderId="1" xfId="4" applyFont="1" applyBorder="1"/>
    <xf numFmtId="0" fontId="8" fillId="7" borderId="1" xfId="4" applyFill="1" applyBorder="1"/>
    <xf numFmtId="9" fontId="8" fillId="0" borderId="0" xfId="4" applyNumberFormat="1"/>
    <xf numFmtId="0" fontId="11" fillId="0" borderId="0" xfId="4" applyFont="1"/>
    <xf numFmtId="0" fontId="8" fillId="8" borderId="5" xfId="4" applyFill="1" applyBorder="1"/>
    <xf numFmtId="0" fontId="8" fillId="8" borderId="6" xfId="4" applyFill="1" applyBorder="1"/>
    <xf numFmtId="0" fontId="8" fillId="8" borderId="7" xfId="4" applyFill="1" applyBorder="1"/>
    <xf numFmtId="0" fontId="8" fillId="8" borderId="1" xfId="4" applyFill="1" applyBorder="1" applyAlignment="1">
      <alignment horizontal="center" vertical="center" wrapText="1"/>
    </xf>
    <xf numFmtId="0" fontId="8" fillId="8" borderId="1" xfId="4" applyFill="1" applyBorder="1" applyAlignment="1">
      <alignment horizontal="center"/>
    </xf>
    <xf numFmtId="0" fontId="8" fillId="8" borderId="2" xfId="4" applyFill="1" applyBorder="1" applyAlignment="1">
      <alignment horizontal="center" vertical="center" wrapText="1"/>
    </xf>
    <xf numFmtId="0" fontId="8" fillId="9" borderId="0" xfId="4" applyFill="1"/>
    <xf numFmtId="0" fontId="8" fillId="7" borderId="1" xfId="4" applyFill="1" applyBorder="1" applyAlignment="1">
      <alignment horizontal="center"/>
    </xf>
    <xf numFmtId="164" fontId="8" fillId="9" borderId="1" xfId="4" applyNumberFormat="1" applyFill="1" applyBorder="1" applyAlignment="1">
      <alignment horizontal="center"/>
    </xf>
    <xf numFmtId="167" fontId="8" fillId="9" borderId="1" xfId="4" applyNumberFormat="1" applyFill="1" applyBorder="1" applyAlignment="1">
      <alignment horizontal="center"/>
    </xf>
    <xf numFmtId="3" fontId="8" fillId="7" borderId="1" xfId="4" applyNumberFormat="1" applyFill="1" applyBorder="1" applyAlignment="1">
      <alignment horizontal="center"/>
    </xf>
    <xf numFmtId="3" fontId="8" fillId="7" borderId="1" xfId="4" applyNumberFormat="1" applyFill="1" applyBorder="1"/>
    <xf numFmtId="165" fontId="8" fillId="7" borderId="1" xfId="4" applyNumberFormat="1" applyFill="1" applyBorder="1" applyAlignment="1">
      <alignment horizontal="center"/>
    </xf>
    <xf numFmtId="0" fontId="8" fillId="9" borderId="1" xfId="4" applyFill="1" applyBorder="1"/>
    <xf numFmtId="0" fontId="8" fillId="0" borderId="5" xfId="4" applyBorder="1"/>
    <xf numFmtId="0" fontId="8" fillId="0" borderId="7" xfId="4" applyBorder="1"/>
    <xf numFmtId="0" fontId="8" fillId="8" borderId="4" xfId="4" applyFill="1" applyBorder="1" applyAlignment="1">
      <alignment horizontal="center" vertical="center" wrapText="1"/>
    </xf>
    <xf numFmtId="0" fontId="12" fillId="3" borderId="1" xfId="4" applyFont="1" applyFill="1" applyBorder="1" applyAlignment="1">
      <alignment vertical="top" wrapText="1"/>
    </xf>
    <xf numFmtId="1" fontId="8" fillId="7" borderId="7" xfId="4" applyNumberFormat="1" applyFill="1" applyBorder="1" applyAlignment="1">
      <alignment horizontal="center"/>
    </xf>
    <xf numFmtId="2" fontId="8" fillId="9" borderId="1" xfId="4" applyNumberFormat="1" applyFill="1" applyBorder="1" applyAlignment="1">
      <alignment horizontal="center"/>
    </xf>
    <xf numFmtId="164" fontId="8" fillId="7" borderId="1" xfId="4" applyNumberFormat="1" applyFill="1" applyBorder="1" applyAlignment="1">
      <alignment horizontal="center"/>
    </xf>
    <xf numFmtId="2" fontId="8" fillId="7" borderId="1" xfId="4" applyNumberFormat="1" applyFill="1" applyBorder="1" applyAlignment="1">
      <alignment horizontal="center"/>
    </xf>
    <xf numFmtId="0" fontId="8" fillId="0" borderId="6" xfId="4" applyBorder="1"/>
    <xf numFmtId="0" fontId="8" fillId="0" borderId="1" xfId="4" applyBorder="1" applyAlignment="1">
      <alignment horizontal="center"/>
    </xf>
    <xf numFmtId="0" fontId="8" fillId="0" borderId="0" xfId="4" applyAlignment="1">
      <alignment horizontal="center"/>
    </xf>
    <xf numFmtId="0" fontId="8" fillId="0" borderId="8" xfId="4" applyBorder="1" applyAlignment="1">
      <alignment horizontal="right"/>
    </xf>
    <xf numFmtId="2" fontId="8" fillId="0" borderId="9" xfId="4" applyNumberFormat="1" applyBorder="1" applyAlignment="1">
      <alignment horizontal="center" vertical="center"/>
    </xf>
    <xf numFmtId="2" fontId="8" fillId="0" borderId="10" xfId="4" applyNumberFormat="1" applyBorder="1" applyAlignment="1">
      <alignment horizontal="center" vertical="center"/>
    </xf>
    <xf numFmtId="2" fontId="8" fillId="0" borderId="11" xfId="4" applyNumberFormat="1" applyBorder="1" applyAlignment="1">
      <alignment horizontal="center" vertical="center"/>
    </xf>
    <xf numFmtId="2" fontId="8" fillId="0" borderId="0" xfId="4" applyNumberFormat="1" applyAlignment="1">
      <alignment horizontal="center" vertical="center"/>
    </xf>
    <xf numFmtId="2" fontId="8" fillId="0" borderId="0" xfId="4" applyNumberFormat="1"/>
    <xf numFmtId="2" fontId="8" fillId="0" borderId="12" xfId="4" applyNumberFormat="1" applyBorder="1" applyAlignment="1">
      <alignment horizontal="center" vertical="center"/>
    </xf>
    <xf numFmtId="2" fontId="8" fillId="0" borderId="8" xfId="4" applyNumberFormat="1" applyBorder="1" applyAlignment="1">
      <alignment horizontal="center" vertical="center"/>
    </xf>
    <xf numFmtId="2" fontId="8" fillId="0" borderId="13" xfId="4" applyNumberFormat="1" applyBorder="1" applyAlignment="1">
      <alignment horizontal="center" vertical="center"/>
    </xf>
    <xf numFmtId="2" fontId="8" fillId="0" borderId="14" xfId="4" applyNumberFormat="1" applyBorder="1" applyAlignment="1">
      <alignment horizontal="center" vertical="center"/>
    </xf>
    <xf numFmtId="2" fontId="8" fillId="0" borderId="15" xfId="4" applyNumberFormat="1" applyBorder="1" applyAlignment="1">
      <alignment horizontal="center" vertical="center"/>
    </xf>
    <xf numFmtId="0" fontId="8" fillId="0" borderId="0" xfId="4" applyAlignment="1">
      <alignment horizontal="right"/>
    </xf>
    <xf numFmtId="0" fontId="10" fillId="0" borderId="0" xfId="4" applyFont="1"/>
    <xf numFmtId="0" fontId="8" fillId="0" borderId="0" xfId="4" applyAlignment="1">
      <alignment horizontal="right" wrapText="1"/>
    </xf>
    <xf numFmtId="0" fontId="8" fillId="0" borderId="0" xfId="4" applyAlignment="1">
      <alignment horizontal="center" vertical="center" wrapText="1"/>
    </xf>
    <xf numFmtId="164" fontId="8" fillId="0" borderId="0" xfId="4" applyNumberFormat="1" applyAlignment="1">
      <alignment horizontal="right" wrapText="1"/>
    </xf>
    <xf numFmtId="0" fontId="8" fillId="0" borderId="0" xfId="4" applyAlignment="1">
      <alignment horizontal="right" vertical="center" wrapText="1"/>
    </xf>
    <xf numFmtId="164" fontId="8" fillId="0" borderId="0" xfId="4" applyNumberFormat="1"/>
    <xf numFmtId="2" fontId="8" fillId="0" borderId="0" xfId="4" applyNumberFormat="1" applyAlignment="1">
      <alignment horizontal="right"/>
    </xf>
    <xf numFmtId="0" fontId="10" fillId="0" borderId="0" xfId="4" applyFont="1" applyAlignment="1">
      <alignment vertical="top"/>
    </xf>
    <xf numFmtId="0" fontId="8" fillId="0" borderId="0" xfId="4" applyAlignment="1">
      <alignment horizontal="center" vertical="center" wrapText="1"/>
    </xf>
    <xf numFmtId="0" fontId="8" fillId="0" borderId="0" xfId="4" applyAlignment="1">
      <alignment vertical="center" wrapText="1"/>
    </xf>
    <xf numFmtId="0" fontId="8" fillId="0" borderId="0" xfId="4" applyAlignment="1">
      <alignment vertical="center"/>
    </xf>
    <xf numFmtId="0" fontId="8" fillId="0" borderId="0" xfId="4" applyAlignment="1">
      <alignment vertical="top"/>
    </xf>
    <xf numFmtId="0" fontId="8" fillId="0" borderId="0" xfId="4" applyAlignment="1">
      <alignment horizontal="center" vertical="center"/>
    </xf>
    <xf numFmtId="165" fontId="8" fillId="0" borderId="0" xfId="4" applyNumberFormat="1" applyAlignment="1">
      <alignment vertical="top"/>
    </xf>
    <xf numFmtId="164" fontId="8" fillId="0" borderId="0" xfId="4" applyNumberFormat="1" applyAlignment="1">
      <alignment vertical="top"/>
    </xf>
    <xf numFmtId="2" fontId="8" fillId="0" borderId="0" xfId="4" applyNumberFormat="1" applyAlignment="1">
      <alignment vertical="top"/>
    </xf>
    <xf numFmtId="1" fontId="8" fillId="0" borderId="0" xfId="4" applyNumberFormat="1" applyAlignment="1">
      <alignment vertical="top"/>
    </xf>
    <xf numFmtId="168" fontId="13" fillId="0" borderId="0" xfId="4" applyNumberFormat="1" applyFont="1" applyAlignment="1">
      <alignment vertical="top"/>
    </xf>
    <xf numFmtId="1" fontId="8" fillId="0" borderId="0" xfId="4" applyNumberFormat="1" applyAlignment="1">
      <alignment horizontal="right" vertical="top"/>
    </xf>
    <xf numFmtId="169" fontId="8" fillId="0" borderId="0" xfId="4" applyNumberFormat="1" applyAlignment="1">
      <alignment horizontal="left" vertical="top"/>
    </xf>
    <xf numFmtId="0" fontId="8" fillId="0" borderId="0" xfId="4" applyAlignment="1">
      <alignment horizontal="right" vertical="top"/>
    </xf>
    <xf numFmtId="170" fontId="0" fillId="0" borderId="0" xfId="5" applyNumberFormat="1" applyFont="1" applyFill="1" applyAlignment="1">
      <alignment vertical="top"/>
    </xf>
    <xf numFmtId="43" fontId="0" fillId="0" borderId="0" xfId="5" applyFont="1" applyAlignment="1">
      <alignment vertical="top"/>
    </xf>
    <xf numFmtId="0" fontId="8" fillId="0" borderId="0" xfId="4" applyAlignment="1">
      <alignment vertical="top" wrapText="1"/>
    </xf>
    <xf numFmtId="165" fontId="8" fillId="0" borderId="0" xfId="4" applyNumberFormat="1" applyAlignment="1">
      <alignment horizontal="right" vertical="top"/>
    </xf>
    <xf numFmtId="168" fontId="8" fillId="0" borderId="0" xfId="4" applyNumberFormat="1" applyAlignment="1">
      <alignment horizontal="right" vertical="top"/>
    </xf>
    <xf numFmtId="164" fontId="8" fillId="0" borderId="0" xfId="4" applyNumberFormat="1" applyAlignment="1">
      <alignment horizontal="right" vertical="top"/>
    </xf>
    <xf numFmtId="2" fontId="8" fillId="0" borderId="0" xfId="4" applyNumberFormat="1" applyAlignment="1">
      <alignment horizontal="right" vertical="top"/>
    </xf>
    <xf numFmtId="0" fontId="14" fillId="0" borderId="0" xfId="4" applyFont="1" applyAlignment="1">
      <alignment vertical="top"/>
    </xf>
    <xf numFmtId="0" fontId="15" fillId="0" borderId="0" xfId="4" applyFont="1" applyAlignment="1">
      <alignment horizontal="left" vertical="top"/>
    </xf>
    <xf numFmtId="0" fontId="16" fillId="0" borderId="0" xfId="4" applyFont="1" applyAlignment="1">
      <alignment horizontal="left" vertical="top"/>
    </xf>
    <xf numFmtId="0" fontId="17" fillId="0" borderId="0" xfId="4" applyFont="1" applyAlignment="1">
      <alignment horizontal="left" vertical="top"/>
    </xf>
    <xf numFmtId="0" fontId="18" fillId="0" borderId="16" xfId="4" applyFont="1" applyBorder="1" applyAlignment="1">
      <alignment horizontal="left" vertical="top"/>
    </xf>
    <xf numFmtId="0" fontId="18" fillId="0" borderId="0" xfId="4" applyFont="1" applyAlignment="1">
      <alignment horizontal="left" vertical="top"/>
    </xf>
    <xf numFmtId="0" fontId="19" fillId="0" borderId="0" xfId="4" applyFont="1" applyAlignment="1">
      <alignment horizontal="left" vertical="top"/>
    </xf>
    <xf numFmtId="0" fontId="20" fillId="0" borderId="0" xfId="4" applyFont="1" applyAlignment="1">
      <alignment horizontal="left" vertical="top"/>
    </xf>
    <xf numFmtId="0" fontId="21" fillId="0" borderId="0" xfId="2" applyFont="1" applyFill="1" applyAlignment="1">
      <alignment horizontal="left" vertical="top"/>
    </xf>
    <xf numFmtId="0" fontId="22" fillId="0" borderId="0" xfId="4" applyFont="1" applyAlignment="1">
      <alignment horizontal="left" vertical="top"/>
    </xf>
    <xf numFmtId="0" fontId="4" fillId="0" borderId="0" xfId="4" applyFont="1" applyAlignment="1">
      <alignment horizontal="left"/>
    </xf>
    <xf numFmtId="0" fontId="21" fillId="0" borderId="0" xfId="4" applyFont="1" applyAlignment="1">
      <alignment horizontal="left"/>
    </xf>
    <xf numFmtId="0" fontId="1" fillId="0" borderId="0" xfId="4" applyFont="1" applyAlignment="1">
      <alignment horizontal="left"/>
    </xf>
    <xf numFmtId="0" fontId="23" fillId="0" borderId="0" xfId="4" applyFont="1" applyAlignment="1">
      <alignment horizontal="left"/>
    </xf>
    <xf numFmtId="0" fontId="1" fillId="0" borderId="16" xfId="4" applyFont="1" applyBorder="1" applyAlignment="1">
      <alignment horizontal="left" vertical="top"/>
    </xf>
    <xf numFmtId="0" fontId="1" fillId="0" borderId="0" xfId="4" applyFont="1" applyAlignment="1">
      <alignment horizontal="left" vertical="top"/>
    </xf>
    <xf numFmtId="0" fontId="3" fillId="0" borderId="0" xfId="4" applyFont="1" applyAlignment="1">
      <alignment horizontal="left"/>
    </xf>
    <xf numFmtId="0" fontId="24" fillId="0" borderId="0" xfId="4" applyFont="1" applyAlignment="1">
      <alignment horizontal="left"/>
    </xf>
    <xf numFmtId="0" fontId="0" fillId="0" borderId="1" xfId="0" applyFill="1" applyBorder="1"/>
    <xf numFmtId="0" fontId="1" fillId="9" borderId="1" xfId="0" applyFont="1" applyFill="1" applyBorder="1"/>
    <xf numFmtId="0" fontId="8" fillId="3" borderId="1" xfId="4" applyFill="1" applyBorder="1"/>
    <xf numFmtId="2" fontId="8" fillId="0" borderId="1" xfId="4" applyNumberFormat="1" applyBorder="1" applyAlignment="1">
      <alignment horizontal="center"/>
    </xf>
    <xf numFmtId="3" fontId="8" fillId="3" borderId="1" xfId="4" applyNumberFormat="1" applyFill="1" applyBorder="1"/>
    <xf numFmtId="1" fontId="8" fillId="0" borderId="7" xfId="4" applyNumberFormat="1" applyBorder="1" applyAlignment="1">
      <alignment horizontal="center"/>
    </xf>
    <xf numFmtId="9" fontId="8" fillId="3" borderId="1" xfId="4" applyNumberFormat="1" applyFill="1" applyBorder="1"/>
    <xf numFmtId="0" fontId="8" fillId="0" borderId="0" xfId="4" applyBorder="1"/>
    <xf numFmtId="165" fontId="0" fillId="2" borderId="1" xfId="0" applyNumberFormat="1" applyFill="1" applyBorder="1"/>
    <xf numFmtId="0" fontId="0" fillId="2" borderId="0" xfId="0" applyFill="1"/>
    <xf numFmtId="4" fontId="0" fillId="2" borderId="1" xfId="0" applyNumberForma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2" borderId="1" xfId="0" applyNumberFormat="1" applyFill="1" applyBorder="1"/>
    <xf numFmtId="0" fontId="8" fillId="0" borderId="5" xfId="4" applyFont="1" applyBorder="1"/>
    <xf numFmtId="0" fontId="8" fillId="0" borderId="7" xfId="4" applyFont="1" applyBorder="1"/>
    <xf numFmtId="0" fontId="6" fillId="0" borderId="0" xfId="0" applyFont="1" applyAlignment="1">
      <alignment vertical="top"/>
    </xf>
  </cellXfs>
  <cellStyles count="6">
    <cellStyle name="Bad" xfId="2" builtinId="27"/>
    <cellStyle name="Comma 2" xfId="5" xr:uid="{89D7DD0B-8B01-4BCF-B793-575484CA1923}"/>
    <cellStyle name="Hyperlink" xfId="3" builtinId="8"/>
    <cellStyle name="Normal" xfId="0" builtinId="0"/>
    <cellStyle name="Normal 2" xfId="4" xr:uid="{0E9F8999-DE5E-4C5C-BD96-0CCA2266CDE9}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DHW Fractional Flow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'HPWH Pre-Simulation Sizing'!$B$82:$B$105</c:f>
              <c:numCache>
                <c:formatCode>h:mm</c:formatCode>
                <c:ptCount val="24"/>
                <c:pt idx="0">
                  <c:v>4.1666666666666401E-2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0.20833333333333334</c:v>
                </c:pt>
                <c:pt idx="5">
                  <c:v>0.25</c:v>
                </c:pt>
                <c:pt idx="6">
                  <c:v>0.29166666666666669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0.58333333333333337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0.70833333333333337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0.83333333333333337</c:v>
                </c:pt>
                <c:pt idx="20">
                  <c:v>0.875</c:v>
                </c:pt>
                <c:pt idx="21">
                  <c:v>0.91666666666666663</c:v>
                </c:pt>
                <c:pt idx="22">
                  <c:v>0.95833333333333337</c:v>
                </c:pt>
                <c:pt idx="23">
                  <c:v>1</c:v>
                </c:pt>
              </c:numCache>
            </c:numRef>
          </c:cat>
          <c:val>
            <c:numRef>
              <c:f>'HPWH Pre-Simulation Sizing'!$C$82:$C$105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0.08</c:v>
                </c:pt>
                <c:pt idx="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8-4712-892A-47059027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774607"/>
        <c:axId val="2070777487"/>
      </c:lineChart>
      <c:catAx>
        <c:axId val="207077460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77487"/>
        <c:crosses val="autoZero"/>
        <c:auto val="1"/>
        <c:lblAlgn val="ctr"/>
        <c:lblOffset val="100"/>
        <c:noMultiLvlLbl val="0"/>
      </c:catAx>
      <c:valAx>
        <c:axId val="2070777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7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1539240</xdr:colOff>
      <xdr:row>1</xdr:row>
      <xdr:rowOff>48837</xdr:rowOff>
    </xdr:from>
    <xdr:to>
      <xdr:col>0</xdr:col>
      <xdr:colOff>1959179</xdr:colOff>
      <xdr:row>3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2C3E37-4268-A849-59E2-54CA958BB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240" y="483177"/>
          <a:ext cx="419939" cy="347404"/>
        </a:xfrm>
        <a:prstGeom prst="rect">
          <a:avLst/>
        </a:prstGeom>
      </xdr:spPr>
    </xdr:pic>
    <xdr:clientData/>
  </xdr:twoCellAnchor>
  <xdr:twoCellAnchor>
    <xdr:from>
      <xdr:col>3</xdr:col>
      <xdr:colOff>567690</xdr:colOff>
      <xdr:row>80</xdr:row>
      <xdr:rowOff>99060</xdr:rowOff>
    </xdr:from>
    <xdr:to>
      <xdr:col>4</xdr:col>
      <xdr:colOff>4514850</xdr:colOff>
      <xdr:row>96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62844-3CD1-E074-7141-ED0BD9E7E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1174377</xdr:colOff>
      <xdr:row>1</xdr:row>
      <xdr:rowOff>26894</xdr:rowOff>
    </xdr:from>
    <xdr:to>
      <xdr:col>1</xdr:col>
      <xdr:colOff>1594316</xdr:colOff>
      <xdr:row>3</xdr:row>
      <xdr:rowOff>15710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818B04-9C8A-4F88-9589-97B03B076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5342" y="313765"/>
          <a:ext cx="419939" cy="3474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2efficiency.sharepoint.com/sites/ConsultingResources/Shared%20Documents/_Energy%20Modeling/Input%20Translation%20Tools/DHW%20Tool/DHW%20EUI%20Rough%20Calculation%20Tool.xlsx" TargetMode="External"/><Relationship Id="rId1" Type="http://schemas.openxmlformats.org/officeDocument/2006/relationships/externalLinkPath" Target="/sites/ConsultingResources/Shared%20Documents/_Energy%20Modeling/Input%20Translation%20Tools/DHW%20Tool/DHW%20EUI%20Rough%20Calculation%20T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HW Tool"/>
      <sheetName val="DHW Simple Tool"/>
      <sheetName val="Schedules"/>
      <sheetName val="Complete Building Method"/>
      <sheetName val="Area Category Method"/>
      <sheetName val="For CSV Generation"/>
      <sheetName val="FuncSchGrp Table"/>
      <sheetName val="CBC Table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A2 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6600"/>
      </a:accent1>
      <a:accent2>
        <a:srgbClr val="4D4D4D"/>
      </a:accent2>
      <a:accent3>
        <a:srgbClr val="007C7C"/>
      </a:accent3>
      <a:accent4>
        <a:srgbClr val="0049C4"/>
      </a:accent4>
      <a:accent5>
        <a:srgbClr val="808080"/>
      </a:accent5>
      <a:accent6>
        <a:srgbClr val="FFC000"/>
      </a:accent6>
      <a:hlink>
        <a:srgbClr val="85B3FF"/>
      </a:hlink>
      <a:folHlink>
        <a:srgbClr val="FFCFAF"/>
      </a:folHlink>
    </a:clrScheme>
    <a:fontScheme name="Custom 1">
      <a:majorFont>
        <a:latin typeface="Arial Nova"/>
        <a:ea typeface=""/>
        <a:cs typeface=""/>
      </a:majorFont>
      <a:minorFont>
        <a:latin typeface="Arial Nov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2E 2024 template.potx" id="{931EC1D8-510C-4759-B0DD-1BA6893FA72C}" vid="{BD947FF1-4761-4AF1-AFD6-040228357DC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2efficiency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2efficiency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E105"/>
  <sheetViews>
    <sheetView showGridLines="0" tabSelected="1" zoomScale="115" zoomScaleNormal="115" workbookViewId="0">
      <selection activeCell="B14" sqref="B14"/>
    </sheetView>
  </sheetViews>
  <sheetFormatPr defaultRowHeight="13.8" x14ac:dyDescent="0.25"/>
  <cols>
    <col min="1" max="1" width="36.09765625" customWidth="1"/>
    <col min="2" max="2" width="10.8984375" customWidth="1"/>
    <col min="3" max="3" width="12" customWidth="1"/>
    <col min="4" max="4" width="8.19921875" customWidth="1"/>
    <col min="5" max="5" width="70.8984375" customWidth="1"/>
  </cols>
  <sheetData>
    <row r="1" spans="1:5" ht="34.200000000000003" customHeight="1" x14ac:dyDescent="0.25">
      <c r="A1" s="146" t="s">
        <v>94</v>
      </c>
    </row>
    <row r="2" spans="1:5" x14ac:dyDescent="0.25">
      <c r="A2" t="s">
        <v>93</v>
      </c>
    </row>
    <row r="3" spans="1:5" x14ac:dyDescent="0.25">
      <c r="A3" s="20" t="s">
        <v>95</v>
      </c>
    </row>
    <row r="4" spans="1:5" x14ac:dyDescent="0.25">
      <c r="A4" s="19">
        <v>45951</v>
      </c>
    </row>
    <row r="5" spans="1:5" x14ac:dyDescent="0.25">
      <c r="A5" s="19" t="s">
        <v>570</v>
      </c>
    </row>
    <row r="7" spans="1:5" x14ac:dyDescent="0.25">
      <c r="A7" s="131" t="s">
        <v>96</v>
      </c>
    </row>
    <row r="8" spans="1:5" x14ac:dyDescent="0.25">
      <c r="A8" s="21" t="s">
        <v>97</v>
      </c>
    </row>
    <row r="9" spans="1:5" x14ac:dyDescent="0.25">
      <c r="A9" s="139" t="s">
        <v>98</v>
      </c>
    </row>
    <row r="11" spans="1:5" x14ac:dyDescent="0.25">
      <c r="A11" s="2" t="s">
        <v>573</v>
      </c>
    </row>
    <row r="12" spans="1:5" x14ac:dyDescent="0.25">
      <c r="A12" s="1" t="s">
        <v>0</v>
      </c>
      <c r="B12" s="1" t="s">
        <v>2</v>
      </c>
      <c r="C12" s="1" t="s">
        <v>1</v>
      </c>
      <c r="D12" s="1" t="s">
        <v>571</v>
      </c>
      <c r="E12" s="1" t="s">
        <v>3</v>
      </c>
    </row>
    <row r="13" spans="1:5" x14ac:dyDescent="0.25">
      <c r="A13" s="4" t="s">
        <v>4</v>
      </c>
      <c r="B13" s="4" t="s">
        <v>5</v>
      </c>
      <c r="C13" s="9">
        <f>C77*C78</f>
        <v>258.57079557774011</v>
      </c>
      <c r="D13" s="30"/>
      <c r="E13" s="29" t="s">
        <v>105</v>
      </c>
    </row>
    <row r="14" spans="1:5" x14ac:dyDescent="0.25">
      <c r="A14" s="4" t="s">
        <v>89</v>
      </c>
      <c r="B14" s="4" t="s">
        <v>5</v>
      </c>
      <c r="C14" s="9">
        <f>60*C77</f>
        <v>51.0001569186864</v>
      </c>
      <c r="D14" s="30"/>
      <c r="E14" s="30"/>
    </row>
    <row r="15" spans="1:5" x14ac:dyDescent="0.25">
      <c r="A15" s="4" t="s">
        <v>7</v>
      </c>
      <c r="B15" s="4" t="s">
        <v>8</v>
      </c>
      <c r="C15" s="12">
        <v>128</v>
      </c>
      <c r="D15" s="141" t="s">
        <v>572</v>
      </c>
      <c r="E15" s="29" t="s">
        <v>9</v>
      </c>
    </row>
    <row r="16" spans="1:5" x14ac:dyDescent="0.25">
      <c r="A16" s="4" t="s">
        <v>86</v>
      </c>
      <c r="B16" s="4" t="s">
        <v>102</v>
      </c>
      <c r="C16" s="12">
        <v>9</v>
      </c>
      <c r="D16" s="141" t="s">
        <v>572</v>
      </c>
      <c r="E16" s="30"/>
    </row>
    <row r="17" spans="1:5" x14ac:dyDescent="0.25">
      <c r="A17" s="4" t="s">
        <v>87</v>
      </c>
      <c r="B17" s="4" t="s">
        <v>101</v>
      </c>
      <c r="C17" s="138">
        <f>CONVERT(C15,"F","C")</f>
        <v>53.333333333333329</v>
      </c>
      <c r="D17" s="141" t="s">
        <v>572</v>
      </c>
      <c r="E17" s="30"/>
    </row>
    <row r="18" spans="1:5" x14ac:dyDescent="0.25">
      <c r="A18" s="4" t="s">
        <v>100</v>
      </c>
      <c r="B18" s="4" t="s">
        <v>8</v>
      </c>
      <c r="C18" s="11">
        <f>C15-12</f>
        <v>116</v>
      </c>
      <c r="D18" s="30"/>
      <c r="E18" s="31" t="s">
        <v>103</v>
      </c>
    </row>
    <row r="19" spans="1:5" x14ac:dyDescent="0.25">
      <c r="A19" s="4" t="s">
        <v>88</v>
      </c>
      <c r="B19" s="4" t="s">
        <v>101</v>
      </c>
      <c r="C19" s="138">
        <f>CONVERT(C18,"F","C")</f>
        <v>46.666666666666664</v>
      </c>
      <c r="D19" s="141" t="s">
        <v>572</v>
      </c>
      <c r="E19" s="30"/>
    </row>
    <row r="20" spans="1:5" x14ac:dyDescent="0.25">
      <c r="A20" s="4" t="s">
        <v>12</v>
      </c>
      <c r="B20" s="4" t="s">
        <v>8</v>
      </c>
      <c r="C20" s="12">
        <v>60</v>
      </c>
      <c r="D20" s="30"/>
      <c r="E20" s="29" t="s">
        <v>104</v>
      </c>
    </row>
    <row r="21" spans="1:5" x14ac:dyDescent="0.25">
      <c r="A21" s="4" t="s">
        <v>15</v>
      </c>
      <c r="B21" s="4" t="s">
        <v>16</v>
      </c>
      <c r="C21" s="12">
        <v>6</v>
      </c>
      <c r="D21" s="30"/>
      <c r="E21" s="29" t="s">
        <v>17</v>
      </c>
    </row>
    <row r="22" spans="1:5" x14ac:dyDescent="0.25">
      <c r="A22" s="4" t="s">
        <v>20</v>
      </c>
      <c r="B22" s="4" t="s">
        <v>21</v>
      </c>
      <c r="C22" s="12">
        <v>0.8</v>
      </c>
      <c r="D22" s="30"/>
      <c r="E22" s="29" t="s">
        <v>22</v>
      </c>
    </row>
    <row r="23" spans="1:5" x14ac:dyDescent="0.25">
      <c r="A23" s="4" t="s">
        <v>44</v>
      </c>
      <c r="B23" s="4" t="s">
        <v>55</v>
      </c>
      <c r="C23" s="15">
        <v>3</v>
      </c>
      <c r="D23" s="34"/>
      <c r="E23" s="32" t="s">
        <v>24</v>
      </c>
    </row>
    <row r="25" spans="1:5" x14ac:dyDescent="0.25">
      <c r="A25" s="2" t="s">
        <v>53</v>
      </c>
    </row>
    <row r="26" spans="1:5" x14ac:dyDescent="0.25">
      <c r="A26" s="1" t="s">
        <v>0</v>
      </c>
      <c r="B26" s="1" t="s">
        <v>2</v>
      </c>
      <c r="C26" s="1" t="s">
        <v>1</v>
      </c>
      <c r="D26" s="1" t="s">
        <v>571</v>
      </c>
      <c r="E26" s="1" t="s">
        <v>3</v>
      </c>
    </row>
    <row r="27" spans="1:5" x14ac:dyDescent="0.25">
      <c r="A27" s="4" t="s">
        <v>10</v>
      </c>
      <c r="B27" s="4" t="s">
        <v>11</v>
      </c>
      <c r="C27" s="8">
        <f>C13*8.34*(C15-C20)</f>
        <v>146640.66958804798</v>
      </c>
      <c r="D27" s="30"/>
      <c r="E27" s="30"/>
    </row>
    <row r="28" spans="1:5" x14ac:dyDescent="0.25">
      <c r="A28" s="4" t="s">
        <v>90</v>
      </c>
      <c r="B28" s="4" t="s">
        <v>11</v>
      </c>
      <c r="C28" s="8">
        <f>C27*C14*2.5/C13</f>
        <v>72308.022479313586</v>
      </c>
      <c r="D28" s="30"/>
      <c r="E28" s="29" t="s">
        <v>99</v>
      </c>
    </row>
    <row r="29" spans="1:5" x14ac:dyDescent="0.25">
      <c r="A29" s="4" t="s">
        <v>6</v>
      </c>
      <c r="B29" s="4" t="s">
        <v>5</v>
      </c>
      <c r="C29" s="138">
        <f>C28/(C22*8.34*(C15-C20))</f>
        <v>159.37549037089499</v>
      </c>
      <c r="D29" s="141" t="s">
        <v>572</v>
      </c>
      <c r="E29" s="30"/>
    </row>
    <row r="30" spans="1:5" x14ac:dyDescent="0.25">
      <c r="A30" s="4" t="s">
        <v>13</v>
      </c>
      <c r="B30" s="4" t="s">
        <v>14</v>
      </c>
      <c r="C30" s="18">
        <f>C27/C21</f>
        <v>24440.111598007996</v>
      </c>
      <c r="D30" s="141" t="s">
        <v>572</v>
      </c>
      <c r="E30" s="30"/>
    </row>
    <row r="31" spans="1:5" x14ac:dyDescent="0.25">
      <c r="A31" s="4" t="s">
        <v>54</v>
      </c>
      <c r="B31" s="4" t="s">
        <v>19</v>
      </c>
      <c r="C31" s="18">
        <f>C30*0.29307107</f>
        <v>7162.689656947613</v>
      </c>
      <c r="D31" s="141" t="s">
        <v>572</v>
      </c>
      <c r="E31" s="30"/>
    </row>
    <row r="32" spans="1:5" x14ac:dyDescent="0.25">
      <c r="A32" s="4" t="s">
        <v>91</v>
      </c>
      <c r="B32" s="4" t="s">
        <v>92</v>
      </c>
      <c r="C32" s="10">
        <f>C29/(C31/1000)</f>
        <v>22.250788182104905</v>
      </c>
      <c r="D32" s="30"/>
      <c r="E32" s="30"/>
    </row>
    <row r="33" spans="1:5" x14ac:dyDescent="0.25">
      <c r="A33" s="4" t="s">
        <v>18</v>
      </c>
      <c r="B33" s="4" t="s">
        <v>19</v>
      </c>
      <c r="C33" s="8">
        <f>C30/C23*0.29307107</f>
        <v>2387.5632189825378</v>
      </c>
      <c r="D33" s="30"/>
      <c r="E33" s="30"/>
    </row>
    <row r="34" spans="1:5" x14ac:dyDescent="0.25">
      <c r="A34" s="4" t="s">
        <v>77</v>
      </c>
      <c r="B34" s="4" t="s">
        <v>78</v>
      </c>
      <c r="C34" s="17">
        <f>C23</f>
        <v>3</v>
      </c>
      <c r="D34" s="141" t="s">
        <v>572</v>
      </c>
      <c r="E34" s="30"/>
    </row>
    <row r="35" spans="1:5" x14ac:dyDescent="0.25">
      <c r="A35" s="4" t="s">
        <v>52</v>
      </c>
      <c r="B35" s="4" t="s">
        <v>75</v>
      </c>
      <c r="C35" s="6">
        <v>0.9</v>
      </c>
      <c r="D35" s="141" t="s">
        <v>572</v>
      </c>
      <c r="E35" s="30"/>
    </row>
    <row r="36" spans="1:5" x14ac:dyDescent="0.25">
      <c r="A36" s="4" t="s">
        <v>42</v>
      </c>
      <c r="B36" s="4" t="s">
        <v>8</v>
      </c>
      <c r="C36" s="6">
        <v>47</v>
      </c>
      <c r="D36" s="141" t="s">
        <v>572</v>
      </c>
      <c r="E36" s="29" t="s">
        <v>107</v>
      </c>
    </row>
    <row r="37" spans="1:5" x14ac:dyDescent="0.25">
      <c r="A37" s="4" t="s">
        <v>43</v>
      </c>
      <c r="B37" s="4" t="s">
        <v>8</v>
      </c>
      <c r="C37" s="6">
        <v>43</v>
      </c>
      <c r="D37" s="141" t="s">
        <v>572</v>
      </c>
      <c r="E37" s="29" t="s">
        <v>108</v>
      </c>
    </row>
    <row r="38" spans="1:5" ht="41.4" x14ac:dyDescent="0.25">
      <c r="A38" s="23" t="s">
        <v>70</v>
      </c>
      <c r="B38" s="4" t="s">
        <v>8</v>
      </c>
      <c r="C38" s="24">
        <f>C15-C41</f>
        <v>119</v>
      </c>
      <c r="D38" s="141" t="s">
        <v>572</v>
      </c>
      <c r="E38" s="33" t="s">
        <v>106</v>
      </c>
    </row>
    <row r="39" spans="1:5" x14ac:dyDescent="0.25">
      <c r="A39" s="4" t="s">
        <v>80</v>
      </c>
      <c r="B39" s="4" t="s">
        <v>25</v>
      </c>
      <c r="C39" s="12" t="s">
        <v>79</v>
      </c>
      <c r="D39" s="141" t="s">
        <v>572</v>
      </c>
      <c r="E39" s="30"/>
    </row>
    <row r="40" spans="1:5" x14ac:dyDescent="0.25">
      <c r="A40" s="4" t="s">
        <v>81</v>
      </c>
      <c r="B40" s="4" t="s">
        <v>25</v>
      </c>
      <c r="C40" s="12" t="s">
        <v>79</v>
      </c>
      <c r="D40" s="141" t="s">
        <v>572</v>
      </c>
      <c r="E40" s="30"/>
    </row>
    <row r="41" spans="1:5" x14ac:dyDescent="0.25">
      <c r="A41" s="4" t="s">
        <v>71</v>
      </c>
      <c r="B41" s="4" t="s">
        <v>102</v>
      </c>
      <c r="C41" s="8">
        <f>C16</f>
        <v>9</v>
      </c>
      <c r="D41" s="30"/>
      <c r="E41" s="30"/>
    </row>
    <row r="42" spans="1:5" x14ac:dyDescent="0.25">
      <c r="A42" s="4" t="s">
        <v>72</v>
      </c>
      <c r="B42" s="4" t="s">
        <v>27</v>
      </c>
      <c r="C42" s="16">
        <f>C30/500/C41</f>
        <v>5.4311359106684431</v>
      </c>
      <c r="D42" s="30"/>
      <c r="E42" s="30"/>
    </row>
    <row r="43" spans="1:5" x14ac:dyDescent="0.25">
      <c r="A43" s="4" t="s">
        <v>73</v>
      </c>
      <c r="B43" s="4" t="s">
        <v>75</v>
      </c>
      <c r="C43" s="26">
        <v>0.3</v>
      </c>
      <c r="D43" s="30"/>
      <c r="E43" s="30" t="s">
        <v>110</v>
      </c>
    </row>
    <row r="44" spans="1:5" x14ac:dyDescent="0.25">
      <c r="A44" s="4" t="s">
        <v>74</v>
      </c>
      <c r="B44" s="4" t="s">
        <v>38</v>
      </c>
      <c r="C44" s="25">
        <v>15</v>
      </c>
      <c r="D44" s="30"/>
      <c r="E44" s="29" t="s">
        <v>109</v>
      </c>
    </row>
    <row r="45" spans="1:5" x14ac:dyDescent="0.25">
      <c r="A45" s="4" t="s">
        <v>76</v>
      </c>
      <c r="B45" s="4" t="s">
        <v>19</v>
      </c>
      <c r="C45" s="140">
        <f>C42*C44/3960/C43*746</f>
        <v>51.156911481801245</v>
      </c>
      <c r="D45" s="141" t="s">
        <v>572</v>
      </c>
      <c r="E45" s="30"/>
    </row>
    <row r="46" spans="1:5" x14ac:dyDescent="0.25">
      <c r="A46" s="4" t="s">
        <v>45</v>
      </c>
      <c r="B46" s="4" t="s">
        <v>19</v>
      </c>
      <c r="C46" s="14">
        <f>C30/12000*75/3</f>
        <v>50.916899162516664</v>
      </c>
      <c r="D46" s="141" t="s">
        <v>572</v>
      </c>
      <c r="E46" s="29" t="s">
        <v>47</v>
      </c>
    </row>
    <row r="47" spans="1:5" x14ac:dyDescent="0.25">
      <c r="A47" s="4" t="s">
        <v>46</v>
      </c>
      <c r="B47" s="4" t="s">
        <v>8</v>
      </c>
      <c r="C47" s="6">
        <v>50</v>
      </c>
      <c r="D47" s="142" t="s">
        <v>572</v>
      </c>
      <c r="E47" s="34"/>
    </row>
    <row r="49" spans="1:5" x14ac:dyDescent="0.25">
      <c r="A49" s="2" t="s">
        <v>60</v>
      </c>
    </row>
    <row r="50" spans="1:5" x14ac:dyDescent="0.25">
      <c r="A50" s="1" t="s">
        <v>0</v>
      </c>
      <c r="B50" s="1" t="s">
        <v>2</v>
      </c>
      <c r="C50" s="1" t="s">
        <v>1</v>
      </c>
      <c r="D50" s="1" t="s">
        <v>571</v>
      </c>
      <c r="E50" s="1" t="s">
        <v>3</v>
      </c>
    </row>
    <row r="51" spans="1:5" x14ac:dyDescent="0.25">
      <c r="A51" s="4" t="s">
        <v>32</v>
      </c>
      <c r="B51" s="4" t="s">
        <v>75</v>
      </c>
      <c r="C51" s="28">
        <v>0.5</v>
      </c>
      <c r="D51" s="30"/>
      <c r="E51" s="29" t="s">
        <v>57</v>
      </c>
    </row>
    <row r="52" spans="1:5" x14ac:dyDescent="0.25">
      <c r="A52" s="4" t="s">
        <v>23</v>
      </c>
      <c r="B52" s="4" t="s">
        <v>14</v>
      </c>
      <c r="C52" s="8">
        <f>C51*C30</f>
        <v>12220.055799003998</v>
      </c>
      <c r="D52" s="30"/>
      <c r="E52" s="30"/>
    </row>
    <row r="53" spans="1:5" x14ac:dyDescent="0.25">
      <c r="A53" s="4" t="s">
        <v>35</v>
      </c>
      <c r="B53" s="4" t="s">
        <v>37</v>
      </c>
      <c r="C53" s="143">
        <f>1.5+0.005*(C29-80)</f>
        <v>1.8968774518544751</v>
      </c>
      <c r="D53" s="141" t="s">
        <v>572</v>
      </c>
      <c r="E53" s="29" t="s">
        <v>36</v>
      </c>
    </row>
    <row r="54" spans="1:5" x14ac:dyDescent="0.25">
      <c r="A54" s="4" t="s">
        <v>56</v>
      </c>
      <c r="B54" s="4" t="s">
        <v>38</v>
      </c>
      <c r="C54" s="143">
        <f>C53*3.28</f>
        <v>6.2217580420826781</v>
      </c>
      <c r="D54" s="141" t="s">
        <v>572</v>
      </c>
      <c r="E54" s="30"/>
    </row>
    <row r="55" spans="1:5" x14ac:dyDescent="0.25">
      <c r="A55" s="4" t="s">
        <v>39</v>
      </c>
      <c r="B55" s="4" t="s">
        <v>37</v>
      </c>
      <c r="C55" s="143">
        <f>SQRT(4*PI()*C56/C53)</f>
        <v>1.9998346944393266</v>
      </c>
      <c r="D55" s="141" t="s">
        <v>572</v>
      </c>
      <c r="E55" s="30"/>
    </row>
    <row r="56" spans="1:5" x14ac:dyDescent="0.25">
      <c r="A56" s="4" t="s">
        <v>33</v>
      </c>
      <c r="B56" s="4" t="s">
        <v>34</v>
      </c>
      <c r="C56" s="140">
        <f>C29/264</f>
        <v>0.60369503928369317</v>
      </c>
      <c r="D56" s="141" t="s">
        <v>572</v>
      </c>
      <c r="E56" s="30"/>
    </row>
    <row r="57" spans="1:5" x14ac:dyDescent="0.25">
      <c r="A57" s="4" t="s">
        <v>62</v>
      </c>
      <c r="B57" s="4" t="s">
        <v>37</v>
      </c>
      <c r="C57" s="140">
        <f>0.5*C53</f>
        <v>0.94843872592723755</v>
      </c>
      <c r="D57" s="141" t="s">
        <v>572</v>
      </c>
      <c r="E57" s="33" t="s">
        <v>65</v>
      </c>
    </row>
    <row r="58" spans="1:5" x14ac:dyDescent="0.25">
      <c r="A58" s="4" t="s">
        <v>63</v>
      </c>
      <c r="B58" s="4" t="s">
        <v>37</v>
      </c>
      <c r="C58" s="140">
        <f>0.2*C53</f>
        <v>0.37937549037089502</v>
      </c>
      <c r="D58" s="141" t="s">
        <v>572</v>
      </c>
      <c r="E58" s="29" t="s">
        <v>64</v>
      </c>
    </row>
    <row r="59" spans="1:5" x14ac:dyDescent="0.25">
      <c r="A59" s="4" t="s">
        <v>66</v>
      </c>
      <c r="B59" s="4" t="s">
        <v>102</v>
      </c>
      <c r="C59" s="27">
        <v>0.9</v>
      </c>
      <c r="D59" s="30"/>
      <c r="E59" s="30" t="s">
        <v>69</v>
      </c>
    </row>
    <row r="60" spans="1:5" x14ac:dyDescent="0.25">
      <c r="A60" s="4" t="s">
        <v>67</v>
      </c>
      <c r="B60" s="4" t="s">
        <v>102</v>
      </c>
      <c r="C60" s="27">
        <v>9</v>
      </c>
      <c r="D60" s="30"/>
      <c r="E60" s="30" t="s">
        <v>68</v>
      </c>
    </row>
    <row r="61" spans="1:5" x14ac:dyDescent="0.25">
      <c r="A61" s="4" t="s">
        <v>61</v>
      </c>
      <c r="B61" s="4" t="s">
        <v>19</v>
      </c>
      <c r="C61" s="14">
        <f>C52*0.29307107</f>
        <v>3581.3448284738065</v>
      </c>
      <c r="D61" s="141" t="s">
        <v>572</v>
      </c>
      <c r="E61" s="30"/>
    </row>
    <row r="62" spans="1:5" x14ac:dyDescent="0.25">
      <c r="A62" s="4" t="s">
        <v>40</v>
      </c>
      <c r="B62" s="4" t="s">
        <v>75</v>
      </c>
      <c r="C62" s="13">
        <v>0.01</v>
      </c>
      <c r="D62" s="30"/>
      <c r="E62" s="30"/>
    </row>
    <row r="63" spans="1:5" x14ac:dyDescent="0.25">
      <c r="A63" s="4" t="s">
        <v>41</v>
      </c>
      <c r="B63" s="4" t="s">
        <v>75</v>
      </c>
      <c r="C63" s="13">
        <v>2E-3</v>
      </c>
      <c r="D63" s="30"/>
      <c r="E63" s="30"/>
    </row>
    <row r="64" spans="1:5" x14ac:dyDescent="0.25">
      <c r="A64" s="4" t="s">
        <v>58</v>
      </c>
      <c r="B64" s="4" t="s">
        <v>19</v>
      </c>
      <c r="C64" s="15">
        <f>C61*C62</f>
        <v>35.813448284738065</v>
      </c>
      <c r="D64" s="141" t="s">
        <v>572</v>
      </c>
      <c r="E64" s="30"/>
    </row>
    <row r="65" spans="1:5" x14ac:dyDescent="0.25">
      <c r="A65" s="4" t="s">
        <v>59</v>
      </c>
      <c r="B65" s="4" t="s">
        <v>19</v>
      </c>
      <c r="C65" s="15">
        <f>C61*C63</f>
        <v>7.1626896569476131</v>
      </c>
      <c r="D65" s="142" t="s">
        <v>572</v>
      </c>
      <c r="E65" s="34"/>
    </row>
    <row r="67" spans="1:5" x14ac:dyDescent="0.25">
      <c r="A67" s="2" t="s">
        <v>82</v>
      </c>
      <c r="B67" s="3"/>
    </row>
    <row r="68" spans="1:5" x14ac:dyDescent="0.25">
      <c r="A68" s="1" t="s">
        <v>0</v>
      </c>
      <c r="B68" s="1" t="s">
        <v>2</v>
      </c>
      <c r="C68" s="1" t="s">
        <v>1</v>
      </c>
      <c r="E68" s="1" t="s">
        <v>3</v>
      </c>
    </row>
    <row r="69" spans="1:5" x14ac:dyDescent="0.25">
      <c r="A69" s="4" t="s">
        <v>83</v>
      </c>
      <c r="B69" s="4" t="s">
        <v>85</v>
      </c>
      <c r="C69" s="12">
        <v>0.5</v>
      </c>
      <c r="E69" s="35" t="s">
        <v>111</v>
      </c>
    </row>
    <row r="70" spans="1:5" x14ac:dyDescent="0.25">
      <c r="A70" s="4" t="s">
        <v>84</v>
      </c>
      <c r="B70" s="4" t="s">
        <v>75</v>
      </c>
      <c r="C70" s="12">
        <v>0.5</v>
      </c>
      <c r="E70" s="32" t="s">
        <v>112</v>
      </c>
    </row>
    <row r="72" spans="1:5" x14ac:dyDescent="0.25">
      <c r="A72" s="2" t="s">
        <v>113</v>
      </c>
    </row>
    <row r="73" spans="1:5" x14ac:dyDescent="0.25">
      <c r="A73" s="1" t="s">
        <v>0</v>
      </c>
      <c r="B73" s="1" t="s">
        <v>2</v>
      </c>
      <c r="C73" s="1" t="s">
        <v>1</v>
      </c>
      <c r="E73" s="1" t="s">
        <v>3</v>
      </c>
    </row>
    <row r="74" spans="1:5" x14ac:dyDescent="0.25">
      <c r="A74" s="4" t="s">
        <v>26</v>
      </c>
      <c r="B74" s="4" t="s">
        <v>25</v>
      </c>
      <c r="C74" s="6">
        <f>0.000003575111</f>
        <v>3.575111E-6</v>
      </c>
      <c r="E74" s="36" t="s">
        <v>115</v>
      </c>
    </row>
    <row r="75" spans="1:5" x14ac:dyDescent="0.25">
      <c r="A75" s="4" t="s">
        <v>48</v>
      </c>
      <c r="B75" s="4"/>
      <c r="C75" s="6">
        <f>5*3</f>
        <v>15</v>
      </c>
      <c r="E75" s="30"/>
    </row>
    <row r="76" spans="1:5" x14ac:dyDescent="0.25">
      <c r="A76" s="4" t="s">
        <v>49</v>
      </c>
      <c r="B76" s="4" t="s">
        <v>25</v>
      </c>
      <c r="C76" s="4">
        <f>C74*C75</f>
        <v>5.3626664999999997E-5</v>
      </c>
      <c r="E76" s="30"/>
    </row>
    <row r="77" spans="1:5" x14ac:dyDescent="0.25">
      <c r="A77" s="4" t="s">
        <v>50</v>
      </c>
      <c r="B77" s="4" t="s">
        <v>27</v>
      </c>
      <c r="C77" s="7">
        <f>C76*15850.372483753</f>
        <v>0.85000261531144006</v>
      </c>
      <c r="E77" s="30"/>
    </row>
    <row r="78" spans="1:5" x14ac:dyDescent="0.25">
      <c r="A78" s="4" t="s">
        <v>30</v>
      </c>
      <c r="B78" s="4" t="s">
        <v>31</v>
      </c>
      <c r="C78" s="130">
        <f>SUM(C82:C105)*60</f>
        <v>304.20000000000005</v>
      </c>
      <c r="E78" s="34"/>
    </row>
    <row r="81" spans="1:3" x14ac:dyDescent="0.25">
      <c r="A81" s="37" t="s">
        <v>28</v>
      </c>
      <c r="B81" s="4" t="s">
        <v>114</v>
      </c>
      <c r="C81" s="4" t="s">
        <v>29</v>
      </c>
    </row>
    <row r="82" spans="1:3" x14ac:dyDescent="0.25">
      <c r="A82" s="4" t="s">
        <v>51</v>
      </c>
      <c r="B82" s="5">
        <v>4.1666666666666401E-2</v>
      </c>
      <c r="C82" s="6">
        <v>0</v>
      </c>
    </row>
    <row r="83" spans="1:3" x14ac:dyDescent="0.25">
      <c r="A83" s="4" t="s">
        <v>51</v>
      </c>
      <c r="B83" s="5">
        <v>8.3333333333333301E-2</v>
      </c>
      <c r="C83" s="6">
        <v>0</v>
      </c>
    </row>
    <row r="84" spans="1:3" x14ac:dyDescent="0.25">
      <c r="A84" s="4" t="s">
        <v>51</v>
      </c>
      <c r="B84" s="5">
        <v>0.125</v>
      </c>
      <c r="C84" s="6">
        <v>0</v>
      </c>
    </row>
    <row r="85" spans="1:3" x14ac:dyDescent="0.25">
      <c r="A85" s="4" t="s">
        <v>51</v>
      </c>
      <c r="B85" s="5">
        <v>0.16666666666666699</v>
      </c>
      <c r="C85" s="6">
        <v>0</v>
      </c>
    </row>
    <row r="86" spans="1:3" x14ac:dyDescent="0.25">
      <c r="A86" s="4" t="s">
        <v>51</v>
      </c>
      <c r="B86" s="5">
        <v>0.20833333333333334</v>
      </c>
      <c r="C86" s="6">
        <v>0</v>
      </c>
    </row>
    <row r="87" spans="1:3" x14ac:dyDescent="0.25">
      <c r="A87" s="4" t="s">
        <v>51</v>
      </c>
      <c r="B87" s="5">
        <v>0.25</v>
      </c>
      <c r="C87" s="6">
        <v>0</v>
      </c>
    </row>
    <row r="88" spans="1:3" x14ac:dyDescent="0.25">
      <c r="A88" s="4" t="s">
        <v>51</v>
      </c>
      <c r="B88" s="5">
        <v>0.29166666666666669</v>
      </c>
      <c r="C88" s="6">
        <v>7.0000000000000007E-2</v>
      </c>
    </row>
    <row r="89" spans="1:3" x14ac:dyDescent="0.25">
      <c r="A89" s="4" t="s">
        <v>51</v>
      </c>
      <c r="B89" s="5">
        <v>0.33333333333333331</v>
      </c>
      <c r="C89" s="6">
        <v>0.19</v>
      </c>
    </row>
    <row r="90" spans="1:3" x14ac:dyDescent="0.25">
      <c r="A90" s="4" t="s">
        <v>51</v>
      </c>
      <c r="B90" s="5">
        <v>0.375</v>
      </c>
      <c r="C90" s="6">
        <v>0.35</v>
      </c>
    </row>
    <row r="91" spans="1:3" x14ac:dyDescent="0.25">
      <c r="A91" s="4" t="s">
        <v>51</v>
      </c>
      <c r="B91" s="5">
        <v>0.41666666666666669</v>
      </c>
      <c r="C91" s="6">
        <v>0.38</v>
      </c>
    </row>
    <row r="92" spans="1:3" x14ac:dyDescent="0.25">
      <c r="A92" s="4" t="s">
        <v>51</v>
      </c>
      <c r="B92" s="5">
        <v>0.45833333333333331</v>
      </c>
      <c r="C92" s="6">
        <v>0.39</v>
      </c>
    </row>
    <row r="93" spans="1:3" x14ac:dyDescent="0.25">
      <c r="A93" s="4" t="s">
        <v>51</v>
      </c>
      <c r="B93" s="5">
        <v>0.5</v>
      </c>
      <c r="C93" s="6">
        <v>0.47</v>
      </c>
    </row>
    <row r="94" spans="1:3" x14ac:dyDescent="0.25">
      <c r="A94" s="4" t="s">
        <v>51</v>
      </c>
      <c r="B94" s="5">
        <v>0.54166666666666663</v>
      </c>
      <c r="C94" s="6">
        <v>0.56999999999999995</v>
      </c>
    </row>
    <row r="95" spans="1:3" x14ac:dyDescent="0.25">
      <c r="A95" s="4" t="s">
        <v>51</v>
      </c>
      <c r="B95" s="5">
        <v>0.58333333333333337</v>
      </c>
      <c r="C95" s="6">
        <v>0.54</v>
      </c>
    </row>
    <row r="96" spans="1:3" x14ac:dyDescent="0.25">
      <c r="A96" s="4" t="s">
        <v>51</v>
      </c>
      <c r="B96" s="5">
        <v>0.625</v>
      </c>
      <c r="C96" s="6">
        <v>0.34</v>
      </c>
    </row>
    <row r="97" spans="1:3" x14ac:dyDescent="0.25">
      <c r="A97" s="4" t="s">
        <v>51</v>
      </c>
      <c r="B97" s="5">
        <v>0.66666666666666663</v>
      </c>
      <c r="C97" s="6">
        <v>0.33</v>
      </c>
    </row>
    <row r="98" spans="1:3" x14ac:dyDescent="0.25">
      <c r="A98" s="4" t="s">
        <v>51</v>
      </c>
      <c r="B98" s="5">
        <v>0.70833333333333337</v>
      </c>
      <c r="C98" s="6">
        <v>0.44</v>
      </c>
    </row>
    <row r="99" spans="1:3" x14ac:dyDescent="0.25">
      <c r="A99" s="4" t="s">
        <v>51</v>
      </c>
      <c r="B99" s="5">
        <v>0.75</v>
      </c>
      <c r="C99" s="6">
        <v>0.26</v>
      </c>
    </row>
    <row r="100" spans="1:3" x14ac:dyDescent="0.25">
      <c r="A100" s="4" t="s">
        <v>51</v>
      </c>
      <c r="B100" s="5">
        <v>0.79166666666666663</v>
      </c>
      <c r="C100" s="6">
        <v>0.21</v>
      </c>
    </row>
    <row r="101" spans="1:3" x14ac:dyDescent="0.25">
      <c r="A101" s="4" t="s">
        <v>51</v>
      </c>
      <c r="B101" s="5">
        <v>0.83333333333333337</v>
      </c>
      <c r="C101" s="6">
        <v>0.15</v>
      </c>
    </row>
    <row r="102" spans="1:3" x14ac:dyDescent="0.25">
      <c r="A102" s="4" t="s">
        <v>51</v>
      </c>
      <c r="B102" s="5">
        <v>0.875</v>
      </c>
      <c r="C102" s="6">
        <v>0.17</v>
      </c>
    </row>
    <row r="103" spans="1:3" x14ac:dyDescent="0.25">
      <c r="A103" s="4" t="s">
        <v>51</v>
      </c>
      <c r="B103" s="5">
        <v>0.91666666666666663</v>
      </c>
      <c r="C103" s="6">
        <v>0.08</v>
      </c>
    </row>
    <row r="104" spans="1:3" x14ac:dyDescent="0.25">
      <c r="A104" s="4" t="s">
        <v>51</v>
      </c>
      <c r="B104" s="5">
        <v>0.95833333333333337</v>
      </c>
      <c r="C104" s="6">
        <v>0.08</v>
      </c>
    </row>
    <row r="105" spans="1:3" x14ac:dyDescent="0.25">
      <c r="A105" s="4" t="s">
        <v>51</v>
      </c>
      <c r="B105" s="5">
        <v>1</v>
      </c>
      <c r="C105" s="6">
        <v>0.05</v>
      </c>
    </row>
  </sheetData>
  <hyperlinks>
    <hyperlink ref="A3" r:id="rId1" xr:uid="{4E0EEBB0-3E13-429A-B97B-1D406A779A6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DF85-AD50-4052-AA83-3D88AD1EFC3D}">
  <sheetPr>
    <tabColor theme="1"/>
  </sheetPr>
  <dimension ref="A1:BJ42"/>
  <sheetViews>
    <sheetView zoomScale="115" zoomScaleNormal="115" workbookViewId="0">
      <selection activeCell="C9" sqref="C9:C10"/>
    </sheetView>
  </sheetViews>
  <sheetFormatPr defaultRowHeight="13.2" x14ac:dyDescent="0.25"/>
  <cols>
    <col min="1" max="1" width="10.09765625" style="39" customWidth="1"/>
    <col min="2" max="2" width="33.59765625" style="39" customWidth="1"/>
    <col min="3" max="3" width="25.5" style="39" customWidth="1"/>
    <col min="4" max="4" width="17.3984375" style="39" customWidth="1"/>
    <col min="5" max="6" width="10.3984375" style="39" customWidth="1"/>
    <col min="7" max="7" width="13.19921875" style="39" customWidth="1"/>
    <col min="8" max="8" width="12.3984375" style="39" customWidth="1"/>
    <col min="9" max="9" width="13.19921875" style="39" customWidth="1"/>
    <col min="10" max="14" width="11.09765625" style="39" customWidth="1"/>
    <col min="15" max="38" width="4.3984375" style="39" customWidth="1"/>
    <col min="39" max="62" width="5.296875" style="39" customWidth="1"/>
    <col min="63" max="16384" width="8.796875" style="39"/>
  </cols>
  <sheetData>
    <row r="1" spans="1:62" ht="22.8" x14ac:dyDescent="0.4">
      <c r="A1" s="38" t="s">
        <v>569</v>
      </c>
    </row>
    <row r="2" spans="1:62" ht="13.8" x14ac:dyDescent="0.25">
      <c r="A2" t="s">
        <v>93</v>
      </c>
    </row>
    <row r="3" spans="1:62" ht="13.8" x14ac:dyDescent="0.25">
      <c r="A3" s="20" t="s">
        <v>95</v>
      </c>
    </row>
    <row r="4" spans="1:62" ht="13.8" x14ac:dyDescent="0.25">
      <c r="A4" s="19">
        <v>45951</v>
      </c>
    </row>
    <row r="6" spans="1:62" ht="13.8" x14ac:dyDescent="0.25">
      <c r="B6" s="131" t="s">
        <v>96</v>
      </c>
    </row>
    <row r="7" spans="1:62" ht="13.8" x14ac:dyDescent="0.25">
      <c r="B7" s="21" t="s">
        <v>97</v>
      </c>
    </row>
    <row r="8" spans="1:62" ht="13.8" x14ac:dyDescent="0.25">
      <c r="B8" s="22" t="s">
        <v>98</v>
      </c>
    </row>
    <row r="9" spans="1:62" x14ac:dyDescent="0.25">
      <c r="B9" s="40" t="s">
        <v>117</v>
      </c>
      <c r="C9" s="132">
        <v>60</v>
      </c>
      <c r="D9" s="40" t="s">
        <v>118</v>
      </c>
    </row>
    <row r="10" spans="1:62" x14ac:dyDescent="0.25">
      <c r="B10" s="40" t="s">
        <v>119</v>
      </c>
      <c r="C10" s="132">
        <v>128</v>
      </c>
      <c r="D10" s="40" t="s">
        <v>118</v>
      </c>
    </row>
    <row r="11" spans="1:62" x14ac:dyDescent="0.25">
      <c r="B11" s="43" t="s">
        <v>120</v>
      </c>
      <c r="C11" s="44">
        <f>C10-C9</f>
        <v>68</v>
      </c>
      <c r="D11" s="40" t="s">
        <v>121</v>
      </c>
    </row>
    <row r="12" spans="1:62" x14ac:dyDescent="0.25">
      <c r="B12" s="40" t="s">
        <v>122</v>
      </c>
      <c r="C12" s="40">
        <f>365-52*2</f>
        <v>261</v>
      </c>
      <c r="D12" s="40" t="s">
        <v>123</v>
      </c>
    </row>
    <row r="13" spans="1:62" x14ac:dyDescent="0.25">
      <c r="B13" s="40" t="s">
        <v>124</v>
      </c>
      <c r="C13" s="40">
        <f>365-C12</f>
        <v>104</v>
      </c>
      <c r="D13" s="40" t="s">
        <v>123</v>
      </c>
    </row>
    <row r="14" spans="1:62" x14ac:dyDescent="0.25">
      <c r="B14" s="40" t="s">
        <v>125</v>
      </c>
      <c r="C14" s="136">
        <v>1</v>
      </c>
      <c r="D14" s="40" t="s">
        <v>126</v>
      </c>
    </row>
    <row r="15" spans="1:62" x14ac:dyDescent="0.25">
      <c r="C15" s="45"/>
      <c r="AM15" s="39" t="s">
        <v>127</v>
      </c>
    </row>
    <row r="16" spans="1:62" ht="17.399999999999999" x14ac:dyDescent="0.3">
      <c r="B16" s="46" t="s">
        <v>128</v>
      </c>
      <c r="O16" s="47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 t="s">
        <v>129</v>
      </c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9"/>
      <c r="AM16" s="47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 t="s">
        <v>129</v>
      </c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9"/>
    </row>
    <row r="17" spans="2:62" ht="26.4" x14ac:dyDescent="0.25">
      <c r="B17" s="50"/>
      <c r="C17" s="50" t="s">
        <v>130</v>
      </c>
      <c r="D17" s="50" t="s">
        <v>131</v>
      </c>
      <c r="E17" s="50" t="s">
        <v>131</v>
      </c>
      <c r="F17" s="50" t="s">
        <v>132</v>
      </c>
      <c r="G17" s="50" t="s">
        <v>133</v>
      </c>
      <c r="H17" s="50"/>
      <c r="I17" s="50"/>
      <c r="J17" s="50" t="s">
        <v>134</v>
      </c>
      <c r="K17" s="50" t="s">
        <v>135</v>
      </c>
      <c r="L17" s="50" t="s">
        <v>136</v>
      </c>
      <c r="M17" s="50" t="s">
        <v>136</v>
      </c>
      <c r="N17" s="50" t="s">
        <v>137</v>
      </c>
      <c r="O17" s="51">
        <v>1</v>
      </c>
      <c r="P17" s="51">
        <v>2</v>
      </c>
      <c r="Q17" s="51">
        <v>3</v>
      </c>
      <c r="R17" s="51">
        <v>4</v>
      </c>
      <c r="S17" s="51">
        <v>5</v>
      </c>
      <c r="T17" s="51">
        <v>6</v>
      </c>
      <c r="U17" s="51">
        <v>7</v>
      </c>
      <c r="V17" s="51">
        <v>8</v>
      </c>
      <c r="W17" s="51">
        <v>9</v>
      </c>
      <c r="X17" s="51">
        <v>10</v>
      </c>
      <c r="Y17" s="51">
        <v>11</v>
      </c>
      <c r="Z17" s="51">
        <v>12</v>
      </c>
      <c r="AA17" s="51">
        <v>13</v>
      </c>
      <c r="AB17" s="51">
        <v>14</v>
      </c>
      <c r="AC17" s="51">
        <v>15</v>
      </c>
      <c r="AD17" s="51">
        <v>16</v>
      </c>
      <c r="AE17" s="51">
        <v>17</v>
      </c>
      <c r="AF17" s="51">
        <v>18</v>
      </c>
      <c r="AG17" s="51">
        <v>19</v>
      </c>
      <c r="AH17" s="51">
        <v>20</v>
      </c>
      <c r="AI17" s="51">
        <v>21</v>
      </c>
      <c r="AJ17" s="51">
        <v>22</v>
      </c>
      <c r="AK17" s="51">
        <v>23</v>
      </c>
      <c r="AL17" s="51">
        <v>24</v>
      </c>
      <c r="AM17" s="51">
        <v>1</v>
      </c>
      <c r="AN17" s="51">
        <v>2</v>
      </c>
      <c r="AO17" s="51">
        <v>3</v>
      </c>
      <c r="AP17" s="51">
        <v>4</v>
      </c>
      <c r="AQ17" s="51">
        <v>5</v>
      </c>
      <c r="AR17" s="51">
        <v>6</v>
      </c>
      <c r="AS17" s="51">
        <v>7</v>
      </c>
      <c r="AT17" s="51">
        <v>8</v>
      </c>
      <c r="AU17" s="51">
        <v>9</v>
      </c>
      <c r="AV17" s="51">
        <v>10</v>
      </c>
      <c r="AW17" s="51">
        <v>11</v>
      </c>
      <c r="AX17" s="51">
        <v>12</v>
      </c>
      <c r="AY17" s="51">
        <v>13</v>
      </c>
      <c r="AZ17" s="51">
        <v>14</v>
      </c>
      <c r="BA17" s="51">
        <v>15</v>
      </c>
      <c r="BB17" s="51">
        <v>16</v>
      </c>
      <c r="BC17" s="51">
        <v>17</v>
      </c>
      <c r="BD17" s="51">
        <v>18</v>
      </c>
      <c r="BE17" s="51">
        <v>19</v>
      </c>
      <c r="BF17" s="51">
        <v>20</v>
      </c>
      <c r="BG17" s="51">
        <v>21</v>
      </c>
      <c r="BH17" s="51">
        <v>22</v>
      </c>
      <c r="BI17" s="51">
        <v>23</v>
      </c>
      <c r="BJ17" s="51">
        <v>24</v>
      </c>
    </row>
    <row r="18" spans="2:62" ht="26.4" x14ac:dyDescent="0.25">
      <c r="B18" s="50"/>
      <c r="C18" s="50" t="s">
        <v>138</v>
      </c>
      <c r="D18" s="50" t="s">
        <v>139</v>
      </c>
      <c r="E18" s="50" t="s">
        <v>140</v>
      </c>
      <c r="F18" s="50" t="s">
        <v>141</v>
      </c>
      <c r="G18" s="50" t="s">
        <v>142</v>
      </c>
      <c r="H18" s="50" t="s">
        <v>143</v>
      </c>
      <c r="I18" s="50" t="s">
        <v>144</v>
      </c>
      <c r="J18" s="50"/>
      <c r="K18" s="50" t="s">
        <v>145</v>
      </c>
      <c r="L18" s="52" t="s">
        <v>116</v>
      </c>
      <c r="M18" s="52" t="s">
        <v>146</v>
      </c>
      <c r="N18" s="52" t="s">
        <v>146</v>
      </c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</row>
    <row r="19" spans="2:62" x14ac:dyDescent="0.25">
      <c r="B19" s="132" t="s">
        <v>211</v>
      </c>
      <c r="C19" s="134">
        <v>25600</v>
      </c>
      <c r="D19" s="54">
        <f>INDEX('Complete Building Method'!$B$3:$B$19,MATCH($B19,'Complete Building Method'!$A$3:$A$19,0))</f>
        <v>40</v>
      </c>
      <c r="E19" s="54">
        <f>1000/D19</f>
        <v>25</v>
      </c>
      <c r="F19" s="44">
        <f>INDEX('Complete Building Method'!$G$3:$G$19,MATCH($B19,'Complete Building Method'!$A$3:$A$19,0))</f>
        <v>0.16200000000000001</v>
      </c>
      <c r="G19" s="55">
        <f>C19/E19*F19/60</f>
        <v>2.7648000000000001</v>
      </c>
      <c r="H19" s="56">
        <f>G19/C19*60</f>
        <v>6.4800000000000005E-3</v>
      </c>
      <c r="I19" s="56">
        <f>G19*500*$C$11/C19</f>
        <v>3.6720000000000006</v>
      </c>
      <c r="J19" s="44" t="str">
        <f>INDEX('Complete Building Method'!$O$3:$O$19,MATCH($B19,'Complete Building Method'!$A$3:$A$19,0))</f>
        <v>School</v>
      </c>
      <c r="K19" s="57">
        <f>SUM(O19:AL19)</f>
        <v>1888.7899999999997</v>
      </c>
      <c r="L19" s="58">
        <f>G19*K19*500*$C$11/1000</f>
        <v>177552.30412799996</v>
      </c>
      <c r="M19" s="59">
        <f>L19/C19</f>
        <v>6.9356368799999988</v>
      </c>
      <c r="N19" s="59">
        <f>M19/$C$14</f>
        <v>6.9356368799999988</v>
      </c>
      <c r="O19" s="60">
        <f>INDEX(Schedules!$E$7:$AB$45,MATCH($J19,Schedules!$B$7:$B$45,0),O$17)*$C$12+AVERAGE(INDEX(Schedules!$E$7:$AB$45,MATCH($J19,Schedules!$B$7:$B$45,0)+1,O$17),INDEX(Schedules!$E$7:$AB$45,MATCH($J19,Schedules!$B$7:$B$45,0)+2,O$17))*$C$13</f>
        <v>16.170000000000002</v>
      </c>
      <c r="P19" s="60">
        <f>INDEX(Schedules!$E$7:$AB$45,MATCH($J19,Schedules!$B$7:$B$45,0),P$17)*$C$12+AVERAGE(INDEX(Schedules!$E$7:$AB$45,MATCH($J19,Schedules!$B$7:$B$45,0)+1,P$17),INDEX(Schedules!$E$7:$AB$45,MATCH($J19,Schedules!$B$7:$B$45,0)+2,P$17))*$C$13</f>
        <v>16.170000000000002</v>
      </c>
      <c r="Q19" s="60">
        <f>INDEX(Schedules!$E$7:$AB$45,MATCH($J19,Schedules!$B$7:$B$45,0),Q$17)*$C$12+AVERAGE(INDEX(Schedules!$E$7:$AB$45,MATCH($J19,Schedules!$B$7:$B$45,0)+1,Q$17),INDEX(Schedules!$E$7:$AB$45,MATCH($J19,Schedules!$B$7:$B$45,0)+2,Q$17))*$C$13</f>
        <v>16.170000000000002</v>
      </c>
      <c r="R19" s="60">
        <f>INDEX(Schedules!$E$7:$AB$45,MATCH($J19,Schedules!$B$7:$B$45,0),R$17)*$C$12+AVERAGE(INDEX(Schedules!$E$7:$AB$45,MATCH($J19,Schedules!$B$7:$B$45,0)+1,R$17),INDEX(Schedules!$E$7:$AB$45,MATCH($J19,Schedules!$B$7:$B$45,0)+2,R$17))*$C$13</f>
        <v>16.170000000000002</v>
      </c>
      <c r="S19" s="60">
        <f>INDEX(Schedules!$E$7:$AB$45,MATCH($J19,Schedules!$B$7:$B$45,0),S$17)*$C$12+AVERAGE(INDEX(Schedules!$E$7:$AB$45,MATCH($J19,Schedules!$B$7:$B$45,0)+1,S$17),INDEX(Schedules!$E$7:$AB$45,MATCH($J19,Schedules!$B$7:$B$45,0)+2,S$17))*$C$13</f>
        <v>16.170000000000002</v>
      </c>
      <c r="T19" s="60">
        <f>INDEX(Schedules!$E$7:$AB$45,MATCH($J19,Schedules!$B$7:$B$45,0),T$17)*$C$12+AVERAGE(INDEX(Schedules!$E$7:$AB$45,MATCH($J19,Schedules!$B$7:$B$45,0)+1,T$17),INDEX(Schedules!$E$7:$AB$45,MATCH($J19,Schedules!$B$7:$B$45,0)+2,T$17))*$C$13</f>
        <v>16.170000000000002</v>
      </c>
      <c r="U19" s="60">
        <f>INDEX(Schedules!$E$7:$AB$45,MATCH($J19,Schedules!$B$7:$B$45,0),U$17)*$C$12+AVERAGE(INDEX(Schedules!$E$7:$AB$45,MATCH($J19,Schedules!$B$7:$B$45,0)+1,U$17),INDEX(Schedules!$E$7:$AB$45,MATCH($J19,Schedules!$B$7:$B$45,0)+2,U$17))*$C$13</f>
        <v>16.170000000000002</v>
      </c>
      <c r="V19" s="60">
        <f>INDEX(Schedules!$E$7:$AB$45,MATCH($J19,Schedules!$B$7:$B$45,0),V$17)*$C$12+AVERAGE(INDEX(Schedules!$E$7:$AB$45,MATCH($J19,Schedules!$B$7:$B$45,0)+1,V$17),INDEX(Schedules!$E$7:$AB$45,MATCH($J19,Schedules!$B$7:$B$45,0)+2,V$17))*$C$13</f>
        <v>29.220000000000002</v>
      </c>
      <c r="W19" s="60">
        <f>INDEX(Schedules!$E$7:$AB$45,MATCH($J19,Schedules!$B$7:$B$45,0),W$17)*$C$12+AVERAGE(INDEX(Schedules!$E$7:$AB$45,MATCH($J19,Schedules!$B$7:$B$45,0)+1,W$17),INDEX(Schedules!$E$7:$AB$45,MATCH($J19,Schedules!$B$7:$B$45,0)+2,W$17))*$C$13</f>
        <v>92.9</v>
      </c>
      <c r="X19" s="60">
        <f>INDEX(Schedules!$E$7:$AB$45,MATCH($J19,Schedules!$B$7:$B$45,0),X$17)*$C$12+AVERAGE(INDEX(Schedules!$E$7:$AB$45,MATCH($J19,Schedules!$B$7:$B$45,0)+1,X$17),INDEX(Schedules!$E$7:$AB$45,MATCH($J19,Schedules!$B$7:$B$45,0)+2,X$17))*$C$13</f>
        <v>161.79999999999998</v>
      </c>
      <c r="Y19" s="60">
        <f>INDEX(Schedules!$E$7:$AB$45,MATCH($J19,Schedules!$B$7:$B$45,0),Y$17)*$C$12+AVERAGE(INDEX(Schedules!$E$7:$AB$45,MATCH($J19,Schedules!$B$7:$B$45,0)+1,Y$17),INDEX(Schedules!$E$7:$AB$45,MATCH($J19,Schedules!$B$7:$B$45,0)+2,Y$17))*$C$13</f>
        <v>169.63</v>
      </c>
      <c r="Z19" s="60">
        <f>INDEX(Schedules!$E$7:$AB$45,MATCH($J19,Schedules!$B$7:$B$45,0),Z$17)*$C$12+AVERAGE(INDEX(Schedules!$E$7:$AB$45,MATCH($J19,Schedules!$B$7:$B$45,0)+1,Z$17),INDEX(Schedules!$E$7:$AB$45,MATCH($J19,Schedules!$B$7:$B$45,0)+2,Z$17))*$C$13</f>
        <v>193.11999999999998</v>
      </c>
      <c r="AA19" s="60">
        <f>INDEX(Schedules!$E$7:$AB$45,MATCH($J19,Schedules!$B$7:$B$45,0),AA$17)*$C$12+AVERAGE(INDEX(Schedules!$E$7:$AB$45,MATCH($J19,Schedules!$B$7:$B$45,0)+1,AA$17),INDEX(Schedules!$E$7:$AB$45,MATCH($J19,Schedules!$B$7:$B$45,0)+2,AA$17))*$C$13</f>
        <v>211.39</v>
      </c>
      <c r="AB19" s="60">
        <f>INDEX(Schedules!$E$7:$AB$45,MATCH($J19,Schedules!$B$7:$B$45,0),AB$17)*$C$12+AVERAGE(INDEX(Schedules!$E$7:$AB$45,MATCH($J19,Schedules!$B$7:$B$45,0)+1,AB$17),INDEX(Schedules!$E$7:$AB$45,MATCH($J19,Schedules!$B$7:$B$45,0)+2,AB$17))*$C$13</f>
        <v>220.79</v>
      </c>
      <c r="AC19" s="60">
        <f>INDEX(Schedules!$E$7:$AB$45,MATCH($J19,Schedules!$B$7:$B$45,0),AC$17)*$C$12+AVERAGE(INDEX(Schedules!$E$7:$AB$45,MATCH($J19,Schedules!$B$7:$B$45,0)+1,AC$17),INDEX(Schedules!$E$7:$AB$45,MATCH($J19,Schedules!$B$7:$B$45,0)+2,AC$17))*$C$13</f>
        <v>162.33000000000001</v>
      </c>
      <c r="AD19" s="60">
        <f>INDEX(Schedules!$E$7:$AB$45,MATCH($J19,Schedules!$B$7:$B$45,0),AD$17)*$C$12+AVERAGE(INDEX(Schedules!$E$7:$AB$45,MATCH($J19,Schedules!$B$7:$B$45,0)+1,AD$17),INDEX(Schedules!$E$7:$AB$45,MATCH($J19,Schedules!$B$7:$B$45,0)+2,AD$17))*$C$13</f>
        <v>172.77</v>
      </c>
      <c r="AE19" s="60">
        <f>INDEX(Schedules!$E$7:$AB$45,MATCH($J19,Schedules!$B$7:$B$45,0),AE$17)*$C$12+AVERAGE(INDEX(Schedules!$E$7:$AB$45,MATCH($J19,Schedules!$B$7:$B$45,0)+1,AE$17),INDEX(Schedules!$E$7:$AB$45,MATCH($J19,Schedules!$B$7:$B$45,0)+2,AE$17))*$C$13</f>
        <v>29.220000000000002</v>
      </c>
      <c r="AF19" s="60">
        <f>INDEX(Schedules!$E$7:$AB$45,MATCH($J19,Schedules!$B$7:$B$45,0),AF$17)*$C$12+AVERAGE(INDEX(Schedules!$E$7:$AB$45,MATCH($J19,Schedules!$B$7:$B$45,0)+1,AF$17),INDEX(Schedules!$E$7:$AB$45,MATCH($J19,Schedules!$B$7:$B$45,0)+2,AF$17))*$C$13</f>
        <v>29.220000000000002</v>
      </c>
      <c r="AG19" s="60">
        <f>INDEX(Schedules!$E$7:$AB$45,MATCH($J19,Schedules!$B$7:$B$45,0),AG$17)*$C$12+AVERAGE(INDEX(Schedules!$E$7:$AB$45,MATCH($J19,Schedules!$B$7:$B$45,0)+1,AG$17),INDEX(Schedules!$E$7:$AB$45,MATCH($J19,Schedules!$B$7:$B$45,0)+2,AG$17))*$C$13</f>
        <v>52.71</v>
      </c>
      <c r="AH19" s="60">
        <f>INDEX(Schedules!$E$7:$AB$45,MATCH($J19,Schedules!$B$7:$B$45,0),AH$17)*$C$12+AVERAGE(INDEX(Schedules!$E$7:$AB$45,MATCH($J19,Schedules!$B$7:$B$45,0)+1,AH$17),INDEX(Schedules!$E$7:$AB$45,MATCH($J19,Schedules!$B$7:$B$45,0)+2,AH$17))*$C$13</f>
        <v>68.37</v>
      </c>
      <c r="AI19" s="60">
        <f>INDEX(Schedules!$E$7:$AB$45,MATCH($J19,Schedules!$B$7:$B$45,0),AI$17)*$C$12+AVERAGE(INDEX(Schedules!$E$7:$AB$45,MATCH($J19,Schedules!$B$7:$B$45,0)+1,AI$17),INDEX(Schedules!$E$7:$AB$45,MATCH($J19,Schedules!$B$7:$B$45,0)+2,AI$17))*$C$13</f>
        <v>60.54</v>
      </c>
      <c r="AJ19" s="60">
        <f>INDEX(Schedules!$E$7:$AB$45,MATCH($J19,Schedules!$B$7:$B$45,0),AJ$17)*$C$12+AVERAGE(INDEX(Schedules!$E$7:$AB$45,MATCH($J19,Schedules!$B$7:$B$45,0)+1,AJ$17),INDEX(Schedules!$E$7:$AB$45,MATCH($J19,Schedules!$B$7:$B$45,0)+2,AJ$17))*$C$13</f>
        <v>60.54</v>
      </c>
      <c r="AK19" s="60">
        <f>INDEX(Schedules!$E$7:$AB$45,MATCH($J19,Schedules!$B$7:$B$45,0),AK$17)*$C$12+AVERAGE(INDEX(Schedules!$E$7:$AB$45,MATCH($J19,Schedules!$B$7:$B$45,0)+1,AK$17),INDEX(Schedules!$E$7:$AB$45,MATCH($J19,Schedules!$B$7:$B$45,0)+2,AK$17))*$C$13</f>
        <v>34.44</v>
      </c>
      <c r="AL19" s="60">
        <f>INDEX(Schedules!$E$7:$AB$45,MATCH($J19,Schedules!$B$7:$B$45,0),AL$17)*$C$12+AVERAGE(INDEX(Schedules!$E$7:$AB$45,MATCH($J19,Schedules!$B$7:$B$45,0)+1,AL$17),INDEX(Schedules!$E$7:$AB$45,MATCH($J19,Schedules!$B$7:$B$45,0)+2,AL$17))*$C$13</f>
        <v>26.61</v>
      </c>
      <c r="AM19" s="60">
        <f>INDEX(Schedules!$E$7:$AB$45,MATCH($J19,Schedules!$B$7:$B$45,0),AM$17)*$C$12+AVERAGE(INDEX(Schedules!$E$7:$AB$45,MATCH($J19,Schedules!$B$7:$B$45,0)+1,AM$17),INDEX(Schedules!$E$7:$AB$45,MATCH($J19,Schedules!$B$7:$B$45,0)+2,AM$17))*$C$13</f>
        <v>16.170000000000002</v>
      </c>
      <c r="AN19" s="60">
        <f>INDEX(Schedules!$E$7:$AB$45,MATCH($J19,Schedules!$B$7:$B$45,0),AN$17)*$C$12+AVERAGE(INDEX(Schedules!$E$7:$AB$45,MATCH($J19,Schedules!$B$7:$B$45,0)+1,AN$17),INDEX(Schedules!$E$7:$AB$45,MATCH($J19,Schedules!$B$7:$B$45,0)+2,AN$17))*$C$13</f>
        <v>16.170000000000002</v>
      </c>
      <c r="AO19" s="60">
        <f>INDEX(Schedules!$E$7:$AB$45,MATCH($J19,Schedules!$B$7:$B$45,0),AO$17)*$C$12+AVERAGE(INDEX(Schedules!$E$7:$AB$45,MATCH($J19,Schedules!$B$7:$B$45,0)+1,AO$17),INDEX(Schedules!$E$7:$AB$45,MATCH($J19,Schedules!$B$7:$B$45,0)+2,AO$17))*$C$13</f>
        <v>16.170000000000002</v>
      </c>
      <c r="AP19" s="60">
        <f>INDEX(Schedules!$E$7:$AB$45,MATCH($J19,Schedules!$B$7:$B$45,0),AP$17)*$C$12+AVERAGE(INDEX(Schedules!$E$7:$AB$45,MATCH($J19,Schedules!$B$7:$B$45,0)+1,AP$17),INDEX(Schedules!$E$7:$AB$45,MATCH($J19,Schedules!$B$7:$B$45,0)+2,AP$17))*$C$13</f>
        <v>16.170000000000002</v>
      </c>
      <c r="AQ19" s="60">
        <f>INDEX(Schedules!$E$7:$AB$45,MATCH($J19,Schedules!$B$7:$B$45,0),AQ$17)*$C$12+AVERAGE(INDEX(Schedules!$E$7:$AB$45,MATCH($J19,Schedules!$B$7:$B$45,0)+1,AQ$17),INDEX(Schedules!$E$7:$AB$45,MATCH($J19,Schedules!$B$7:$B$45,0)+2,AQ$17))*$C$13</f>
        <v>16.170000000000002</v>
      </c>
      <c r="AR19" s="60">
        <f>INDEX(Schedules!$E$7:$AB$45,MATCH($J19,Schedules!$B$7:$B$45,0),AR$17)*$C$12+AVERAGE(INDEX(Schedules!$E$7:$AB$45,MATCH($J19,Schedules!$B$7:$B$45,0)+1,AR$17),INDEX(Schedules!$E$7:$AB$45,MATCH($J19,Schedules!$B$7:$B$45,0)+2,AR$17))*$C$13</f>
        <v>16.170000000000002</v>
      </c>
      <c r="AS19" s="60">
        <f>INDEX(Schedules!$E$7:$AB$45,MATCH($J19,Schedules!$B$7:$B$45,0),AS$17)*$C$12+AVERAGE(INDEX(Schedules!$E$7:$AB$45,MATCH($J19,Schedules!$B$7:$B$45,0)+1,AS$17),INDEX(Schedules!$E$7:$AB$45,MATCH($J19,Schedules!$B$7:$B$45,0)+2,AS$17))*$C$13</f>
        <v>16.170000000000002</v>
      </c>
      <c r="AT19" s="60">
        <f>INDEX(Schedules!$E$7:$AB$45,MATCH($J19,Schedules!$B$7:$B$45,0),AT$17)*$C$12+AVERAGE(INDEX(Schedules!$E$7:$AB$45,MATCH($J19,Schedules!$B$7:$B$45,0)+1,AT$17),INDEX(Schedules!$E$7:$AB$45,MATCH($J19,Schedules!$B$7:$B$45,0)+2,AT$17))*$C$13</f>
        <v>29.220000000000002</v>
      </c>
      <c r="AU19" s="60">
        <f>INDEX(Schedules!$E$7:$AB$45,MATCH($J19,Schedules!$B$7:$B$45,0),AU$17)*$C$12+AVERAGE(INDEX(Schedules!$E$7:$AB$45,MATCH($J19,Schedules!$B$7:$B$45,0)+1,AU$17),INDEX(Schedules!$E$7:$AB$45,MATCH($J19,Schedules!$B$7:$B$45,0)+2,AU$17))*$C$13</f>
        <v>92.9</v>
      </c>
      <c r="AV19" s="60">
        <f>INDEX(Schedules!$E$7:$AB$45,MATCH($J19,Schedules!$B$7:$B$45,0),AV$17)*$C$12+AVERAGE(INDEX(Schedules!$E$7:$AB$45,MATCH($J19,Schedules!$B$7:$B$45,0)+1,AV$17),INDEX(Schedules!$E$7:$AB$45,MATCH($J19,Schedules!$B$7:$B$45,0)+2,AV$17))*$C$13</f>
        <v>161.79999999999998</v>
      </c>
      <c r="AW19" s="60">
        <f>INDEX(Schedules!$E$7:$AB$45,MATCH($J19,Schedules!$B$7:$B$45,0),AW$17)*$C$12+AVERAGE(INDEX(Schedules!$E$7:$AB$45,MATCH($J19,Schedules!$B$7:$B$45,0)+1,AW$17),INDEX(Schedules!$E$7:$AB$45,MATCH($J19,Schedules!$B$7:$B$45,0)+2,AW$17))*$C$13</f>
        <v>169.63</v>
      </c>
      <c r="AX19" s="60">
        <f>INDEX(Schedules!$E$7:$AB$45,MATCH($J19,Schedules!$B$7:$B$45,0),AX$17)*$C$12+AVERAGE(INDEX(Schedules!$E$7:$AB$45,MATCH($J19,Schedules!$B$7:$B$45,0)+1,AX$17),INDEX(Schedules!$E$7:$AB$45,MATCH($J19,Schedules!$B$7:$B$45,0)+2,AX$17))*$C$13</f>
        <v>193.11999999999998</v>
      </c>
      <c r="AY19" s="60">
        <f>INDEX(Schedules!$E$7:$AB$45,MATCH($J19,Schedules!$B$7:$B$45,0),AY$17)*$C$12+AVERAGE(INDEX(Schedules!$E$7:$AB$45,MATCH($J19,Schedules!$B$7:$B$45,0)+1,AY$17),INDEX(Schedules!$E$7:$AB$45,MATCH($J19,Schedules!$B$7:$B$45,0)+2,AY$17))*$C$13</f>
        <v>211.39</v>
      </c>
      <c r="AZ19" s="60">
        <f>INDEX(Schedules!$E$7:$AB$45,MATCH($J19,Schedules!$B$7:$B$45,0),AZ$17)*$C$12+AVERAGE(INDEX(Schedules!$E$7:$AB$45,MATCH($J19,Schedules!$B$7:$B$45,0)+1,AZ$17),INDEX(Schedules!$E$7:$AB$45,MATCH($J19,Schedules!$B$7:$B$45,0)+2,AZ$17))*$C$13</f>
        <v>220.79</v>
      </c>
      <c r="BA19" s="60">
        <f>INDEX(Schedules!$E$7:$AB$45,MATCH($J19,Schedules!$B$7:$B$45,0),BA$17)*$C$12+AVERAGE(INDEX(Schedules!$E$7:$AB$45,MATCH($J19,Schedules!$B$7:$B$45,0)+1,BA$17),INDEX(Schedules!$E$7:$AB$45,MATCH($J19,Schedules!$B$7:$B$45,0)+2,BA$17))*$C$13</f>
        <v>162.33000000000001</v>
      </c>
      <c r="BB19" s="60">
        <f>INDEX(Schedules!$E$7:$AB$45,MATCH($J19,Schedules!$B$7:$B$45,0),BB$17)*$C$12+AVERAGE(INDEX(Schedules!$E$7:$AB$45,MATCH($J19,Schedules!$B$7:$B$45,0)+1,BB$17),INDEX(Schedules!$E$7:$AB$45,MATCH($J19,Schedules!$B$7:$B$45,0)+2,BB$17))*$C$13</f>
        <v>172.77</v>
      </c>
      <c r="BC19" s="60">
        <f>INDEX(Schedules!$E$7:$AB$45,MATCH($J19,Schedules!$B$7:$B$45,0),BC$17)*$C$12+AVERAGE(INDEX(Schedules!$E$7:$AB$45,MATCH($J19,Schedules!$B$7:$B$45,0)+1,BC$17),INDEX(Schedules!$E$7:$AB$45,MATCH($J19,Schedules!$B$7:$B$45,0)+2,BC$17))*$C$13</f>
        <v>29.220000000000002</v>
      </c>
      <c r="BD19" s="60">
        <f>INDEX(Schedules!$E$7:$AB$45,MATCH($J19,Schedules!$B$7:$B$45,0),BD$17)*$C$12+AVERAGE(INDEX(Schedules!$E$7:$AB$45,MATCH($J19,Schedules!$B$7:$B$45,0)+1,BD$17),INDEX(Schedules!$E$7:$AB$45,MATCH($J19,Schedules!$B$7:$B$45,0)+2,BD$17))*$C$13</f>
        <v>29.220000000000002</v>
      </c>
      <c r="BE19" s="60">
        <f>INDEX(Schedules!$E$7:$AB$45,MATCH($J19,Schedules!$B$7:$B$45,0),BE$17)*$C$12+AVERAGE(INDEX(Schedules!$E$7:$AB$45,MATCH($J19,Schedules!$B$7:$B$45,0)+1,BE$17),INDEX(Schedules!$E$7:$AB$45,MATCH($J19,Schedules!$B$7:$B$45,0)+2,BE$17))*$C$13</f>
        <v>52.71</v>
      </c>
      <c r="BF19" s="60">
        <f>INDEX(Schedules!$E$7:$AB$45,MATCH($J19,Schedules!$B$7:$B$45,0),BF$17)*$C$12+AVERAGE(INDEX(Schedules!$E$7:$AB$45,MATCH($J19,Schedules!$B$7:$B$45,0)+1,BF$17),INDEX(Schedules!$E$7:$AB$45,MATCH($J19,Schedules!$B$7:$B$45,0)+2,BF$17))*$C$13</f>
        <v>68.37</v>
      </c>
      <c r="BG19" s="60">
        <f>INDEX(Schedules!$E$7:$AB$45,MATCH($J19,Schedules!$B$7:$B$45,0),BG$17)*$C$12+AVERAGE(INDEX(Schedules!$E$7:$AB$45,MATCH($J19,Schedules!$B$7:$B$45,0)+1,BG$17),INDEX(Schedules!$E$7:$AB$45,MATCH($J19,Schedules!$B$7:$B$45,0)+2,BG$17))*$C$13</f>
        <v>60.54</v>
      </c>
      <c r="BH19" s="60">
        <f>INDEX(Schedules!$E$7:$AB$45,MATCH($J19,Schedules!$B$7:$B$45,0),BH$17)*$C$12+AVERAGE(INDEX(Schedules!$E$7:$AB$45,MATCH($J19,Schedules!$B$7:$B$45,0)+1,BH$17),INDEX(Schedules!$E$7:$AB$45,MATCH($J19,Schedules!$B$7:$B$45,0)+2,BH$17))*$C$13</f>
        <v>60.54</v>
      </c>
      <c r="BI19" s="60">
        <f>INDEX(Schedules!$E$7:$AB$45,MATCH($J19,Schedules!$B$7:$B$45,0),BI$17)*$C$12+AVERAGE(INDEX(Schedules!$E$7:$AB$45,MATCH($J19,Schedules!$B$7:$B$45,0)+1,BI$17),INDEX(Schedules!$E$7:$AB$45,MATCH($J19,Schedules!$B$7:$B$45,0)+2,BI$17))*$C$13</f>
        <v>34.44</v>
      </c>
      <c r="BJ19" s="60">
        <f>INDEX(Schedules!$E$7:$AB$45,MATCH($J19,Schedules!$B$7:$B$45,0),BJ$17)*$C$12+AVERAGE(INDEX(Schedules!$E$7:$AB$45,MATCH($J19,Schedules!$B$7:$B$45,0)+1,BJ$17),INDEX(Schedules!$E$7:$AB$45,MATCH($J19,Schedules!$B$7:$B$45,0)+2,BJ$17))*$C$13</f>
        <v>26.61</v>
      </c>
    </row>
    <row r="20" spans="2:62" x14ac:dyDescent="0.25">
      <c r="N20" s="41"/>
    </row>
    <row r="21" spans="2:62" x14ac:dyDescent="0.25">
      <c r="B21" s="84" t="s">
        <v>568</v>
      </c>
      <c r="E21" s="144">
        <f>C19/E19</f>
        <v>1024</v>
      </c>
      <c r="F21" s="145" t="s">
        <v>148</v>
      </c>
      <c r="O21" s="39">
        <f>O19/100*$F$19</f>
        <v>2.6195400000000004E-2</v>
      </c>
      <c r="P21" s="39">
        <f t="shared" ref="P21:AL21" si="0">P19/100*$F$19</f>
        <v>2.6195400000000004E-2</v>
      </c>
      <c r="Q21" s="39">
        <f t="shared" si="0"/>
        <v>2.6195400000000004E-2</v>
      </c>
      <c r="R21" s="39">
        <f t="shared" si="0"/>
        <v>2.6195400000000004E-2</v>
      </c>
      <c r="S21" s="39">
        <f t="shared" si="0"/>
        <v>2.6195400000000004E-2</v>
      </c>
      <c r="T21" s="39">
        <f t="shared" si="0"/>
        <v>2.6195400000000004E-2</v>
      </c>
      <c r="U21" s="39">
        <f t="shared" si="0"/>
        <v>2.6195400000000004E-2</v>
      </c>
      <c r="V21" s="39">
        <f t="shared" si="0"/>
        <v>4.7336400000000001E-2</v>
      </c>
      <c r="W21" s="39">
        <f t="shared" si="0"/>
        <v>0.15049800000000002</v>
      </c>
      <c r="X21" s="39">
        <f t="shared" si="0"/>
        <v>0.26211600000000002</v>
      </c>
      <c r="Y21" s="39">
        <f t="shared" si="0"/>
        <v>0.27480060000000001</v>
      </c>
      <c r="Z21" s="39">
        <f t="shared" si="0"/>
        <v>0.31285439999999998</v>
      </c>
      <c r="AA21" s="39">
        <f t="shared" si="0"/>
        <v>0.34245179999999997</v>
      </c>
      <c r="AB21" s="39">
        <f t="shared" si="0"/>
        <v>0.35767979999999999</v>
      </c>
      <c r="AC21" s="39">
        <f t="shared" si="0"/>
        <v>0.26297460000000006</v>
      </c>
      <c r="AD21" s="39">
        <f t="shared" si="0"/>
        <v>0.27988740000000001</v>
      </c>
      <c r="AE21" s="39">
        <f t="shared" si="0"/>
        <v>4.7336400000000001E-2</v>
      </c>
      <c r="AF21" s="39">
        <f t="shared" si="0"/>
        <v>4.7336400000000001E-2</v>
      </c>
      <c r="AG21" s="39">
        <f t="shared" si="0"/>
        <v>8.5390199999999999E-2</v>
      </c>
      <c r="AH21" s="39">
        <f t="shared" si="0"/>
        <v>0.11075940000000002</v>
      </c>
      <c r="AI21" s="39">
        <f t="shared" si="0"/>
        <v>9.807479999999999E-2</v>
      </c>
      <c r="AJ21" s="39">
        <f t="shared" si="0"/>
        <v>9.807479999999999E-2</v>
      </c>
      <c r="AK21" s="39">
        <f t="shared" si="0"/>
        <v>5.5792799999999997E-2</v>
      </c>
      <c r="AL21" s="39">
        <f t="shared" si="0"/>
        <v>4.3108199999999999E-2</v>
      </c>
    </row>
    <row r="22" spans="2:62" x14ac:dyDescent="0.25">
      <c r="E22" s="137"/>
      <c r="F22" s="137"/>
    </row>
    <row r="23" spans="2:62" ht="17.399999999999999" x14ac:dyDescent="0.3">
      <c r="B23" s="46" t="s">
        <v>149</v>
      </c>
      <c r="C23" s="46"/>
    </row>
    <row r="24" spans="2:62" ht="26.4" x14ac:dyDescent="0.25">
      <c r="B24" s="63" t="s">
        <v>563</v>
      </c>
      <c r="C24" s="63" t="s">
        <v>564</v>
      </c>
      <c r="D24" s="50" t="s">
        <v>130</v>
      </c>
      <c r="E24" s="50" t="s">
        <v>131</v>
      </c>
      <c r="F24" s="50" t="s">
        <v>131</v>
      </c>
      <c r="G24" s="50" t="s">
        <v>132</v>
      </c>
      <c r="I24" s="50" t="s">
        <v>133</v>
      </c>
      <c r="J24" s="50" t="s">
        <v>134</v>
      </c>
      <c r="K24" s="50" t="s">
        <v>135</v>
      </c>
      <c r="L24" s="50" t="s">
        <v>136</v>
      </c>
      <c r="M24" s="50" t="s">
        <v>136</v>
      </c>
      <c r="N24" s="50" t="s">
        <v>137</v>
      </c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2:62" ht="26.4" x14ac:dyDescent="0.25">
      <c r="B25" s="63" t="s">
        <v>565</v>
      </c>
      <c r="C25" s="63" t="s">
        <v>566</v>
      </c>
      <c r="D25" s="63" t="s">
        <v>567</v>
      </c>
      <c r="E25" s="50" t="s">
        <v>139</v>
      </c>
      <c r="F25" s="50" t="s">
        <v>140</v>
      </c>
      <c r="G25" s="50" t="s">
        <v>141</v>
      </c>
      <c r="I25" s="50" t="s">
        <v>142</v>
      </c>
      <c r="J25" s="50"/>
      <c r="K25" s="50" t="s">
        <v>145</v>
      </c>
      <c r="L25" s="52" t="s">
        <v>116</v>
      </c>
      <c r="M25" s="52" t="s">
        <v>146</v>
      </c>
      <c r="N25" s="52" t="s">
        <v>146</v>
      </c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</row>
    <row r="26" spans="2:62" x14ac:dyDescent="0.25">
      <c r="B26" s="132" t="s">
        <v>150</v>
      </c>
      <c r="C26" s="64" t="s">
        <v>151</v>
      </c>
      <c r="D26" s="64">
        <v>10587.73</v>
      </c>
      <c r="E26" s="65">
        <f>INDEX('Area Category Method'!$B$3:$B$59,MATCH($B26,'Area Category Method'!$A$3:$A$59,0))</f>
        <v>33.333333333333336</v>
      </c>
      <c r="F26" s="54">
        <f t="shared" ref="F26:F40" si="1">1000/E26</f>
        <v>29.999999999999996</v>
      </c>
      <c r="G26" s="54">
        <f>INDEX('Area Category Method'!$G$3:$G$59,MATCH($B26,'Area Category Method'!$A$3:$A$59,0))</f>
        <v>0.18</v>
      </c>
      <c r="I26" s="66">
        <f>D26/F26*G26/60</f>
        <v>1.058773</v>
      </c>
      <c r="J26" s="54" t="str">
        <f>INDEX('Area Category Method'!$S$3:$S$59,MATCH($B26,'Area Category Method'!$A$3:$A$59,0))</f>
        <v>Retail</v>
      </c>
      <c r="K26" s="54">
        <f>SUM(O26:AL26)</f>
        <v>2325.3000000000002</v>
      </c>
      <c r="L26" s="44">
        <f t="shared" ref="L26:L29" si="2">I26*K26*500*$C$11/1000</f>
        <v>83706.805134599999</v>
      </c>
      <c r="M26" s="59">
        <f>L26/D26</f>
        <v>7.9060199999999998</v>
      </c>
      <c r="N26" s="59">
        <f t="shared" ref="N26:N40" si="3">M26/$C$14</f>
        <v>7.9060199999999998</v>
      </c>
      <c r="O26" s="60">
        <f>INDEX(Schedules!$E$7:$AB$45,MATCH($J26,Schedules!$B$7:$B$45,0),O$17)*$C$12+AVERAGE(INDEX(Schedules!$E$7:$AB$45,MATCH($J26,Schedules!$B$7:$B$45,0)+1,O$17),INDEX(Schedules!$E$7:$AB$45,MATCH($J26,Schedules!$B$7:$B$45,0)+2,O$17))*$C$13</f>
        <v>19.799999999999997</v>
      </c>
      <c r="P26" s="60">
        <f>INDEX(Schedules!$E$7:$AB$45,MATCH($J26,Schedules!$B$7:$B$45,0),P$17)*$C$12+AVERAGE(INDEX(Schedules!$E$7:$AB$45,MATCH($J26,Schedules!$B$7:$B$45,0)+1,P$17),INDEX(Schedules!$E$7:$AB$45,MATCH($J26,Schedules!$B$7:$B$45,0)+2,P$17))*$C$13</f>
        <v>21.89</v>
      </c>
      <c r="Q26" s="60">
        <f>INDEX(Schedules!$E$7:$AB$45,MATCH($J26,Schedules!$B$7:$B$45,0),Q$17)*$C$12+AVERAGE(INDEX(Schedules!$E$7:$AB$45,MATCH($J26,Schedules!$B$7:$B$45,0)+1,Q$17),INDEX(Schedules!$E$7:$AB$45,MATCH($J26,Schedules!$B$7:$B$45,0)+2,Q$17))*$C$13</f>
        <v>20.85</v>
      </c>
      <c r="R26" s="60">
        <f>INDEX(Schedules!$E$7:$AB$45,MATCH($J26,Schedules!$B$7:$B$45,0),R$17)*$C$12+AVERAGE(INDEX(Schedules!$E$7:$AB$45,MATCH($J26,Schedules!$B$7:$B$45,0)+1,R$17),INDEX(Schedules!$E$7:$AB$45,MATCH($J26,Schedules!$B$7:$B$45,0)+2,R$17))*$C$13</f>
        <v>16.68</v>
      </c>
      <c r="S26" s="60">
        <f>INDEX(Schedules!$E$7:$AB$45,MATCH($J26,Schedules!$B$7:$B$45,0),S$17)*$C$12+AVERAGE(INDEX(Schedules!$E$7:$AB$45,MATCH($J26,Schedules!$B$7:$B$45,0)+1,S$17),INDEX(Schedules!$E$7:$AB$45,MATCH($J26,Schedules!$B$7:$B$45,0)+2,S$17))*$C$13</f>
        <v>16.68</v>
      </c>
      <c r="T26" s="60">
        <f>INDEX(Schedules!$E$7:$AB$45,MATCH($J26,Schedules!$B$7:$B$45,0),T$17)*$C$12+AVERAGE(INDEX(Schedules!$E$7:$AB$45,MATCH($J26,Schedules!$B$7:$B$45,0)+1,T$17),INDEX(Schedules!$E$7:$AB$45,MATCH($J26,Schedules!$B$7:$B$45,0)+2,T$17))*$C$13</f>
        <v>16.68</v>
      </c>
      <c r="U26" s="60">
        <f>INDEX(Schedules!$E$7:$AB$45,MATCH($J26,Schedules!$B$7:$B$45,0),U$17)*$C$12+AVERAGE(INDEX(Schedules!$E$7:$AB$45,MATCH($J26,Schedules!$B$7:$B$45,0)+1,U$17),INDEX(Schedules!$E$7:$AB$45,MATCH($J26,Schedules!$B$7:$B$45,0)+2,U$17))*$C$13</f>
        <v>17.72</v>
      </c>
      <c r="V26" s="60">
        <f>INDEX(Schedules!$E$7:$AB$45,MATCH($J26,Schedules!$B$7:$B$45,0),V$17)*$C$12+AVERAGE(INDEX(Schedules!$E$7:$AB$45,MATCH($J26,Schedules!$B$7:$B$45,0)+1,V$17),INDEX(Schedules!$E$7:$AB$45,MATCH($J26,Schedules!$B$7:$B$45,0)+2,V$17))*$C$13</f>
        <v>54.75</v>
      </c>
      <c r="W26" s="60">
        <f>INDEX(Schedules!$E$7:$AB$45,MATCH($J26,Schedules!$B$7:$B$45,0),W$17)*$C$12+AVERAGE(INDEX(Schedules!$E$7:$AB$45,MATCH($J26,Schedules!$B$7:$B$45,0)+1,W$17),INDEX(Schedules!$E$7:$AB$45,MATCH($J26,Schedules!$B$7:$B$45,0)+2,W$17))*$C$13</f>
        <v>78.75</v>
      </c>
      <c r="X26" s="60">
        <f>INDEX(Schedules!$E$7:$AB$45,MATCH($J26,Schedules!$B$7:$B$45,0),X$17)*$C$12+AVERAGE(INDEX(Schedules!$E$7:$AB$45,MATCH($J26,Schedules!$B$7:$B$45,0)+1,X$17),INDEX(Schedules!$E$7:$AB$45,MATCH($J26,Schedules!$B$7:$B$45,0)+2,X$17))*$C$13</f>
        <v>104.84</v>
      </c>
      <c r="Y26" s="60">
        <f>INDEX(Schedules!$E$7:$AB$45,MATCH($J26,Schedules!$B$7:$B$45,0),Y$17)*$C$12+AVERAGE(INDEX(Schedules!$E$7:$AB$45,MATCH($J26,Schedules!$B$7:$B$45,0)+1,Y$17),INDEX(Schedules!$E$7:$AB$45,MATCH($J26,Schedules!$B$7:$B$45,0)+2,Y$17))*$C$13</f>
        <v>143.93</v>
      </c>
      <c r="Z26" s="60">
        <f>INDEX(Schedules!$E$7:$AB$45,MATCH($J26,Schedules!$B$7:$B$45,0),Z$17)*$C$12+AVERAGE(INDEX(Schedules!$E$7:$AB$45,MATCH($J26,Schedules!$B$7:$B$45,0)+1,Z$17),INDEX(Schedules!$E$7:$AB$45,MATCH($J26,Schedules!$B$7:$B$45,0)+2,Z$17))*$C$13</f>
        <v>192.96999999999997</v>
      </c>
      <c r="AA26" s="60">
        <f>INDEX(Schedules!$E$7:$AB$45,MATCH($J26,Schedules!$B$7:$B$45,0),AA$17)*$C$12+AVERAGE(INDEX(Schedules!$E$7:$AB$45,MATCH($J26,Schedules!$B$7:$B$45,0)+1,AA$17),INDEX(Schedules!$E$7:$AB$45,MATCH($J26,Schedules!$B$7:$B$45,0)+2,AA$17))*$C$13</f>
        <v>211.22</v>
      </c>
      <c r="AB26" s="60">
        <f>INDEX(Schedules!$E$7:$AB$45,MATCH($J26,Schedules!$B$7:$B$45,0),AB$17)*$C$12+AVERAGE(INDEX(Schedules!$E$7:$AB$45,MATCH($J26,Schedules!$B$7:$B$45,0)+1,AB$17),INDEX(Schedules!$E$7:$AB$45,MATCH($J26,Schedules!$B$7:$B$45,0)+2,AB$17))*$C$13</f>
        <v>209.13</v>
      </c>
      <c r="AC26" s="60">
        <f>INDEX(Schedules!$E$7:$AB$45,MATCH($J26,Schedules!$B$7:$B$45,0),AC$17)*$C$12+AVERAGE(INDEX(Schedules!$E$7:$AB$45,MATCH($J26,Schedules!$B$7:$B$45,0)+1,AC$17),INDEX(Schedules!$E$7:$AB$45,MATCH($J26,Schedules!$B$7:$B$45,0)+2,AC$17))*$C$13</f>
        <v>173.66</v>
      </c>
      <c r="AD26" s="60">
        <f>INDEX(Schedules!$E$7:$AB$45,MATCH($J26,Schedules!$B$7:$B$45,0),AD$17)*$C$12+AVERAGE(INDEX(Schedules!$E$7:$AB$45,MATCH($J26,Schedules!$B$7:$B$45,0)+1,AD$17),INDEX(Schedules!$E$7:$AB$45,MATCH($J26,Schedules!$B$7:$B$45,0)+2,AD$17))*$C$13</f>
        <v>160.61000000000001</v>
      </c>
      <c r="AE26" s="60">
        <f>INDEX(Schedules!$E$7:$AB$45,MATCH($J26,Schedules!$B$7:$B$45,0),AE$17)*$C$12+AVERAGE(INDEX(Schedules!$E$7:$AB$45,MATCH($J26,Schedules!$B$7:$B$45,0)+1,AE$17),INDEX(Schedules!$E$7:$AB$45,MATCH($J26,Schedules!$B$7:$B$45,0)+2,AE$17))*$C$13</f>
        <v>163.74</v>
      </c>
      <c r="AF26" s="60">
        <f>INDEX(Schedules!$E$7:$AB$45,MATCH($J26,Schedules!$B$7:$B$45,0),AF$17)*$C$12+AVERAGE(INDEX(Schedules!$E$7:$AB$45,MATCH($J26,Schedules!$B$7:$B$45,0)+1,AF$17),INDEX(Schedules!$E$7:$AB$45,MATCH($J26,Schedules!$B$7:$B$45,0)+2,AF$17))*$C$13</f>
        <v>164.26999999999998</v>
      </c>
      <c r="AG26" s="60">
        <f>INDEX(Schedules!$E$7:$AB$45,MATCH($J26,Schedules!$B$7:$B$45,0),AG$17)*$C$12+AVERAGE(INDEX(Schedules!$E$7:$AB$45,MATCH($J26,Schedules!$B$7:$B$45,0)+1,AG$17),INDEX(Schedules!$E$7:$AB$45,MATCH($J26,Schedules!$B$7:$B$45,0)+2,AG$17))*$C$13</f>
        <v>145.5</v>
      </c>
      <c r="AH26" s="60">
        <f>INDEX(Schedules!$E$7:$AB$45,MATCH($J26,Schedules!$B$7:$B$45,0),AH$17)*$C$12+AVERAGE(INDEX(Schedules!$E$7:$AB$45,MATCH($J26,Schedules!$B$7:$B$45,0)+1,AH$17),INDEX(Schedules!$E$7:$AB$45,MATCH($J26,Schedules!$B$7:$B$45,0)+2,AH$17))*$C$13</f>
        <v>121.5</v>
      </c>
      <c r="AI26" s="60">
        <f>INDEX(Schedules!$E$7:$AB$45,MATCH($J26,Schedules!$B$7:$B$45,0),AI$17)*$C$12+AVERAGE(INDEX(Schedules!$E$7:$AB$45,MATCH($J26,Schedules!$B$7:$B$45,0)+1,AI$17),INDEX(Schedules!$E$7:$AB$45,MATCH($J26,Schedules!$B$7:$B$45,0)+2,AI$17))*$C$13</f>
        <v>112.13000000000001</v>
      </c>
      <c r="AJ26" s="60">
        <f>INDEX(Schedules!$E$7:$AB$45,MATCH($J26,Schedules!$B$7:$B$45,0),AJ$17)*$C$12+AVERAGE(INDEX(Schedules!$E$7:$AB$45,MATCH($J26,Schedules!$B$7:$B$45,0)+1,AJ$17),INDEX(Schedules!$E$7:$AB$45,MATCH($J26,Schedules!$B$7:$B$45,0)+2,AJ$17))*$C$13</f>
        <v>79.790000000000006</v>
      </c>
      <c r="AK26" s="60">
        <f>INDEX(Schedules!$E$7:$AB$45,MATCH($J26,Schedules!$B$7:$B$45,0),AK$17)*$C$12+AVERAGE(INDEX(Schedules!$E$7:$AB$45,MATCH($J26,Schedules!$B$7:$B$45,0)+1,AK$17),INDEX(Schedules!$E$7:$AB$45,MATCH($J26,Schedules!$B$7:$B$45,0)+2,AK$17))*$C$13</f>
        <v>47.45</v>
      </c>
      <c r="AL26" s="60">
        <f>INDEX(Schedules!$E$7:$AB$45,MATCH($J26,Schedules!$B$7:$B$45,0),AL$17)*$C$12+AVERAGE(INDEX(Schedules!$E$7:$AB$45,MATCH($J26,Schedules!$B$7:$B$45,0)+1,AL$17),INDEX(Schedules!$E$7:$AB$45,MATCH($J26,Schedules!$B$7:$B$45,0)+2,AL$17))*$C$13</f>
        <v>30.759999999999998</v>
      </c>
    </row>
    <row r="27" spans="2:62" x14ac:dyDescent="0.25">
      <c r="B27" s="132" t="s">
        <v>156</v>
      </c>
      <c r="C27" s="64" t="s">
        <v>153</v>
      </c>
      <c r="D27" s="64">
        <v>10587.73</v>
      </c>
      <c r="E27" s="65">
        <f>INDEX('Area Category Method'!$B$3:$B$59,MATCH($B27,'Area Category Method'!$A$3:$A$59,0))</f>
        <v>10</v>
      </c>
      <c r="F27" s="54">
        <f t="shared" si="1"/>
        <v>100</v>
      </c>
      <c r="G27" s="54">
        <f>INDEX('Area Category Method'!$G$3:$G$59,MATCH($B27,'Area Category Method'!$A$3:$A$59,0))</f>
        <v>0</v>
      </c>
      <c r="I27" s="66">
        <f>D27/F27*G27/60</f>
        <v>0</v>
      </c>
      <c r="J27" s="54" t="str">
        <f>INDEX('Area Category Method'!$S$3:$S$59,MATCH($B27,'Area Category Method'!$A$3:$A$59,0))</f>
        <v>Office</v>
      </c>
      <c r="K27" s="54">
        <f>SUM(O27:AL27)</f>
        <v>1593.45</v>
      </c>
      <c r="L27" s="44">
        <f t="shared" si="2"/>
        <v>0</v>
      </c>
      <c r="M27" s="59">
        <f>L27/D27</f>
        <v>0</v>
      </c>
      <c r="N27" s="59">
        <f t="shared" si="3"/>
        <v>0</v>
      </c>
      <c r="O27" s="60">
        <f>INDEX(Schedules!$E$7:$AB$45,MATCH($J27,Schedules!$B$7:$B$45,0),O$17)*$C$12+AVERAGE(INDEX(Schedules!$E$7:$AB$45,MATCH($J27,Schedules!$B$7:$B$45,0)+1,O$17),INDEX(Schedules!$E$7:$AB$45,MATCH($J27,Schedules!$B$7:$B$45,0)+2,O$17))*$C$13</f>
        <v>17.73</v>
      </c>
      <c r="P27" s="60">
        <f>INDEX(Schedules!$E$7:$AB$45,MATCH($J27,Schedules!$B$7:$B$45,0),P$17)*$C$12+AVERAGE(INDEX(Schedules!$E$7:$AB$45,MATCH($J27,Schedules!$B$7:$B$45,0)+1,P$17),INDEX(Schedules!$E$7:$AB$45,MATCH($J27,Schedules!$B$7:$B$45,0)+2,P$17))*$C$13</f>
        <v>17.73</v>
      </c>
      <c r="Q27" s="60">
        <f>INDEX(Schedules!$E$7:$AB$45,MATCH($J27,Schedules!$B$7:$B$45,0),Q$17)*$C$12+AVERAGE(INDEX(Schedules!$E$7:$AB$45,MATCH($J27,Schedules!$B$7:$B$45,0)+1,Q$17),INDEX(Schedules!$E$7:$AB$45,MATCH($J27,Schedules!$B$7:$B$45,0)+2,Q$17))*$C$13</f>
        <v>17.73</v>
      </c>
      <c r="R27" s="60">
        <f>INDEX(Schedules!$E$7:$AB$45,MATCH($J27,Schedules!$B$7:$B$45,0),R$17)*$C$12+AVERAGE(INDEX(Schedules!$E$7:$AB$45,MATCH($J27,Schedules!$B$7:$B$45,0)+1,R$17),INDEX(Schedules!$E$7:$AB$45,MATCH($J27,Schedules!$B$7:$B$45,0)+2,R$17))*$C$13</f>
        <v>17.73</v>
      </c>
      <c r="S27" s="60">
        <f>INDEX(Schedules!$E$7:$AB$45,MATCH($J27,Schedules!$B$7:$B$45,0),S$17)*$C$12+AVERAGE(INDEX(Schedules!$E$7:$AB$45,MATCH($J27,Schedules!$B$7:$B$45,0)+1,S$17),INDEX(Schedules!$E$7:$AB$45,MATCH($J27,Schedules!$B$7:$B$45,0)+2,S$17))*$C$13</f>
        <v>17.73</v>
      </c>
      <c r="T27" s="60">
        <f>INDEX(Schedules!$E$7:$AB$45,MATCH($J27,Schedules!$B$7:$B$45,0),T$17)*$C$12+AVERAGE(INDEX(Schedules!$E$7:$AB$45,MATCH($J27,Schedules!$B$7:$B$45,0)+1,T$17),INDEX(Schedules!$E$7:$AB$45,MATCH($J27,Schedules!$B$7:$B$45,0)+2,T$17))*$C$13</f>
        <v>28.68</v>
      </c>
      <c r="U27" s="60">
        <f>INDEX(Schedules!$E$7:$AB$45,MATCH($J27,Schedules!$B$7:$B$45,0),U$17)*$C$12+AVERAGE(INDEX(Schedules!$E$7:$AB$45,MATCH($J27,Schedules!$B$7:$B$45,0)+1,U$17),INDEX(Schedules!$E$7:$AB$45,MATCH($J27,Schedules!$B$7:$B$45,0)+2,U$17))*$C$13</f>
        <v>23.990000000000002</v>
      </c>
      <c r="V27" s="60">
        <f>INDEX(Schedules!$E$7:$AB$45,MATCH($J27,Schedules!$B$7:$B$45,0),V$17)*$C$12+AVERAGE(INDEX(Schedules!$E$7:$AB$45,MATCH($J27,Schedules!$B$7:$B$45,0)+1,V$17),INDEX(Schedules!$E$7:$AB$45,MATCH($J27,Schedules!$B$7:$B$45,0)+2,V$17))*$C$13</f>
        <v>57.39</v>
      </c>
      <c r="W27" s="60">
        <f>INDEX(Schedules!$E$7:$AB$45,MATCH($J27,Schedules!$B$7:$B$45,0),W$17)*$C$12+AVERAGE(INDEX(Schedules!$E$7:$AB$45,MATCH($J27,Schedules!$B$7:$B$45,0)+1,W$17),INDEX(Schedules!$E$7:$AB$45,MATCH($J27,Schedules!$B$7:$B$45,0)+2,W$17))*$C$13</f>
        <v>101.22999999999999</v>
      </c>
      <c r="X27" s="60">
        <f>INDEX(Schedules!$E$7:$AB$45,MATCH($J27,Schedules!$B$7:$B$45,0),X$17)*$C$12+AVERAGE(INDEX(Schedules!$E$7:$AB$45,MATCH($J27,Schedules!$B$7:$B$45,0)+1,X$17),INDEX(Schedules!$E$7:$AB$45,MATCH($J27,Schedules!$B$7:$B$45,0)+2,X$17))*$C$13</f>
        <v>112.18</v>
      </c>
      <c r="Y27" s="60">
        <f>INDEX(Schedules!$E$7:$AB$45,MATCH($J27,Schedules!$B$7:$B$45,0),Y$17)*$C$12+AVERAGE(INDEX(Schedules!$E$7:$AB$45,MATCH($J27,Schedules!$B$7:$B$45,0)+1,Y$17),INDEX(Schedules!$E$7:$AB$45,MATCH($J27,Schedules!$B$7:$B$45,0)+2,Y$17))*$C$13</f>
        <v>113.75</v>
      </c>
      <c r="Z27" s="60">
        <f>INDEX(Schedules!$E$7:$AB$45,MATCH($J27,Schedules!$B$7:$B$45,0),Z$17)*$C$12+AVERAGE(INDEX(Schedules!$E$7:$AB$45,MATCH($J27,Schedules!$B$7:$B$45,0)+1,Z$17),INDEX(Schedules!$E$7:$AB$45,MATCH($J27,Schedules!$B$7:$B$45,0)+2,Z$17))*$C$13</f>
        <v>137.75</v>
      </c>
      <c r="AA27" s="60">
        <f>INDEX(Schedules!$E$7:$AB$45,MATCH($J27,Schedules!$B$7:$B$45,0),AA$17)*$C$12+AVERAGE(INDEX(Schedules!$E$7:$AB$45,MATCH($J27,Schedules!$B$7:$B$45,0)+1,AA$17),INDEX(Schedules!$E$7:$AB$45,MATCH($J27,Schedules!$B$7:$B$45,0)+2,AA$17))*$C$13</f>
        <v>162.29</v>
      </c>
      <c r="AB27" s="60">
        <f>INDEX(Schedules!$E$7:$AB$45,MATCH($J27,Schedules!$B$7:$B$45,0),AB$17)*$C$12+AVERAGE(INDEX(Schedules!$E$7:$AB$45,MATCH($J27,Schedules!$B$7:$B$45,0)+1,AB$17),INDEX(Schedules!$E$7:$AB$45,MATCH($J27,Schedules!$B$7:$B$45,0)+2,AB$17))*$C$13</f>
        <v>155.5</v>
      </c>
      <c r="AC27" s="60">
        <f>INDEX(Schedules!$E$7:$AB$45,MATCH($J27,Schedules!$B$7:$B$45,0),AC$17)*$C$12+AVERAGE(INDEX(Schedules!$E$7:$AB$45,MATCH($J27,Schedules!$B$7:$B$45,0)+1,AC$17),INDEX(Schedules!$E$7:$AB$45,MATCH($J27,Schedules!$B$7:$B$45,0)+2,AC$17))*$C$13</f>
        <v>99.660000000000011</v>
      </c>
      <c r="AD27" s="60">
        <f>INDEX(Schedules!$E$7:$AB$45,MATCH($J27,Schedules!$B$7:$B$45,0),AD$17)*$C$12+AVERAGE(INDEX(Schedules!$E$7:$AB$45,MATCH($J27,Schedules!$B$7:$B$45,0)+1,AD$17),INDEX(Schedules!$E$7:$AB$45,MATCH($J27,Schedules!$B$7:$B$45,0)+2,AD$17))*$C$13</f>
        <v>94.450000000000017</v>
      </c>
      <c r="AE27" s="60">
        <f>INDEX(Schedules!$E$7:$AB$45,MATCH($J27,Schedules!$B$7:$B$45,0),AE$17)*$C$12+AVERAGE(INDEX(Schedules!$E$7:$AB$45,MATCH($J27,Schedules!$B$7:$B$45,0)+1,AE$17),INDEX(Schedules!$E$7:$AB$45,MATCH($J27,Schedules!$B$7:$B$45,0)+2,AE$17))*$C$13</f>
        <v>124.2</v>
      </c>
      <c r="AF27" s="60">
        <f>INDEX(Schedules!$E$7:$AB$45,MATCH($J27,Schedules!$B$7:$B$45,0),AF$17)*$C$12+AVERAGE(INDEX(Schedules!$E$7:$AB$45,MATCH($J27,Schedules!$B$7:$B$45,0)+1,AF$17),INDEX(Schedules!$E$7:$AB$45,MATCH($J27,Schedules!$B$7:$B$45,0)+2,AF$17))*$C$13</f>
        <v>73.58</v>
      </c>
      <c r="AG27" s="60">
        <f>INDEX(Schedules!$E$7:$AB$45,MATCH($J27,Schedules!$B$7:$B$45,0),AG$17)*$C$12+AVERAGE(INDEX(Schedules!$E$7:$AB$45,MATCH($J27,Schedules!$B$7:$B$45,0)+1,AG$17),INDEX(Schedules!$E$7:$AB$45,MATCH($J27,Schedules!$B$7:$B$45,0)+2,AG$17))*$C$13</f>
        <v>60.529999999999994</v>
      </c>
      <c r="AH27" s="60">
        <f>INDEX(Schedules!$E$7:$AB$45,MATCH($J27,Schedules!$B$7:$B$45,0),AH$17)*$C$12+AVERAGE(INDEX(Schedules!$E$7:$AB$45,MATCH($J27,Schedules!$B$7:$B$45,0)+1,AH$17),INDEX(Schedules!$E$7:$AB$45,MATCH($J27,Schedules!$B$7:$B$45,0)+2,AH$17))*$C$13</f>
        <v>44.87</v>
      </c>
      <c r="AI27" s="60">
        <f>INDEX(Schedules!$E$7:$AB$45,MATCH($J27,Schedules!$B$7:$B$45,0),AI$17)*$C$12+AVERAGE(INDEX(Schedules!$E$7:$AB$45,MATCH($J27,Schedules!$B$7:$B$45,0)+1,AI$17),INDEX(Schedules!$E$7:$AB$45,MATCH($J27,Schedules!$B$7:$B$45,0)+2,AI$17))*$C$13</f>
        <v>50.09</v>
      </c>
      <c r="AJ27" s="60">
        <f>INDEX(Schedules!$E$7:$AB$45,MATCH($J27,Schedules!$B$7:$B$45,0),AJ$17)*$C$12+AVERAGE(INDEX(Schedules!$E$7:$AB$45,MATCH($J27,Schedules!$B$7:$B$45,0)+1,AJ$17),INDEX(Schedules!$E$7:$AB$45,MATCH($J27,Schedules!$B$7:$B$45,0)+2,AJ$17))*$C$13</f>
        <v>29.2</v>
      </c>
      <c r="AK27" s="60">
        <f>INDEX(Schedules!$E$7:$AB$45,MATCH($J27,Schedules!$B$7:$B$45,0),AK$17)*$C$12+AVERAGE(INDEX(Schedules!$E$7:$AB$45,MATCH($J27,Schedules!$B$7:$B$45,0)+1,AK$17),INDEX(Schedules!$E$7:$AB$45,MATCH($J27,Schedules!$B$7:$B$45,0)+2,AK$17))*$C$13</f>
        <v>17.73</v>
      </c>
      <c r="AL27" s="60">
        <f>INDEX(Schedules!$E$7:$AB$45,MATCH($J27,Schedules!$B$7:$B$45,0),AL$17)*$C$12+AVERAGE(INDEX(Schedules!$E$7:$AB$45,MATCH($J27,Schedules!$B$7:$B$45,0)+1,AL$17),INDEX(Schedules!$E$7:$AB$45,MATCH($J27,Schedules!$B$7:$B$45,0)+2,AL$17))*$C$13</f>
        <v>17.73</v>
      </c>
    </row>
    <row r="28" spans="2:62" x14ac:dyDescent="0.25">
      <c r="B28" s="132" t="s">
        <v>154</v>
      </c>
      <c r="C28" s="64" t="s">
        <v>155</v>
      </c>
      <c r="D28" s="64">
        <v>10587.73</v>
      </c>
      <c r="E28" s="65">
        <f>INDEX('Area Category Method'!$B$3:$B$59,MATCH($B28,'Area Category Method'!$A$3:$A$59,0))</f>
        <v>66.666666666666671</v>
      </c>
      <c r="F28" s="54">
        <f t="shared" si="1"/>
        <v>14.999999999999998</v>
      </c>
      <c r="G28" s="54">
        <f>INDEX('Area Category Method'!$G$3:$G$59,MATCH($B28,'Area Category Method'!$A$3:$A$59,0))</f>
        <v>0.09</v>
      </c>
      <c r="I28" s="66">
        <f>D28/F28*G28/60</f>
        <v>1.058773</v>
      </c>
      <c r="J28" s="54" t="str">
        <f>INDEX('Area Category Method'!$S$3:$S$59,MATCH($B28,'Area Category Method'!$A$3:$A$59,0))</f>
        <v>Assembly</v>
      </c>
      <c r="K28" s="54">
        <f>SUM(O28:AL28)</f>
        <v>307.50000000000006</v>
      </c>
      <c r="L28" s="44">
        <f t="shared" si="2"/>
        <v>11069.471715000001</v>
      </c>
      <c r="M28" s="59">
        <f>L28/D28</f>
        <v>1.0455000000000001</v>
      </c>
      <c r="N28" s="59">
        <f t="shared" si="3"/>
        <v>1.0455000000000001</v>
      </c>
      <c r="O28" s="60">
        <f>INDEX(Schedules!$E$7:$AB$45,MATCH($J28,Schedules!$B$7:$B$45,0),O$17)*$C$12+AVERAGE(INDEX(Schedules!$E$7:$AB$45,MATCH($J28,Schedules!$B$7:$B$45,0)+1,O$17),INDEX(Schedules!$E$7:$AB$45,MATCH($J28,Schedules!$B$7:$B$45,0)+2,O$17))*$C$13</f>
        <v>0</v>
      </c>
      <c r="P28" s="60">
        <f>INDEX(Schedules!$E$7:$AB$45,MATCH($J28,Schedules!$B$7:$B$45,0),P$17)*$C$12+AVERAGE(INDEX(Schedules!$E$7:$AB$45,MATCH($J28,Schedules!$B$7:$B$45,0)+1,P$17),INDEX(Schedules!$E$7:$AB$45,MATCH($J28,Schedules!$B$7:$B$45,0)+2,P$17))*$C$13</f>
        <v>0</v>
      </c>
      <c r="Q28" s="60">
        <f>INDEX(Schedules!$E$7:$AB$45,MATCH($J28,Schedules!$B$7:$B$45,0),Q$17)*$C$12+AVERAGE(INDEX(Schedules!$E$7:$AB$45,MATCH($J28,Schedules!$B$7:$B$45,0)+1,Q$17),INDEX(Schedules!$E$7:$AB$45,MATCH($J28,Schedules!$B$7:$B$45,0)+2,Q$17))*$C$13</f>
        <v>0</v>
      </c>
      <c r="R28" s="60">
        <f>INDEX(Schedules!$E$7:$AB$45,MATCH($J28,Schedules!$B$7:$B$45,0),R$17)*$C$12+AVERAGE(INDEX(Schedules!$E$7:$AB$45,MATCH($J28,Schedules!$B$7:$B$45,0)+1,R$17),INDEX(Schedules!$E$7:$AB$45,MATCH($J28,Schedules!$B$7:$B$45,0)+2,R$17))*$C$13</f>
        <v>0</v>
      </c>
      <c r="S28" s="60">
        <f>INDEX(Schedules!$E$7:$AB$45,MATCH($J28,Schedules!$B$7:$B$45,0),S$17)*$C$12+AVERAGE(INDEX(Schedules!$E$7:$AB$45,MATCH($J28,Schedules!$B$7:$B$45,0)+1,S$17),INDEX(Schedules!$E$7:$AB$45,MATCH($J28,Schedules!$B$7:$B$45,0)+2,S$17))*$C$13</f>
        <v>0</v>
      </c>
      <c r="T28" s="60">
        <f>INDEX(Schedules!$E$7:$AB$45,MATCH($J28,Schedules!$B$7:$B$45,0),T$17)*$C$12+AVERAGE(INDEX(Schedules!$E$7:$AB$45,MATCH($J28,Schedules!$B$7:$B$45,0)+1,T$17),INDEX(Schedules!$E$7:$AB$45,MATCH($J28,Schedules!$B$7:$B$45,0)+2,T$17))*$C$13</f>
        <v>0</v>
      </c>
      <c r="U28" s="60">
        <f>INDEX(Schedules!$E$7:$AB$45,MATCH($J28,Schedules!$B$7:$B$45,0),U$17)*$C$12+AVERAGE(INDEX(Schedules!$E$7:$AB$45,MATCH($J28,Schedules!$B$7:$B$45,0)+1,U$17),INDEX(Schedules!$E$7:$AB$45,MATCH($J28,Schedules!$B$7:$B$45,0)+2,U$17))*$C$13</f>
        <v>0</v>
      </c>
      <c r="V28" s="60">
        <f>INDEX(Schedules!$E$7:$AB$45,MATCH($J28,Schedules!$B$7:$B$45,0),V$17)*$C$12+AVERAGE(INDEX(Schedules!$E$7:$AB$45,MATCH($J28,Schedules!$B$7:$B$45,0)+1,V$17),INDEX(Schedules!$E$7:$AB$45,MATCH($J28,Schedules!$B$7:$B$45,0)+2,V$17))*$C$13</f>
        <v>0</v>
      </c>
      <c r="W28" s="60">
        <f>INDEX(Schedules!$E$7:$AB$45,MATCH($J28,Schedules!$B$7:$B$45,0),W$17)*$C$12+AVERAGE(INDEX(Schedules!$E$7:$AB$45,MATCH($J28,Schedules!$B$7:$B$45,0)+1,W$17),INDEX(Schedules!$E$7:$AB$45,MATCH($J28,Schedules!$B$7:$B$45,0)+2,W$17))*$C$13</f>
        <v>0</v>
      </c>
      <c r="X28" s="60">
        <f>INDEX(Schedules!$E$7:$AB$45,MATCH($J28,Schedules!$B$7:$B$45,0),X$17)*$C$12+AVERAGE(INDEX(Schedules!$E$7:$AB$45,MATCH($J28,Schedules!$B$7:$B$45,0)+1,X$17),INDEX(Schedules!$E$7:$AB$45,MATCH($J28,Schedules!$B$7:$B$45,0)+2,X$17))*$C$13</f>
        <v>18.25</v>
      </c>
      <c r="Y28" s="60">
        <f>INDEX(Schedules!$E$7:$AB$45,MATCH($J28,Schedules!$B$7:$B$45,0),Y$17)*$C$12+AVERAGE(INDEX(Schedules!$E$7:$AB$45,MATCH($J28,Schedules!$B$7:$B$45,0)+1,Y$17),INDEX(Schedules!$E$7:$AB$45,MATCH($J28,Schedules!$B$7:$B$45,0)+2,Y$17))*$C$13</f>
        <v>18.25</v>
      </c>
      <c r="Z28" s="60">
        <f>INDEX(Schedules!$E$7:$AB$45,MATCH($J28,Schedules!$B$7:$B$45,0),Z$17)*$C$12+AVERAGE(INDEX(Schedules!$E$7:$AB$45,MATCH($J28,Schedules!$B$7:$B$45,0)+1,Z$17),INDEX(Schedules!$E$7:$AB$45,MATCH($J28,Schedules!$B$7:$B$45,0)+2,Z$17))*$C$13</f>
        <v>106.94999999999999</v>
      </c>
      <c r="AA28" s="60">
        <f>INDEX(Schedules!$E$7:$AB$45,MATCH($J28,Schedules!$B$7:$B$45,0),AA$17)*$C$12+AVERAGE(INDEX(Schedules!$E$7:$AB$45,MATCH($J28,Schedules!$B$7:$B$45,0)+1,AA$17),INDEX(Schedules!$E$7:$AB$45,MATCH($J28,Schedules!$B$7:$B$45,0)+2,AA$17))*$C$13</f>
        <v>13.05</v>
      </c>
      <c r="AB28" s="60">
        <f>INDEX(Schedules!$E$7:$AB$45,MATCH($J28,Schedules!$B$7:$B$45,0),AB$17)*$C$12+AVERAGE(INDEX(Schedules!$E$7:$AB$45,MATCH($J28,Schedules!$B$7:$B$45,0)+1,AB$17),INDEX(Schedules!$E$7:$AB$45,MATCH($J28,Schedules!$B$7:$B$45,0)+2,AB$17))*$C$13</f>
        <v>13.05</v>
      </c>
      <c r="AC28" s="60">
        <f>INDEX(Schedules!$E$7:$AB$45,MATCH($J28,Schedules!$B$7:$B$45,0),AC$17)*$C$12+AVERAGE(INDEX(Schedules!$E$7:$AB$45,MATCH($J28,Schedules!$B$7:$B$45,0)+1,AC$17),INDEX(Schedules!$E$7:$AB$45,MATCH($J28,Schedules!$B$7:$B$45,0)+2,AC$17))*$C$13</f>
        <v>13.05</v>
      </c>
      <c r="AD28" s="60">
        <f>INDEX(Schedules!$E$7:$AB$45,MATCH($J28,Schedules!$B$7:$B$45,0),AD$17)*$C$12+AVERAGE(INDEX(Schedules!$E$7:$AB$45,MATCH($J28,Schedules!$B$7:$B$45,0)+1,AD$17),INDEX(Schedules!$E$7:$AB$45,MATCH($J28,Schedules!$B$7:$B$45,0)+2,AD$17))*$C$13</f>
        <v>13.05</v>
      </c>
      <c r="AE28" s="60">
        <f>INDEX(Schedules!$E$7:$AB$45,MATCH($J28,Schedules!$B$7:$B$45,0),AE$17)*$C$12+AVERAGE(INDEX(Schedules!$E$7:$AB$45,MATCH($J28,Schedules!$B$7:$B$45,0)+1,AE$17),INDEX(Schedules!$E$7:$AB$45,MATCH($J28,Schedules!$B$7:$B$45,0)+2,AE$17))*$C$13</f>
        <v>13.05</v>
      </c>
      <c r="AF28" s="60">
        <f>INDEX(Schedules!$E$7:$AB$45,MATCH($J28,Schedules!$B$7:$B$45,0),AF$17)*$C$12+AVERAGE(INDEX(Schedules!$E$7:$AB$45,MATCH($J28,Schedules!$B$7:$B$45,0)+1,AF$17),INDEX(Schedules!$E$7:$AB$45,MATCH($J28,Schedules!$B$7:$B$45,0)+2,AF$17))*$C$13</f>
        <v>0</v>
      </c>
      <c r="AG28" s="60">
        <f>INDEX(Schedules!$E$7:$AB$45,MATCH($J28,Schedules!$B$7:$B$45,0),AG$17)*$C$12+AVERAGE(INDEX(Schedules!$E$7:$AB$45,MATCH($J28,Schedules!$B$7:$B$45,0)+1,AG$17),INDEX(Schedules!$E$7:$AB$45,MATCH($J28,Schedules!$B$7:$B$45,0)+2,AG$17))*$C$13</f>
        <v>0</v>
      </c>
      <c r="AH28" s="60">
        <f>INDEX(Schedules!$E$7:$AB$45,MATCH($J28,Schedules!$B$7:$B$45,0),AH$17)*$C$12+AVERAGE(INDEX(Schedules!$E$7:$AB$45,MATCH($J28,Schedules!$B$7:$B$45,0)+1,AH$17),INDEX(Schedules!$E$7:$AB$45,MATCH($J28,Schedules!$B$7:$B$45,0)+2,AH$17))*$C$13</f>
        <v>67.600000000000009</v>
      </c>
      <c r="AI28" s="60">
        <f>INDEX(Schedules!$E$7:$AB$45,MATCH($J28,Schedules!$B$7:$B$45,0),AI$17)*$C$12+AVERAGE(INDEX(Schedules!$E$7:$AB$45,MATCH($J28,Schedules!$B$7:$B$45,0)+1,AI$17),INDEX(Schedules!$E$7:$AB$45,MATCH($J28,Schedules!$B$7:$B$45,0)+2,AI$17))*$C$13</f>
        <v>31.2</v>
      </c>
      <c r="AJ28" s="60">
        <f>INDEX(Schedules!$E$7:$AB$45,MATCH($J28,Schedules!$B$7:$B$45,0),AJ$17)*$C$12+AVERAGE(INDEX(Schedules!$E$7:$AB$45,MATCH($J28,Schedules!$B$7:$B$45,0)+1,AJ$17),INDEX(Schedules!$E$7:$AB$45,MATCH($J28,Schedules!$B$7:$B$45,0)+2,AJ$17))*$C$13</f>
        <v>0</v>
      </c>
      <c r="AK28" s="60">
        <f>INDEX(Schedules!$E$7:$AB$45,MATCH($J28,Schedules!$B$7:$B$45,0),AK$17)*$C$12+AVERAGE(INDEX(Schedules!$E$7:$AB$45,MATCH($J28,Schedules!$B$7:$B$45,0)+1,AK$17),INDEX(Schedules!$E$7:$AB$45,MATCH($J28,Schedules!$B$7:$B$45,0)+2,AK$17))*$C$13</f>
        <v>0</v>
      </c>
      <c r="AL28" s="60">
        <f>INDEX(Schedules!$E$7:$AB$45,MATCH($J28,Schedules!$B$7:$B$45,0),AL$17)*$C$12+AVERAGE(INDEX(Schedules!$E$7:$AB$45,MATCH($J28,Schedules!$B$7:$B$45,0)+1,AL$17),INDEX(Schedules!$E$7:$AB$45,MATCH($J28,Schedules!$B$7:$B$45,0)+2,AL$17))*$C$13</f>
        <v>0</v>
      </c>
    </row>
    <row r="29" spans="2:62" x14ac:dyDescent="0.25">
      <c r="B29" s="132" t="s">
        <v>254</v>
      </c>
      <c r="C29" s="64" t="s">
        <v>157</v>
      </c>
      <c r="D29" s="64">
        <v>2231.9899999999998</v>
      </c>
      <c r="E29" s="65">
        <f>INDEX('Area Category Method'!$B$3:$B$59,MATCH($B29,'Area Category Method'!$A$3:$A$59,0))</f>
        <v>3</v>
      </c>
      <c r="F29" s="54">
        <f t="shared" si="1"/>
        <v>333.33333333333331</v>
      </c>
      <c r="G29" s="54">
        <f>INDEX('Area Category Method'!$G$3:$G$59,MATCH($B29,'Area Category Method'!$A$3:$A$59,0))</f>
        <v>0.18</v>
      </c>
      <c r="I29" s="66">
        <f>D29/F29*G29/60</f>
        <v>2.0087909999999997E-2</v>
      </c>
      <c r="J29" s="54" t="str">
        <f>INDEX('Area Category Method'!$S$3:$S$59,MATCH($B29,'Area Category Method'!$A$3:$A$59,0))</f>
        <v>Data</v>
      </c>
      <c r="K29" s="54">
        <f>SUM(O29:AL29)</f>
        <v>2166.2999999999997</v>
      </c>
      <c r="L29" s="44">
        <f t="shared" si="2"/>
        <v>1479.5589407219993</v>
      </c>
      <c r="M29" s="59">
        <f>L29/D29</f>
        <v>0.6628877999999998</v>
      </c>
      <c r="N29" s="59">
        <f t="shared" si="3"/>
        <v>0.6628877999999998</v>
      </c>
      <c r="O29" s="60">
        <f>INDEX(Schedules!$E$7:$AB$45,MATCH($J29,Schedules!$B$7:$B$45,0),O$17)*$C$12+AVERAGE(INDEX(Schedules!$E$7:$AB$45,MATCH($J29,Schedules!$B$7:$B$45,0)+1,O$17),INDEX(Schedules!$E$7:$AB$45,MATCH($J29,Schedules!$B$7:$B$45,0)+2,O$17))*$C$13</f>
        <v>0</v>
      </c>
      <c r="P29" s="60">
        <f>INDEX(Schedules!$E$7:$AB$45,MATCH($J29,Schedules!$B$7:$B$45,0),P$17)*$C$12+AVERAGE(INDEX(Schedules!$E$7:$AB$45,MATCH($J29,Schedules!$B$7:$B$45,0)+1,P$17),INDEX(Schedules!$E$7:$AB$45,MATCH($J29,Schedules!$B$7:$B$45,0)+2,P$17))*$C$13</f>
        <v>0</v>
      </c>
      <c r="Q29" s="60">
        <f>INDEX(Schedules!$E$7:$AB$45,MATCH($J29,Schedules!$B$7:$B$45,0),Q$17)*$C$12+AVERAGE(INDEX(Schedules!$E$7:$AB$45,MATCH($J29,Schedules!$B$7:$B$45,0)+1,Q$17),INDEX(Schedules!$E$7:$AB$45,MATCH($J29,Schedules!$B$7:$B$45,0)+2,Q$17))*$C$13</f>
        <v>0</v>
      </c>
      <c r="R29" s="60">
        <f>INDEX(Schedules!$E$7:$AB$45,MATCH($J29,Schedules!$B$7:$B$45,0),R$17)*$C$12+AVERAGE(INDEX(Schedules!$E$7:$AB$45,MATCH($J29,Schedules!$B$7:$B$45,0)+1,R$17),INDEX(Schedules!$E$7:$AB$45,MATCH($J29,Schedules!$B$7:$B$45,0)+2,R$17))*$C$13</f>
        <v>0</v>
      </c>
      <c r="S29" s="60">
        <f>INDEX(Schedules!$E$7:$AB$45,MATCH($J29,Schedules!$B$7:$B$45,0),S$17)*$C$12+AVERAGE(INDEX(Schedules!$E$7:$AB$45,MATCH($J29,Schedules!$B$7:$B$45,0)+1,S$17),INDEX(Schedules!$E$7:$AB$45,MATCH($J29,Schedules!$B$7:$B$45,0)+2,S$17))*$C$13</f>
        <v>26.1</v>
      </c>
      <c r="T29" s="60">
        <f>INDEX(Schedules!$E$7:$AB$45,MATCH($J29,Schedules!$B$7:$B$45,0),T$17)*$C$12+AVERAGE(INDEX(Schedules!$E$7:$AB$45,MATCH($J29,Schedules!$B$7:$B$45,0)+1,T$17),INDEX(Schedules!$E$7:$AB$45,MATCH($J29,Schedules!$B$7:$B$45,0)+2,T$17))*$C$13</f>
        <v>26.1</v>
      </c>
      <c r="U29" s="60">
        <f>INDEX(Schedules!$E$7:$AB$45,MATCH($J29,Schedules!$B$7:$B$45,0),U$17)*$C$12+AVERAGE(INDEX(Schedules!$E$7:$AB$45,MATCH($J29,Schedules!$B$7:$B$45,0)+1,U$17),INDEX(Schedules!$E$7:$AB$45,MATCH($J29,Schedules!$B$7:$B$45,0)+2,U$17))*$C$13</f>
        <v>130.5</v>
      </c>
      <c r="V29" s="60">
        <f>INDEX(Schedules!$E$7:$AB$45,MATCH($J29,Schedules!$B$7:$B$45,0),V$17)*$C$12+AVERAGE(INDEX(Schedules!$E$7:$AB$45,MATCH($J29,Schedules!$B$7:$B$45,0)+1,V$17),INDEX(Schedules!$E$7:$AB$45,MATCH($J29,Schedules!$B$7:$B$45,0)+2,V$17))*$C$13</f>
        <v>130.5</v>
      </c>
      <c r="W29" s="60">
        <f>INDEX(Schedules!$E$7:$AB$45,MATCH($J29,Schedules!$B$7:$B$45,0),W$17)*$C$12+AVERAGE(INDEX(Schedules!$E$7:$AB$45,MATCH($J29,Schedules!$B$7:$B$45,0)+1,W$17),INDEX(Schedules!$E$7:$AB$45,MATCH($J29,Schedules!$B$7:$B$45,0)+2,W$17))*$C$13</f>
        <v>130.5</v>
      </c>
      <c r="X29" s="60">
        <f>INDEX(Schedules!$E$7:$AB$45,MATCH($J29,Schedules!$B$7:$B$45,0),X$17)*$C$12+AVERAGE(INDEX(Schedules!$E$7:$AB$45,MATCH($J29,Schedules!$B$7:$B$45,0)+1,X$17),INDEX(Schedules!$E$7:$AB$45,MATCH($J29,Schedules!$B$7:$B$45,0)+2,X$17))*$C$13</f>
        <v>130.5</v>
      </c>
      <c r="Y29" s="60">
        <f>INDEX(Schedules!$E$7:$AB$45,MATCH($J29,Schedules!$B$7:$B$45,0),Y$17)*$C$12+AVERAGE(INDEX(Schedules!$E$7:$AB$45,MATCH($J29,Schedules!$B$7:$B$45,0)+1,Y$17),INDEX(Schedules!$E$7:$AB$45,MATCH($J29,Schedules!$B$7:$B$45,0)+2,Y$17))*$C$13</f>
        <v>182.7</v>
      </c>
      <c r="Z29" s="60">
        <f>INDEX(Schedules!$E$7:$AB$45,MATCH($J29,Schedules!$B$7:$B$45,0),Z$17)*$C$12+AVERAGE(INDEX(Schedules!$E$7:$AB$45,MATCH($J29,Schedules!$B$7:$B$45,0)+1,Z$17),INDEX(Schedules!$E$7:$AB$45,MATCH($J29,Schedules!$B$7:$B$45,0)+2,Z$17))*$C$13</f>
        <v>234.9</v>
      </c>
      <c r="AA29" s="60">
        <f>INDEX(Schedules!$E$7:$AB$45,MATCH($J29,Schedules!$B$7:$B$45,0),AA$17)*$C$12+AVERAGE(INDEX(Schedules!$E$7:$AB$45,MATCH($J29,Schedules!$B$7:$B$45,0)+1,AA$17),INDEX(Schedules!$E$7:$AB$45,MATCH($J29,Schedules!$B$7:$B$45,0)+2,AA$17))*$C$13</f>
        <v>234.9</v>
      </c>
      <c r="AB29" s="60">
        <f>INDEX(Schedules!$E$7:$AB$45,MATCH($J29,Schedules!$B$7:$B$45,0),AB$17)*$C$12+AVERAGE(INDEX(Schedules!$E$7:$AB$45,MATCH($J29,Schedules!$B$7:$B$45,0)+1,AB$17),INDEX(Schedules!$E$7:$AB$45,MATCH($J29,Schedules!$B$7:$B$45,0)+2,AB$17))*$C$13</f>
        <v>130.5</v>
      </c>
      <c r="AC29" s="60">
        <f>INDEX(Schedules!$E$7:$AB$45,MATCH($J29,Schedules!$B$7:$B$45,0),AC$17)*$C$12+AVERAGE(INDEX(Schedules!$E$7:$AB$45,MATCH($J29,Schedules!$B$7:$B$45,0)+1,AC$17),INDEX(Schedules!$E$7:$AB$45,MATCH($J29,Schedules!$B$7:$B$45,0)+2,AC$17))*$C$13</f>
        <v>130.5</v>
      </c>
      <c r="AD29" s="60">
        <f>INDEX(Schedules!$E$7:$AB$45,MATCH($J29,Schedules!$B$7:$B$45,0),AD$17)*$C$12+AVERAGE(INDEX(Schedules!$E$7:$AB$45,MATCH($J29,Schedules!$B$7:$B$45,0)+1,AD$17),INDEX(Schedules!$E$7:$AB$45,MATCH($J29,Schedules!$B$7:$B$45,0)+2,AD$17))*$C$13</f>
        <v>182.7</v>
      </c>
      <c r="AE29" s="60">
        <f>INDEX(Schedules!$E$7:$AB$45,MATCH($J29,Schedules!$B$7:$B$45,0),AE$17)*$C$12+AVERAGE(INDEX(Schedules!$E$7:$AB$45,MATCH($J29,Schedules!$B$7:$B$45,0)+1,AE$17),INDEX(Schedules!$E$7:$AB$45,MATCH($J29,Schedules!$B$7:$B$45,0)+2,AE$17))*$C$13</f>
        <v>130.5</v>
      </c>
      <c r="AF29" s="60">
        <f>INDEX(Schedules!$E$7:$AB$45,MATCH($J29,Schedules!$B$7:$B$45,0),AF$17)*$C$12+AVERAGE(INDEX(Schedules!$E$7:$AB$45,MATCH($J29,Schedules!$B$7:$B$45,0)+1,AF$17),INDEX(Schedules!$E$7:$AB$45,MATCH($J29,Schedules!$B$7:$B$45,0)+2,AF$17))*$C$13</f>
        <v>130.5</v>
      </c>
      <c r="AG29" s="60">
        <f>INDEX(Schedules!$E$7:$AB$45,MATCH($J29,Schedules!$B$7:$B$45,0),AG$17)*$C$12+AVERAGE(INDEX(Schedules!$E$7:$AB$45,MATCH($J29,Schedules!$B$7:$B$45,0)+1,AG$17),INDEX(Schedules!$E$7:$AB$45,MATCH($J29,Schedules!$B$7:$B$45,0)+2,AG$17))*$C$13</f>
        <v>130.5</v>
      </c>
      <c r="AH29" s="60">
        <f>INDEX(Schedules!$E$7:$AB$45,MATCH($J29,Schedules!$B$7:$B$45,0),AH$17)*$C$12+AVERAGE(INDEX(Schedules!$E$7:$AB$45,MATCH($J29,Schedules!$B$7:$B$45,0)+1,AH$17),INDEX(Schedules!$E$7:$AB$45,MATCH($J29,Schedules!$B$7:$B$45,0)+2,AH$17))*$C$13</f>
        <v>26.1</v>
      </c>
      <c r="AI29" s="60">
        <f>INDEX(Schedules!$E$7:$AB$45,MATCH($J29,Schedules!$B$7:$B$45,0),AI$17)*$C$12+AVERAGE(INDEX(Schedules!$E$7:$AB$45,MATCH($J29,Schedules!$B$7:$B$45,0)+1,AI$17),INDEX(Schedules!$E$7:$AB$45,MATCH($J29,Schedules!$B$7:$B$45,0)+2,AI$17))*$C$13</f>
        <v>26.1</v>
      </c>
      <c r="AJ29" s="60">
        <f>INDEX(Schedules!$E$7:$AB$45,MATCH($J29,Schedules!$B$7:$B$45,0),AJ$17)*$C$12+AVERAGE(INDEX(Schedules!$E$7:$AB$45,MATCH($J29,Schedules!$B$7:$B$45,0)+1,AJ$17),INDEX(Schedules!$E$7:$AB$45,MATCH($J29,Schedules!$B$7:$B$45,0)+2,AJ$17))*$C$13</f>
        <v>26.1</v>
      </c>
      <c r="AK29" s="60">
        <f>INDEX(Schedules!$E$7:$AB$45,MATCH($J29,Schedules!$B$7:$B$45,0),AK$17)*$C$12+AVERAGE(INDEX(Schedules!$E$7:$AB$45,MATCH($J29,Schedules!$B$7:$B$45,0)+1,AK$17),INDEX(Schedules!$E$7:$AB$45,MATCH($J29,Schedules!$B$7:$B$45,0)+2,AK$17))*$C$13</f>
        <v>26.1</v>
      </c>
      <c r="AL29" s="60">
        <f>INDEX(Schedules!$E$7:$AB$45,MATCH($J29,Schedules!$B$7:$B$45,0),AL$17)*$C$12+AVERAGE(INDEX(Schedules!$E$7:$AB$45,MATCH($J29,Schedules!$B$7:$B$45,0)+1,AL$17),INDEX(Schedules!$E$7:$AB$45,MATCH($J29,Schedules!$B$7:$B$45,0)+2,AL$17))*$C$13</f>
        <v>0</v>
      </c>
    </row>
    <row r="30" spans="2:62" x14ac:dyDescent="0.25">
      <c r="B30" s="132" t="s">
        <v>158</v>
      </c>
      <c r="C30" s="64" t="s">
        <v>159</v>
      </c>
      <c r="D30" s="64">
        <v>1413.03</v>
      </c>
      <c r="E30" s="65">
        <f>INDEX('Area Category Method'!$B$3:$B$59,MATCH($B30,'Area Category Method'!$A$3:$A$59,0))</f>
        <v>10</v>
      </c>
      <c r="F30" s="54">
        <f t="shared" si="1"/>
        <v>100</v>
      </c>
      <c r="G30" s="67">
        <f>INDEX('Area Category Method'!$G$3:$G$59,MATCH($B30,'Area Category Method'!$A$3:$A$59,0))</f>
        <v>0.18</v>
      </c>
      <c r="I30" s="66">
        <f>D30/F30*G30/60</f>
        <v>4.2390900000000002E-2</v>
      </c>
      <c r="J30" s="54" t="str">
        <f>INDEX('Area Category Method'!$S$3:$S$59,MATCH($B30,'Area Category Method'!$A$3:$A$59,0))</f>
        <v>Office</v>
      </c>
      <c r="K30" s="54">
        <f>SUM(O30:AL30)</f>
        <v>1593.45</v>
      </c>
      <c r="L30" s="44">
        <f>I30*K30*500*$C$11/1000</f>
        <v>2296.62450657</v>
      </c>
      <c r="M30" s="59">
        <f>L30/D30</f>
        <v>1.625319</v>
      </c>
      <c r="N30" s="59">
        <f t="shared" si="3"/>
        <v>1.625319</v>
      </c>
      <c r="O30" s="60">
        <f>INDEX(Schedules!$E$7:$AB$45,MATCH($J30,Schedules!$B$7:$B$45,0),O$17)*$C$12+AVERAGE(INDEX(Schedules!$E$7:$AB$45,MATCH($J30,Schedules!$B$7:$B$45,0)+1,O$17),INDEX(Schedules!$E$7:$AB$45,MATCH($J30,Schedules!$B$7:$B$45,0)+2,O$17))*$C$13</f>
        <v>17.73</v>
      </c>
      <c r="P30" s="60">
        <f>INDEX(Schedules!$E$7:$AB$45,MATCH($J30,Schedules!$B$7:$B$45,0),P$17)*$C$12+AVERAGE(INDEX(Schedules!$E$7:$AB$45,MATCH($J30,Schedules!$B$7:$B$45,0)+1,P$17),INDEX(Schedules!$E$7:$AB$45,MATCH($J30,Schedules!$B$7:$B$45,0)+2,P$17))*$C$13</f>
        <v>17.73</v>
      </c>
      <c r="Q30" s="60">
        <f>INDEX(Schedules!$E$7:$AB$45,MATCH($J30,Schedules!$B$7:$B$45,0),Q$17)*$C$12+AVERAGE(INDEX(Schedules!$E$7:$AB$45,MATCH($J30,Schedules!$B$7:$B$45,0)+1,Q$17),INDEX(Schedules!$E$7:$AB$45,MATCH($J30,Schedules!$B$7:$B$45,0)+2,Q$17))*$C$13</f>
        <v>17.73</v>
      </c>
      <c r="R30" s="60">
        <f>INDEX(Schedules!$E$7:$AB$45,MATCH($J30,Schedules!$B$7:$B$45,0),R$17)*$C$12+AVERAGE(INDEX(Schedules!$E$7:$AB$45,MATCH($J30,Schedules!$B$7:$B$45,0)+1,R$17),INDEX(Schedules!$E$7:$AB$45,MATCH($J30,Schedules!$B$7:$B$45,0)+2,R$17))*$C$13</f>
        <v>17.73</v>
      </c>
      <c r="S30" s="60">
        <f>INDEX(Schedules!$E$7:$AB$45,MATCH($J30,Schedules!$B$7:$B$45,0),S$17)*$C$12+AVERAGE(INDEX(Schedules!$E$7:$AB$45,MATCH($J30,Schedules!$B$7:$B$45,0)+1,S$17),INDEX(Schedules!$E$7:$AB$45,MATCH($J30,Schedules!$B$7:$B$45,0)+2,S$17))*$C$13</f>
        <v>17.73</v>
      </c>
      <c r="T30" s="60">
        <f>INDEX(Schedules!$E$7:$AB$45,MATCH($J30,Schedules!$B$7:$B$45,0),T$17)*$C$12+AVERAGE(INDEX(Schedules!$E$7:$AB$45,MATCH($J30,Schedules!$B$7:$B$45,0)+1,T$17),INDEX(Schedules!$E$7:$AB$45,MATCH($J30,Schedules!$B$7:$B$45,0)+2,T$17))*$C$13</f>
        <v>28.68</v>
      </c>
      <c r="U30" s="60">
        <f>INDEX(Schedules!$E$7:$AB$45,MATCH($J30,Schedules!$B$7:$B$45,0),U$17)*$C$12+AVERAGE(INDEX(Schedules!$E$7:$AB$45,MATCH($J30,Schedules!$B$7:$B$45,0)+1,U$17),INDEX(Schedules!$E$7:$AB$45,MATCH($J30,Schedules!$B$7:$B$45,0)+2,U$17))*$C$13</f>
        <v>23.990000000000002</v>
      </c>
      <c r="V30" s="60">
        <f>INDEX(Schedules!$E$7:$AB$45,MATCH($J30,Schedules!$B$7:$B$45,0),V$17)*$C$12+AVERAGE(INDEX(Schedules!$E$7:$AB$45,MATCH($J30,Schedules!$B$7:$B$45,0)+1,V$17),INDEX(Schedules!$E$7:$AB$45,MATCH($J30,Schedules!$B$7:$B$45,0)+2,V$17))*$C$13</f>
        <v>57.39</v>
      </c>
      <c r="W30" s="60">
        <f>INDEX(Schedules!$E$7:$AB$45,MATCH($J30,Schedules!$B$7:$B$45,0),W$17)*$C$12+AVERAGE(INDEX(Schedules!$E$7:$AB$45,MATCH($J30,Schedules!$B$7:$B$45,0)+1,W$17),INDEX(Schedules!$E$7:$AB$45,MATCH($J30,Schedules!$B$7:$B$45,0)+2,W$17))*$C$13</f>
        <v>101.22999999999999</v>
      </c>
      <c r="X30" s="60">
        <f>INDEX(Schedules!$E$7:$AB$45,MATCH($J30,Schedules!$B$7:$B$45,0),X$17)*$C$12+AVERAGE(INDEX(Schedules!$E$7:$AB$45,MATCH($J30,Schedules!$B$7:$B$45,0)+1,X$17),INDEX(Schedules!$E$7:$AB$45,MATCH($J30,Schedules!$B$7:$B$45,0)+2,X$17))*$C$13</f>
        <v>112.18</v>
      </c>
      <c r="Y30" s="60">
        <f>INDEX(Schedules!$E$7:$AB$45,MATCH($J30,Schedules!$B$7:$B$45,0),Y$17)*$C$12+AVERAGE(INDEX(Schedules!$E$7:$AB$45,MATCH($J30,Schedules!$B$7:$B$45,0)+1,Y$17),INDEX(Schedules!$E$7:$AB$45,MATCH($J30,Schedules!$B$7:$B$45,0)+2,Y$17))*$C$13</f>
        <v>113.75</v>
      </c>
      <c r="Z30" s="60">
        <f>INDEX(Schedules!$E$7:$AB$45,MATCH($J30,Schedules!$B$7:$B$45,0),Z$17)*$C$12+AVERAGE(INDEX(Schedules!$E$7:$AB$45,MATCH($J30,Schedules!$B$7:$B$45,0)+1,Z$17),INDEX(Schedules!$E$7:$AB$45,MATCH($J30,Schedules!$B$7:$B$45,0)+2,Z$17))*$C$13</f>
        <v>137.75</v>
      </c>
      <c r="AA30" s="60">
        <f>INDEX(Schedules!$E$7:$AB$45,MATCH($J30,Schedules!$B$7:$B$45,0),AA$17)*$C$12+AVERAGE(INDEX(Schedules!$E$7:$AB$45,MATCH($J30,Schedules!$B$7:$B$45,0)+1,AA$17),INDEX(Schedules!$E$7:$AB$45,MATCH($J30,Schedules!$B$7:$B$45,0)+2,AA$17))*$C$13</f>
        <v>162.29</v>
      </c>
      <c r="AB30" s="60">
        <f>INDEX(Schedules!$E$7:$AB$45,MATCH($J30,Schedules!$B$7:$B$45,0),AB$17)*$C$12+AVERAGE(INDEX(Schedules!$E$7:$AB$45,MATCH($J30,Schedules!$B$7:$B$45,0)+1,AB$17),INDEX(Schedules!$E$7:$AB$45,MATCH($J30,Schedules!$B$7:$B$45,0)+2,AB$17))*$C$13</f>
        <v>155.5</v>
      </c>
      <c r="AC30" s="60">
        <f>INDEX(Schedules!$E$7:$AB$45,MATCH($J30,Schedules!$B$7:$B$45,0),AC$17)*$C$12+AVERAGE(INDEX(Schedules!$E$7:$AB$45,MATCH($J30,Schedules!$B$7:$B$45,0)+1,AC$17),INDEX(Schedules!$E$7:$AB$45,MATCH($J30,Schedules!$B$7:$B$45,0)+2,AC$17))*$C$13</f>
        <v>99.660000000000011</v>
      </c>
      <c r="AD30" s="60">
        <f>INDEX(Schedules!$E$7:$AB$45,MATCH($J30,Schedules!$B$7:$B$45,0),AD$17)*$C$12+AVERAGE(INDEX(Schedules!$E$7:$AB$45,MATCH($J30,Schedules!$B$7:$B$45,0)+1,AD$17),INDEX(Schedules!$E$7:$AB$45,MATCH($J30,Schedules!$B$7:$B$45,0)+2,AD$17))*$C$13</f>
        <v>94.450000000000017</v>
      </c>
      <c r="AE30" s="60">
        <f>INDEX(Schedules!$E$7:$AB$45,MATCH($J30,Schedules!$B$7:$B$45,0),AE$17)*$C$12+AVERAGE(INDEX(Schedules!$E$7:$AB$45,MATCH($J30,Schedules!$B$7:$B$45,0)+1,AE$17),INDEX(Schedules!$E$7:$AB$45,MATCH($J30,Schedules!$B$7:$B$45,0)+2,AE$17))*$C$13</f>
        <v>124.2</v>
      </c>
      <c r="AF30" s="60">
        <f>INDEX(Schedules!$E$7:$AB$45,MATCH($J30,Schedules!$B$7:$B$45,0),AF$17)*$C$12+AVERAGE(INDEX(Schedules!$E$7:$AB$45,MATCH($J30,Schedules!$B$7:$B$45,0)+1,AF$17),INDEX(Schedules!$E$7:$AB$45,MATCH($J30,Schedules!$B$7:$B$45,0)+2,AF$17))*$C$13</f>
        <v>73.58</v>
      </c>
      <c r="AG30" s="60">
        <f>INDEX(Schedules!$E$7:$AB$45,MATCH($J30,Schedules!$B$7:$B$45,0),AG$17)*$C$12+AVERAGE(INDEX(Schedules!$E$7:$AB$45,MATCH($J30,Schedules!$B$7:$B$45,0)+1,AG$17),INDEX(Schedules!$E$7:$AB$45,MATCH($J30,Schedules!$B$7:$B$45,0)+2,AG$17))*$C$13</f>
        <v>60.529999999999994</v>
      </c>
      <c r="AH30" s="60">
        <f>INDEX(Schedules!$E$7:$AB$45,MATCH($J30,Schedules!$B$7:$B$45,0),AH$17)*$C$12+AVERAGE(INDEX(Schedules!$E$7:$AB$45,MATCH($J30,Schedules!$B$7:$B$45,0)+1,AH$17),INDEX(Schedules!$E$7:$AB$45,MATCH($J30,Schedules!$B$7:$B$45,0)+2,AH$17))*$C$13</f>
        <v>44.87</v>
      </c>
      <c r="AI30" s="60">
        <f>INDEX(Schedules!$E$7:$AB$45,MATCH($J30,Schedules!$B$7:$B$45,0),AI$17)*$C$12+AVERAGE(INDEX(Schedules!$E$7:$AB$45,MATCH($J30,Schedules!$B$7:$B$45,0)+1,AI$17),INDEX(Schedules!$E$7:$AB$45,MATCH($J30,Schedules!$B$7:$B$45,0)+2,AI$17))*$C$13</f>
        <v>50.09</v>
      </c>
      <c r="AJ30" s="60">
        <f>INDEX(Schedules!$E$7:$AB$45,MATCH($J30,Schedules!$B$7:$B$45,0),AJ$17)*$C$12+AVERAGE(INDEX(Schedules!$E$7:$AB$45,MATCH($J30,Schedules!$B$7:$B$45,0)+1,AJ$17),INDEX(Schedules!$E$7:$AB$45,MATCH($J30,Schedules!$B$7:$B$45,0)+2,AJ$17))*$C$13</f>
        <v>29.2</v>
      </c>
      <c r="AK30" s="60">
        <f>INDEX(Schedules!$E$7:$AB$45,MATCH($J30,Schedules!$B$7:$B$45,0),AK$17)*$C$12+AVERAGE(INDEX(Schedules!$E$7:$AB$45,MATCH($J30,Schedules!$B$7:$B$45,0)+1,AK$17),INDEX(Schedules!$E$7:$AB$45,MATCH($J30,Schedules!$B$7:$B$45,0)+2,AK$17))*$C$13</f>
        <v>17.73</v>
      </c>
      <c r="AL30" s="60">
        <f>INDEX(Schedules!$E$7:$AB$45,MATCH($J30,Schedules!$B$7:$B$45,0),AL$17)*$C$12+AVERAGE(INDEX(Schedules!$E$7:$AB$45,MATCH($J30,Schedules!$B$7:$B$45,0)+1,AL$17),INDEX(Schedules!$E$7:$AB$45,MATCH($J30,Schedules!$B$7:$B$45,0)+2,AL$17))*$C$13</f>
        <v>17.73</v>
      </c>
    </row>
    <row r="31" spans="2:62" x14ac:dyDescent="0.25">
      <c r="B31" s="132" t="s">
        <v>158</v>
      </c>
      <c r="C31" s="64" t="s">
        <v>160</v>
      </c>
      <c r="D31" s="64">
        <v>2231.9899999999998</v>
      </c>
      <c r="E31" s="65">
        <f>INDEX('Area Category Method'!$B$3:$B$59,MATCH($B31,'Area Category Method'!$A$3:$A$59,0))</f>
        <v>10</v>
      </c>
      <c r="F31" s="54">
        <f t="shared" si="1"/>
        <v>100</v>
      </c>
      <c r="G31" s="54">
        <f>INDEX('Area Category Method'!$G$3:$G$59,MATCH($B31,'Area Category Method'!$A$3:$A$59,0))</f>
        <v>0.18</v>
      </c>
      <c r="I31" s="66">
        <f>D31/F31*G31/60</f>
        <v>6.6959699999999983E-2</v>
      </c>
      <c r="J31" s="54" t="str">
        <f>INDEX('Area Category Method'!$S$3:$S$59,MATCH($B31,'Area Category Method'!$A$3:$A$59,0))</f>
        <v>Office</v>
      </c>
      <c r="K31" s="54">
        <f>SUM(O31:AL31)</f>
        <v>1593.45</v>
      </c>
      <c r="L31" s="44">
        <f t="shared" ref="L31:L35" si="4">I31*K31*500*$C$11/1000</f>
        <v>3627.695754809999</v>
      </c>
      <c r="M31" s="59">
        <f>L31/D31</f>
        <v>1.6253189999999997</v>
      </c>
      <c r="N31" s="59">
        <f t="shared" si="3"/>
        <v>1.6253189999999997</v>
      </c>
      <c r="O31" s="60">
        <f>INDEX(Schedules!$E$7:$AB$45,MATCH($J31,Schedules!$B$7:$B$45,0),O$17)*$C$12+AVERAGE(INDEX(Schedules!$E$7:$AB$45,MATCH($J31,Schedules!$B$7:$B$45,0)+1,O$17),INDEX(Schedules!$E$7:$AB$45,MATCH($J31,Schedules!$B$7:$B$45,0)+2,O$17))*$C$13</f>
        <v>17.73</v>
      </c>
      <c r="P31" s="60">
        <f>INDEX(Schedules!$E$7:$AB$45,MATCH($J31,Schedules!$B$7:$B$45,0),P$17)*$C$12+AVERAGE(INDEX(Schedules!$E$7:$AB$45,MATCH($J31,Schedules!$B$7:$B$45,0)+1,P$17),INDEX(Schedules!$E$7:$AB$45,MATCH($J31,Schedules!$B$7:$B$45,0)+2,P$17))*$C$13</f>
        <v>17.73</v>
      </c>
      <c r="Q31" s="60">
        <f>INDEX(Schedules!$E$7:$AB$45,MATCH($J31,Schedules!$B$7:$B$45,0),Q$17)*$C$12+AVERAGE(INDEX(Schedules!$E$7:$AB$45,MATCH($J31,Schedules!$B$7:$B$45,0)+1,Q$17),INDEX(Schedules!$E$7:$AB$45,MATCH($J31,Schedules!$B$7:$B$45,0)+2,Q$17))*$C$13</f>
        <v>17.73</v>
      </c>
      <c r="R31" s="60">
        <f>INDEX(Schedules!$E$7:$AB$45,MATCH($J31,Schedules!$B$7:$B$45,0),R$17)*$C$12+AVERAGE(INDEX(Schedules!$E$7:$AB$45,MATCH($J31,Schedules!$B$7:$B$45,0)+1,R$17),INDEX(Schedules!$E$7:$AB$45,MATCH($J31,Schedules!$B$7:$B$45,0)+2,R$17))*$C$13</f>
        <v>17.73</v>
      </c>
      <c r="S31" s="60">
        <f>INDEX(Schedules!$E$7:$AB$45,MATCH($J31,Schedules!$B$7:$B$45,0),S$17)*$C$12+AVERAGE(INDEX(Schedules!$E$7:$AB$45,MATCH($J31,Schedules!$B$7:$B$45,0)+1,S$17),INDEX(Schedules!$E$7:$AB$45,MATCH($J31,Schedules!$B$7:$B$45,0)+2,S$17))*$C$13</f>
        <v>17.73</v>
      </c>
      <c r="T31" s="60">
        <f>INDEX(Schedules!$E$7:$AB$45,MATCH($J31,Schedules!$B$7:$B$45,0),T$17)*$C$12+AVERAGE(INDEX(Schedules!$E$7:$AB$45,MATCH($J31,Schedules!$B$7:$B$45,0)+1,T$17),INDEX(Schedules!$E$7:$AB$45,MATCH($J31,Schedules!$B$7:$B$45,0)+2,T$17))*$C$13</f>
        <v>28.68</v>
      </c>
      <c r="U31" s="60">
        <f>INDEX(Schedules!$E$7:$AB$45,MATCH($J31,Schedules!$B$7:$B$45,0),U$17)*$C$12+AVERAGE(INDEX(Schedules!$E$7:$AB$45,MATCH($J31,Schedules!$B$7:$B$45,0)+1,U$17),INDEX(Schedules!$E$7:$AB$45,MATCH($J31,Schedules!$B$7:$B$45,0)+2,U$17))*$C$13</f>
        <v>23.990000000000002</v>
      </c>
      <c r="V31" s="60">
        <f>INDEX(Schedules!$E$7:$AB$45,MATCH($J31,Schedules!$B$7:$B$45,0),V$17)*$C$12+AVERAGE(INDEX(Schedules!$E$7:$AB$45,MATCH($J31,Schedules!$B$7:$B$45,0)+1,V$17),INDEX(Schedules!$E$7:$AB$45,MATCH($J31,Schedules!$B$7:$B$45,0)+2,V$17))*$C$13</f>
        <v>57.39</v>
      </c>
      <c r="W31" s="60">
        <f>INDEX(Schedules!$E$7:$AB$45,MATCH($J31,Schedules!$B$7:$B$45,0),W$17)*$C$12+AVERAGE(INDEX(Schedules!$E$7:$AB$45,MATCH($J31,Schedules!$B$7:$B$45,0)+1,W$17),INDEX(Schedules!$E$7:$AB$45,MATCH($J31,Schedules!$B$7:$B$45,0)+2,W$17))*$C$13</f>
        <v>101.22999999999999</v>
      </c>
      <c r="X31" s="60">
        <f>INDEX(Schedules!$E$7:$AB$45,MATCH($J31,Schedules!$B$7:$B$45,0),X$17)*$C$12+AVERAGE(INDEX(Schedules!$E$7:$AB$45,MATCH($J31,Schedules!$B$7:$B$45,0)+1,X$17),INDEX(Schedules!$E$7:$AB$45,MATCH($J31,Schedules!$B$7:$B$45,0)+2,X$17))*$C$13</f>
        <v>112.18</v>
      </c>
      <c r="Y31" s="60">
        <f>INDEX(Schedules!$E$7:$AB$45,MATCH($J31,Schedules!$B$7:$B$45,0),Y$17)*$C$12+AVERAGE(INDEX(Schedules!$E$7:$AB$45,MATCH($J31,Schedules!$B$7:$B$45,0)+1,Y$17),INDEX(Schedules!$E$7:$AB$45,MATCH($J31,Schedules!$B$7:$B$45,0)+2,Y$17))*$C$13</f>
        <v>113.75</v>
      </c>
      <c r="Z31" s="60">
        <f>INDEX(Schedules!$E$7:$AB$45,MATCH($J31,Schedules!$B$7:$B$45,0),Z$17)*$C$12+AVERAGE(INDEX(Schedules!$E$7:$AB$45,MATCH($J31,Schedules!$B$7:$B$45,0)+1,Z$17),INDEX(Schedules!$E$7:$AB$45,MATCH($J31,Schedules!$B$7:$B$45,0)+2,Z$17))*$C$13</f>
        <v>137.75</v>
      </c>
      <c r="AA31" s="60">
        <f>INDEX(Schedules!$E$7:$AB$45,MATCH($J31,Schedules!$B$7:$B$45,0),AA$17)*$C$12+AVERAGE(INDEX(Schedules!$E$7:$AB$45,MATCH($J31,Schedules!$B$7:$B$45,0)+1,AA$17),INDEX(Schedules!$E$7:$AB$45,MATCH($J31,Schedules!$B$7:$B$45,0)+2,AA$17))*$C$13</f>
        <v>162.29</v>
      </c>
      <c r="AB31" s="60">
        <f>INDEX(Schedules!$E$7:$AB$45,MATCH($J31,Schedules!$B$7:$B$45,0),AB$17)*$C$12+AVERAGE(INDEX(Schedules!$E$7:$AB$45,MATCH($J31,Schedules!$B$7:$B$45,0)+1,AB$17),INDEX(Schedules!$E$7:$AB$45,MATCH($J31,Schedules!$B$7:$B$45,0)+2,AB$17))*$C$13</f>
        <v>155.5</v>
      </c>
      <c r="AC31" s="60">
        <f>INDEX(Schedules!$E$7:$AB$45,MATCH($J31,Schedules!$B$7:$B$45,0),AC$17)*$C$12+AVERAGE(INDEX(Schedules!$E$7:$AB$45,MATCH($J31,Schedules!$B$7:$B$45,0)+1,AC$17),INDEX(Schedules!$E$7:$AB$45,MATCH($J31,Schedules!$B$7:$B$45,0)+2,AC$17))*$C$13</f>
        <v>99.660000000000011</v>
      </c>
      <c r="AD31" s="60">
        <f>INDEX(Schedules!$E$7:$AB$45,MATCH($J31,Schedules!$B$7:$B$45,0),AD$17)*$C$12+AVERAGE(INDEX(Schedules!$E$7:$AB$45,MATCH($J31,Schedules!$B$7:$B$45,0)+1,AD$17),INDEX(Schedules!$E$7:$AB$45,MATCH($J31,Schedules!$B$7:$B$45,0)+2,AD$17))*$C$13</f>
        <v>94.450000000000017</v>
      </c>
      <c r="AE31" s="60">
        <f>INDEX(Schedules!$E$7:$AB$45,MATCH($J31,Schedules!$B$7:$B$45,0),AE$17)*$C$12+AVERAGE(INDEX(Schedules!$E$7:$AB$45,MATCH($J31,Schedules!$B$7:$B$45,0)+1,AE$17),INDEX(Schedules!$E$7:$AB$45,MATCH($J31,Schedules!$B$7:$B$45,0)+2,AE$17))*$C$13</f>
        <v>124.2</v>
      </c>
      <c r="AF31" s="60">
        <f>INDEX(Schedules!$E$7:$AB$45,MATCH($J31,Schedules!$B$7:$B$45,0),AF$17)*$C$12+AVERAGE(INDEX(Schedules!$E$7:$AB$45,MATCH($J31,Schedules!$B$7:$B$45,0)+1,AF$17),INDEX(Schedules!$E$7:$AB$45,MATCH($J31,Schedules!$B$7:$B$45,0)+2,AF$17))*$C$13</f>
        <v>73.58</v>
      </c>
      <c r="AG31" s="60">
        <f>INDEX(Schedules!$E$7:$AB$45,MATCH($J31,Schedules!$B$7:$B$45,0),AG$17)*$C$12+AVERAGE(INDEX(Schedules!$E$7:$AB$45,MATCH($J31,Schedules!$B$7:$B$45,0)+1,AG$17),INDEX(Schedules!$E$7:$AB$45,MATCH($J31,Schedules!$B$7:$B$45,0)+2,AG$17))*$C$13</f>
        <v>60.529999999999994</v>
      </c>
      <c r="AH31" s="60">
        <f>INDEX(Schedules!$E$7:$AB$45,MATCH($J31,Schedules!$B$7:$B$45,0),AH$17)*$C$12+AVERAGE(INDEX(Schedules!$E$7:$AB$45,MATCH($J31,Schedules!$B$7:$B$45,0)+1,AH$17),INDEX(Schedules!$E$7:$AB$45,MATCH($J31,Schedules!$B$7:$B$45,0)+2,AH$17))*$C$13</f>
        <v>44.87</v>
      </c>
      <c r="AI31" s="60">
        <f>INDEX(Schedules!$E$7:$AB$45,MATCH($J31,Schedules!$B$7:$B$45,0),AI$17)*$C$12+AVERAGE(INDEX(Schedules!$E$7:$AB$45,MATCH($J31,Schedules!$B$7:$B$45,0)+1,AI$17),INDEX(Schedules!$E$7:$AB$45,MATCH($J31,Schedules!$B$7:$B$45,0)+2,AI$17))*$C$13</f>
        <v>50.09</v>
      </c>
      <c r="AJ31" s="60">
        <f>INDEX(Schedules!$E$7:$AB$45,MATCH($J31,Schedules!$B$7:$B$45,0),AJ$17)*$C$12+AVERAGE(INDEX(Schedules!$E$7:$AB$45,MATCH($J31,Schedules!$B$7:$B$45,0)+1,AJ$17),INDEX(Schedules!$E$7:$AB$45,MATCH($J31,Schedules!$B$7:$B$45,0)+2,AJ$17))*$C$13</f>
        <v>29.2</v>
      </c>
      <c r="AK31" s="60">
        <f>INDEX(Schedules!$E$7:$AB$45,MATCH($J31,Schedules!$B$7:$B$45,0),AK$17)*$C$12+AVERAGE(INDEX(Schedules!$E$7:$AB$45,MATCH($J31,Schedules!$B$7:$B$45,0)+1,AK$17),INDEX(Schedules!$E$7:$AB$45,MATCH($J31,Schedules!$B$7:$B$45,0)+2,AK$17))*$C$13</f>
        <v>17.73</v>
      </c>
      <c r="AL31" s="60">
        <f>INDEX(Schedules!$E$7:$AB$45,MATCH($J31,Schedules!$B$7:$B$45,0),AL$17)*$C$12+AVERAGE(INDEX(Schedules!$E$7:$AB$45,MATCH($J31,Schedules!$B$7:$B$45,0)+1,AL$17),INDEX(Schedules!$E$7:$AB$45,MATCH($J31,Schedules!$B$7:$B$45,0)+2,AL$17))*$C$13</f>
        <v>17.73</v>
      </c>
    </row>
    <row r="32" spans="2:62" x14ac:dyDescent="0.25">
      <c r="B32" s="132" t="s">
        <v>154</v>
      </c>
      <c r="C32" s="64" t="s">
        <v>161</v>
      </c>
      <c r="D32" s="64">
        <v>1412.94</v>
      </c>
      <c r="E32" s="65">
        <f>INDEX('Area Category Method'!$B$3:$B$59,MATCH($B32,'Area Category Method'!$A$3:$A$59,0))</f>
        <v>66.666666666666671</v>
      </c>
      <c r="F32" s="54">
        <f t="shared" si="1"/>
        <v>14.999999999999998</v>
      </c>
      <c r="G32" s="54">
        <f>INDEX('Area Category Method'!$G$3:$G$59,MATCH($B32,'Area Category Method'!$A$3:$A$59,0))</f>
        <v>0.09</v>
      </c>
      <c r="I32" s="66">
        <f>D32/F32*G32/60</f>
        <v>0.141294</v>
      </c>
      <c r="J32" s="54" t="str">
        <f>INDEX('Area Category Method'!$S$3:$S$59,MATCH($B32,'Area Category Method'!$A$3:$A$59,0))</f>
        <v>Assembly</v>
      </c>
      <c r="K32" s="54">
        <f>SUM(O32:AL32)</f>
        <v>307.50000000000006</v>
      </c>
      <c r="L32" s="44">
        <f t="shared" si="4"/>
        <v>1477.2287700000002</v>
      </c>
      <c r="M32" s="59">
        <f>L32/D32</f>
        <v>1.0455000000000001</v>
      </c>
      <c r="N32" s="59">
        <f t="shared" si="3"/>
        <v>1.0455000000000001</v>
      </c>
      <c r="O32" s="60">
        <f>INDEX(Schedules!$E$7:$AB$45,MATCH($J32,Schedules!$B$7:$B$45,0),O$17)*$C$12+AVERAGE(INDEX(Schedules!$E$7:$AB$45,MATCH($J32,Schedules!$B$7:$B$45,0)+1,O$17),INDEX(Schedules!$E$7:$AB$45,MATCH($J32,Schedules!$B$7:$B$45,0)+2,O$17))*$C$13</f>
        <v>0</v>
      </c>
      <c r="P32" s="60">
        <f>INDEX(Schedules!$E$7:$AB$45,MATCH($J32,Schedules!$B$7:$B$45,0),P$17)*$C$12+AVERAGE(INDEX(Schedules!$E$7:$AB$45,MATCH($J32,Schedules!$B$7:$B$45,0)+1,P$17),INDEX(Schedules!$E$7:$AB$45,MATCH($J32,Schedules!$B$7:$B$45,0)+2,P$17))*$C$13</f>
        <v>0</v>
      </c>
      <c r="Q32" s="60">
        <f>INDEX(Schedules!$E$7:$AB$45,MATCH($J32,Schedules!$B$7:$B$45,0),Q$17)*$C$12+AVERAGE(INDEX(Schedules!$E$7:$AB$45,MATCH($J32,Schedules!$B$7:$B$45,0)+1,Q$17),INDEX(Schedules!$E$7:$AB$45,MATCH($J32,Schedules!$B$7:$B$45,0)+2,Q$17))*$C$13</f>
        <v>0</v>
      </c>
      <c r="R32" s="60">
        <f>INDEX(Schedules!$E$7:$AB$45,MATCH($J32,Schedules!$B$7:$B$45,0),R$17)*$C$12+AVERAGE(INDEX(Schedules!$E$7:$AB$45,MATCH($J32,Schedules!$B$7:$B$45,0)+1,R$17),INDEX(Schedules!$E$7:$AB$45,MATCH($J32,Schedules!$B$7:$B$45,0)+2,R$17))*$C$13</f>
        <v>0</v>
      </c>
      <c r="S32" s="60">
        <f>INDEX(Schedules!$E$7:$AB$45,MATCH($J32,Schedules!$B$7:$B$45,0),S$17)*$C$12+AVERAGE(INDEX(Schedules!$E$7:$AB$45,MATCH($J32,Schedules!$B$7:$B$45,0)+1,S$17),INDEX(Schedules!$E$7:$AB$45,MATCH($J32,Schedules!$B$7:$B$45,0)+2,S$17))*$C$13</f>
        <v>0</v>
      </c>
      <c r="T32" s="60">
        <f>INDEX(Schedules!$E$7:$AB$45,MATCH($J32,Schedules!$B$7:$B$45,0),T$17)*$C$12+AVERAGE(INDEX(Schedules!$E$7:$AB$45,MATCH($J32,Schedules!$B$7:$B$45,0)+1,T$17),INDEX(Schedules!$E$7:$AB$45,MATCH($J32,Schedules!$B$7:$B$45,0)+2,T$17))*$C$13</f>
        <v>0</v>
      </c>
      <c r="U32" s="60">
        <f>INDEX(Schedules!$E$7:$AB$45,MATCH($J32,Schedules!$B$7:$B$45,0),U$17)*$C$12+AVERAGE(INDEX(Schedules!$E$7:$AB$45,MATCH($J32,Schedules!$B$7:$B$45,0)+1,U$17),INDEX(Schedules!$E$7:$AB$45,MATCH($J32,Schedules!$B$7:$B$45,0)+2,U$17))*$C$13</f>
        <v>0</v>
      </c>
      <c r="V32" s="60">
        <f>INDEX(Schedules!$E$7:$AB$45,MATCH($J32,Schedules!$B$7:$B$45,0),V$17)*$C$12+AVERAGE(INDEX(Schedules!$E$7:$AB$45,MATCH($J32,Schedules!$B$7:$B$45,0)+1,V$17),INDEX(Schedules!$E$7:$AB$45,MATCH($J32,Schedules!$B$7:$B$45,0)+2,V$17))*$C$13</f>
        <v>0</v>
      </c>
      <c r="W32" s="60">
        <f>INDEX(Schedules!$E$7:$AB$45,MATCH($J32,Schedules!$B$7:$B$45,0),W$17)*$C$12+AVERAGE(INDEX(Schedules!$E$7:$AB$45,MATCH($J32,Schedules!$B$7:$B$45,0)+1,W$17),INDEX(Schedules!$E$7:$AB$45,MATCH($J32,Schedules!$B$7:$B$45,0)+2,W$17))*$C$13</f>
        <v>0</v>
      </c>
      <c r="X32" s="60">
        <f>INDEX(Schedules!$E$7:$AB$45,MATCH($J32,Schedules!$B$7:$B$45,0),X$17)*$C$12+AVERAGE(INDEX(Schedules!$E$7:$AB$45,MATCH($J32,Schedules!$B$7:$B$45,0)+1,X$17),INDEX(Schedules!$E$7:$AB$45,MATCH($J32,Schedules!$B$7:$B$45,0)+2,X$17))*$C$13</f>
        <v>18.25</v>
      </c>
      <c r="Y32" s="60">
        <f>INDEX(Schedules!$E$7:$AB$45,MATCH($J32,Schedules!$B$7:$B$45,0),Y$17)*$C$12+AVERAGE(INDEX(Schedules!$E$7:$AB$45,MATCH($J32,Schedules!$B$7:$B$45,0)+1,Y$17),INDEX(Schedules!$E$7:$AB$45,MATCH($J32,Schedules!$B$7:$B$45,0)+2,Y$17))*$C$13</f>
        <v>18.25</v>
      </c>
      <c r="Z32" s="60">
        <f>INDEX(Schedules!$E$7:$AB$45,MATCH($J32,Schedules!$B$7:$B$45,0),Z$17)*$C$12+AVERAGE(INDEX(Schedules!$E$7:$AB$45,MATCH($J32,Schedules!$B$7:$B$45,0)+1,Z$17),INDEX(Schedules!$E$7:$AB$45,MATCH($J32,Schedules!$B$7:$B$45,0)+2,Z$17))*$C$13</f>
        <v>106.94999999999999</v>
      </c>
      <c r="AA32" s="60">
        <f>INDEX(Schedules!$E$7:$AB$45,MATCH($J32,Schedules!$B$7:$B$45,0),AA$17)*$C$12+AVERAGE(INDEX(Schedules!$E$7:$AB$45,MATCH($J32,Schedules!$B$7:$B$45,0)+1,AA$17),INDEX(Schedules!$E$7:$AB$45,MATCH($J32,Schedules!$B$7:$B$45,0)+2,AA$17))*$C$13</f>
        <v>13.05</v>
      </c>
      <c r="AB32" s="60">
        <f>INDEX(Schedules!$E$7:$AB$45,MATCH($J32,Schedules!$B$7:$B$45,0),AB$17)*$C$12+AVERAGE(INDEX(Schedules!$E$7:$AB$45,MATCH($J32,Schedules!$B$7:$B$45,0)+1,AB$17),INDEX(Schedules!$E$7:$AB$45,MATCH($J32,Schedules!$B$7:$B$45,0)+2,AB$17))*$C$13</f>
        <v>13.05</v>
      </c>
      <c r="AC32" s="60">
        <f>INDEX(Schedules!$E$7:$AB$45,MATCH($J32,Schedules!$B$7:$B$45,0),AC$17)*$C$12+AVERAGE(INDEX(Schedules!$E$7:$AB$45,MATCH($J32,Schedules!$B$7:$B$45,0)+1,AC$17),INDEX(Schedules!$E$7:$AB$45,MATCH($J32,Schedules!$B$7:$B$45,0)+2,AC$17))*$C$13</f>
        <v>13.05</v>
      </c>
      <c r="AD32" s="60">
        <f>INDEX(Schedules!$E$7:$AB$45,MATCH($J32,Schedules!$B$7:$B$45,0),AD$17)*$C$12+AVERAGE(INDEX(Schedules!$E$7:$AB$45,MATCH($J32,Schedules!$B$7:$B$45,0)+1,AD$17),INDEX(Schedules!$E$7:$AB$45,MATCH($J32,Schedules!$B$7:$B$45,0)+2,AD$17))*$C$13</f>
        <v>13.05</v>
      </c>
      <c r="AE32" s="60">
        <f>INDEX(Schedules!$E$7:$AB$45,MATCH($J32,Schedules!$B$7:$B$45,0),AE$17)*$C$12+AVERAGE(INDEX(Schedules!$E$7:$AB$45,MATCH($J32,Schedules!$B$7:$B$45,0)+1,AE$17),INDEX(Schedules!$E$7:$AB$45,MATCH($J32,Schedules!$B$7:$B$45,0)+2,AE$17))*$C$13</f>
        <v>13.05</v>
      </c>
      <c r="AF32" s="60">
        <f>INDEX(Schedules!$E$7:$AB$45,MATCH($J32,Schedules!$B$7:$B$45,0),AF$17)*$C$12+AVERAGE(INDEX(Schedules!$E$7:$AB$45,MATCH($J32,Schedules!$B$7:$B$45,0)+1,AF$17),INDEX(Schedules!$E$7:$AB$45,MATCH($J32,Schedules!$B$7:$B$45,0)+2,AF$17))*$C$13</f>
        <v>0</v>
      </c>
      <c r="AG32" s="60">
        <f>INDEX(Schedules!$E$7:$AB$45,MATCH($J32,Schedules!$B$7:$B$45,0),AG$17)*$C$12+AVERAGE(INDEX(Schedules!$E$7:$AB$45,MATCH($J32,Schedules!$B$7:$B$45,0)+1,AG$17),INDEX(Schedules!$E$7:$AB$45,MATCH($J32,Schedules!$B$7:$B$45,0)+2,AG$17))*$C$13</f>
        <v>0</v>
      </c>
      <c r="AH32" s="60">
        <f>INDEX(Schedules!$E$7:$AB$45,MATCH($J32,Schedules!$B$7:$B$45,0),AH$17)*$C$12+AVERAGE(INDEX(Schedules!$E$7:$AB$45,MATCH($J32,Schedules!$B$7:$B$45,0)+1,AH$17),INDEX(Schedules!$E$7:$AB$45,MATCH($J32,Schedules!$B$7:$B$45,0)+2,AH$17))*$C$13</f>
        <v>67.600000000000009</v>
      </c>
      <c r="AI32" s="60">
        <f>INDEX(Schedules!$E$7:$AB$45,MATCH($J32,Schedules!$B$7:$B$45,0),AI$17)*$C$12+AVERAGE(INDEX(Schedules!$E$7:$AB$45,MATCH($J32,Schedules!$B$7:$B$45,0)+1,AI$17),INDEX(Schedules!$E$7:$AB$45,MATCH($J32,Schedules!$B$7:$B$45,0)+2,AI$17))*$C$13</f>
        <v>31.2</v>
      </c>
      <c r="AJ32" s="60">
        <f>INDEX(Schedules!$E$7:$AB$45,MATCH($J32,Schedules!$B$7:$B$45,0),AJ$17)*$C$12+AVERAGE(INDEX(Schedules!$E$7:$AB$45,MATCH($J32,Schedules!$B$7:$B$45,0)+1,AJ$17),INDEX(Schedules!$E$7:$AB$45,MATCH($J32,Schedules!$B$7:$B$45,0)+2,AJ$17))*$C$13</f>
        <v>0</v>
      </c>
      <c r="AK32" s="60">
        <f>INDEX(Schedules!$E$7:$AB$45,MATCH($J32,Schedules!$B$7:$B$45,0),AK$17)*$C$12+AVERAGE(INDEX(Schedules!$E$7:$AB$45,MATCH($J32,Schedules!$B$7:$B$45,0)+1,AK$17),INDEX(Schedules!$E$7:$AB$45,MATCH($J32,Schedules!$B$7:$B$45,0)+2,AK$17))*$C$13</f>
        <v>0</v>
      </c>
      <c r="AL32" s="60">
        <f>INDEX(Schedules!$E$7:$AB$45,MATCH($J32,Schedules!$B$7:$B$45,0),AL$17)*$C$12+AVERAGE(INDEX(Schedules!$E$7:$AB$45,MATCH($J32,Schedules!$B$7:$B$45,0)+1,AL$17),INDEX(Schedules!$E$7:$AB$45,MATCH($J32,Schedules!$B$7:$B$45,0)+2,AL$17))*$C$13</f>
        <v>0</v>
      </c>
    </row>
    <row r="33" spans="2:38" x14ac:dyDescent="0.25">
      <c r="B33" s="132" t="s">
        <v>156</v>
      </c>
      <c r="C33" s="64" t="s">
        <v>162</v>
      </c>
      <c r="D33" s="64">
        <v>2231.9899999999998</v>
      </c>
      <c r="E33" s="65">
        <f>INDEX('Area Category Method'!$B$3:$B$59,MATCH($B33,'Area Category Method'!$A$3:$A$59,0))</f>
        <v>10</v>
      </c>
      <c r="F33" s="54">
        <f t="shared" si="1"/>
        <v>100</v>
      </c>
      <c r="G33" s="54">
        <f>INDEX('Area Category Method'!$G$3:$G$59,MATCH($B33,'Area Category Method'!$A$3:$A$59,0))</f>
        <v>0</v>
      </c>
      <c r="I33" s="66">
        <f>D33/F33*G33/60</f>
        <v>0</v>
      </c>
      <c r="J33" s="54" t="str">
        <f>INDEX('Area Category Method'!$S$3:$S$59,MATCH($B33,'Area Category Method'!$A$3:$A$59,0))</f>
        <v>Office</v>
      </c>
      <c r="K33" s="54">
        <f>SUM(O33:AL33)</f>
        <v>1593.45</v>
      </c>
      <c r="L33" s="44">
        <f t="shared" si="4"/>
        <v>0</v>
      </c>
      <c r="M33" s="59">
        <f>L33/D33</f>
        <v>0</v>
      </c>
      <c r="N33" s="59">
        <f t="shared" si="3"/>
        <v>0</v>
      </c>
      <c r="O33" s="60">
        <f>INDEX(Schedules!$E$7:$AB$45,MATCH($J33,Schedules!$B$7:$B$45,0),O$17)*$C$12+AVERAGE(INDEX(Schedules!$E$7:$AB$45,MATCH($J33,Schedules!$B$7:$B$45,0)+1,O$17),INDEX(Schedules!$E$7:$AB$45,MATCH($J33,Schedules!$B$7:$B$45,0)+2,O$17))*$C$13</f>
        <v>17.73</v>
      </c>
      <c r="P33" s="60">
        <f>INDEX(Schedules!$E$7:$AB$45,MATCH($J33,Schedules!$B$7:$B$45,0),P$17)*$C$12+AVERAGE(INDEX(Schedules!$E$7:$AB$45,MATCH($J33,Schedules!$B$7:$B$45,0)+1,P$17),INDEX(Schedules!$E$7:$AB$45,MATCH($J33,Schedules!$B$7:$B$45,0)+2,P$17))*$C$13</f>
        <v>17.73</v>
      </c>
      <c r="Q33" s="60">
        <f>INDEX(Schedules!$E$7:$AB$45,MATCH($J33,Schedules!$B$7:$B$45,0),Q$17)*$C$12+AVERAGE(INDEX(Schedules!$E$7:$AB$45,MATCH($J33,Schedules!$B$7:$B$45,0)+1,Q$17),INDEX(Schedules!$E$7:$AB$45,MATCH($J33,Schedules!$B$7:$B$45,0)+2,Q$17))*$C$13</f>
        <v>17.73</v>
      </c>
      <c r="R33" s="60">
        <f>INDEX(Schedules!$E$7:$AB$45,MATCH($J33,Schedules!$B$7:$B$45,0),R$17)*$C$12+AVERAGE(INDEX(Schedules!$E$7:$AB$45,MATCH($J33,Schedules!$B$7:$B$45,0)+1,R$17),INDEX(Schedules!$E$7:$AB$45,MATCH($J33,Schedules!$B$7:$B$45,0)+2,R$17))*$C$13</f>
        <v>17.73</v>
      </c>
      <c r="S33" s="60">
        <f>INDEX(Schedules!$E$7:$AB$45,MATCH($J33,Schedules!$B$7:$B$45,0),S$17)*$C$12+AVERAGE(INDEX(Schedules!$E$7:$AB$45,MATCH($J33,Schedules!$B$7:$B$45,0)+1,S$17),INDEX(Schedules!$E$7:$AB$45,MATCH($J33,Schedules!$B$7:$B$45,0)+2,S$17))*$C$13</f>
        <v>17.73</v>
      </c>
      <c r="T33" s="60">
        <f>INDEX(Schedules!$E$7:$AB$45,MATCH($J33,Schedules!$B$7:$B$45,0),T$17)*$C$12+AVERAGE(INDEX(Schedules!$E$7:$AB$45,MATCH($J33,Schedules!$B$7:$B$45,0)+1,T$17),INDEX(Schedules!$E$7:$AB$45,MATCH($J33,Schedules!$B$7:$B$45,0)+2,T$17))*$C$13</f>
        <v>28.68</v>
      </c>
      <c r="U33" s="60">
        <f>INDEX(Schedules!$E$7:$AB$45,MATCH($J33,Schedules!$B$7:$B$45,0),U$17)*$C$12+AVERAGE(INDEX(Schedules!$E$7:$AB$45,MATCH($J33,Schedules!$B$7:$B$45,0)+1,U$17),INDEX(Schedules!$E$7:$AB$45,MATCH($J33,Schedules!$B$7:$B$45,0)+2,U$17))*$C$13</f>
        <v>23.990000000000002</v>
      </c>
      <c r="V33" s="60">
        <f>INDEX(Schedules!$E$7:$AB$45,MATCH($J33,Schedules!$B$7:$B$45,0),V$17)*$C$12+AVERAGE(INDEX(Schedules!$E$7:$AB$45,MATCH($J33,Schedules!$B$7:$B$45,0)+1,V$17),INDEX(Schedules!$E$7:$AB$45,MATCH($J33,Schedules!$B$7:$B$45,0)+2,V$17))*$C$13</f>
        <v>57.39</v>
      </c>
      <c r="W33" s="60">
        <f>INDEX(Schedules!$E$7:$AB$45,MATCH($J33,Schedules!$B$7:$B$45,0),W$17)*$C$12+AVERAGE(INDEX(Schedules!$E$7:$AB$45,MATCH($J33,Schedules!$B$7:$B$45,0)+1,W$17),INDEX(Schedules!$E$7:$AB$45,MATCH($J33,Schedules!$B$7:$B$45,0)+2,W$17))*$C$13</f>
        <v>101.22999999999999</v>
      </c>
      <c r="X33" s="60">
        <f>INDEX(Schedules!$E$7:$AB$45,MATCH($J33,Schedules!$B$7:$B$45,0),X$17)*$C$12+AVERAGE(INDEX(Schedules!$E$7:$AB$45,MATCH($J33,Schedules!$B$7:$B$45,0)+1,X$17),INDEX(Schedules!$E$7:$AB$45,MATCH($J33,Schedules!$B$7:$B$45,0)+2,X$17))*$C$13</f>
        <v>112.18</v>
      </c>
      <c r="Y33" s="60">
        <f>INDEX(Schedules!$E$7:$AB$45,MATCH($J33,Schedules!$B$7:$B$45,0),Y$17)*$C$12+AVERAGE(INDEX(Schedules!$E$7:$AB$45,MATCH($J33,Schedules!$B$7:$B$45,0)+1,Y$17),INDEX(Schedules!$E$7:$AB$45,MATCH($J33,Schedules!$B$7:$B$45,0)+2,Y$17))*$C$13</f>
        <v>113.75</v>
      </c>
      <c r="Z33" s="60">
        <f>INDEX(Schedules!$E$7:$AB$45,MATCH($J33,Schedules!$B$7:$B$45,0),Z$17)*$C$12+AVERAGE(INDEX(Schedules!$E$7:$AB$45,MATCH($J33,Schedules!$B$7:$B$45,0)+1,Z$17),INDEX(Schedules!$E$7:$AB$45,MATCH($J33,Schedules!$B$7:$B$45,0)+2,Z$17))*$C$13</f>
        <v>137.75</v>
      </c>
      <c r="AA33" s="60">
        <f>INDEX(Schedules!$E$7:$AB$45,MATCH($J33,Schedules!$B$7:$B$45,0),AA$17)*$C$12+AVERAGE(INDEX(Schedules!$E$7:$AB$45,MATCH($J33,Schedules!$B$7:$B$45,0)+1,AA$17),INDEX(Schedules!$E$7:$AB$45,MATCH($J33,Schedules!$B$7:$B$45,0)+2,AA$17))*$C$13</f>
        <v>162.29</v>
      </c>
      <c r="AB33" s="60">
        <f>INDEX(Schedules!$E$7:$AB$45,MATCH($J33,Schedules!$B$7:$B$45,0),AB$17)*$C$12+AVERAGE(INDEX(Schedules!$E$7:$AB$45,MATCH($J33,Schedules!$B$7:$B$45,0)+1,AB$17),INDEX(Schedules!$E$7:$AB$45,MATCH($J33,Schedules!$B$7:$B$45,0)+2,AB$17))*$C$13</f>
        <v>155.5</v>
      </c>
      <c r="AC33" s="60">
        <f>INDEX(Schedules!$E$7:$AB$45,MATCH($J33,Schedules!$B$7:$B$45,0),AC$17)*$C$12+AVERAGE(INDEX(Schedules!$E$7:$AB$45,MATCH($J33,Schedules!$B$7:$B$45,0)+1,AC$17),INDEX(Schedules!$E$7:$AB$45,MATCH($J33,Schedules!$B$7:$B$45,0)+2,AC$17))*$C$13</f>
        <v>99.660000000000011</v>
      </c>
      <c r="AD33" s="60">
        <f>INDEX(Schedules!$E$7:$AB$45,MATCH($J33,Schedules!$B$7:$B$45,0),AD$17)*$C$12+AVERAGE(INDEX(Schedules!$E$7:$AB$45,MATCH($J33,Schedules!$B$7:$B$45,0)+1,AD$17),INDEX(Schedules!$E$7:$AB$45,MATCH($J33,Schedules!$B$7:$B$45,0)+2,AD$17))*$C$13</f>
        <v>94.450000000000017</v>
      </c>
      <c r="AE33" s="60">
        <f>INDEX(Schedules!$E$7:$AB$45,MATCH($J33,Schedules!$B$7:$B$45,0),AE$17)*$C$12+AVERAGE(INDEX(Schedules!$E$7:$AB$45,MATCH($J33,Schedules!$B$7:$B$45,0)+1,AE$17),INDEX(Schedules!$E$7:$AB$45,MATCH($J33,Schedules!$B$7:$B$45,0)+2,AE$17))*$C$13</f>
        <v>124.2</v>
      </c>
      <c r="AF33" s="60">
        <f>INDEX(Schedules!$E$7:$AB$45,MATCH($J33,Schedules!$B$7:$B$45,0),AF$17)*$C$12+AVERAGE(INDEX(Schedules!$E$7:$AB$45,MATCH($J33,Schedules!$B$7:$B$45,0)+1,AF$17),INDEX(Schedules!$E$7:$AB$45,MATCH($J33,Schedules!$B$7:$B$45,0)+2,AF$17))*$C$13</f>
        <v>73.58</v>
      </c>
      <c r="AG33" s="60">
        <f>INDEX(Schedules!$E$7:$AB$45,MATCH($J33,Schedules!$B$7:$B$45,0),AG$17)*$C$12+AVERAGE(INDEX(Schedules!$E$7:$AB$45,MATCH($J33,Schedules!$B$7:$B$45,0)+1,AG$17),INDEX(Schedules!$E$7:$AB$45,MATCH($J33,Schedules!$B$7:$B$45,0)+2,AG$17))*$C$13</f>
        <v>60.529999999999994</v>
      </c>
      <c r="AH33" s="60">
        <f>INDEX(Schedules!$E$7:$AB$45,MATCH($J33,Schedules!$B$7:$B$45,0),AH$17)*$C$12+AVERAGE(INDEX(Schedules!$E$7:$AB$45,MATCH($J33,Schedules!$B$7:$B$45,0)+1,AH$17),INDEX(Schedules!$E$7:$AB$45,MATCH($J33,Schedules!$B$7:$B$45,0)+2,AH$17))*$C$13</f>
        <v>44.87</v>
      </c>
      <c r="AI33" s="60">
        <f>INDEX(Schedules!$E$7:$AB$45,MATCH($J33,Schedules!$B$7:$B$45,0),AI$17)*$C$12+AVERAGE(INDEX(Schedules!$E$7:$AB$45,MATCH($J33,Schedules!$B$7:$B$45,0)+1,AI$17),INDEX(Schedules!$E$7:$AB$45,MATCH($J33,Schedules!$B$7:$B$45,0)+2,AI$17))*$C$13</f>
        <v>50.09</v>
      </c>
      <c r="AJ33" s="60">
        <f>INDEX(Schedules!$E$7:$AB$45,MATCH($J33,Schedules!$B$7:$B$45,0),AJ$17)*$C$12+AVERAGE(INDEX(Schedules!$E$7:$AB$45,MATCH($J33,Schedules!$B$7:$B$45,0)+1,AJ$17),INDEX(Schedules!$E$7:$AB$45,MATCH($J33,Schedules!$B$7:$B$45,0)+2,AJ$17))*$C$13</f>
        <v>29.2</v>
      </c>
      <c r="AK33" s="60">
        <f>INDEX(Schedules!$E$7:$AB$45,MATCH($J33,Schedules!$B$7:$B$45,0),AK$17)*$C$12+AVERAGE(INDEX(Schedules!$E$7:$AB$45,MATCH($J33,Schedules!$B$7:$B$45,0)+1,AK$17),INDEX(Schedules!$E$7:$AB$45,MATCH($J33,Schedules!$B$7:$B$45,0)+2,AK$17))*$C$13</f>
        <v>17.73</v>
      </c>
      <c r="AL33" s="60">
        <f>INDEX(Schedules!$E$7:$AB$45,MATCH($J33,Schedules!$B$7:$B$45,0),AL$17)*$C$12+AVERAGE(INDEX(Schedules!$E$7:$AB$45,MATCH($J33,Schedules!$B$7:$B$45,0)+1,AL$17),INDEX(Schedules!$E$7:$AB$45,MATCH($J33,Schedules!$B$7:$B$45,0)+2,AL$17))*$C$13</f>
        <v>17.73</v>
      </c>
    </row>
    <row r="34" spans="2:38" x14ac:dyDescent="0.25">
      <c r="B34" s="132" t="s">
        <v>163</v>
      </c>
      <c r="C34" s="64" t="s">
        <v>164</v>
      </c>
      <c r="D34" s="64">
        <v>1413.03</v>
      </c>
      <c r="E34" s="65">
        <f>INDEX('Area Category Method'!$B$3:$B$59,MATCH($B34,'Area Category Method'!$A$3:$A$59,0))</f>
        <v>66.666666666666671</v>
      </c>
      <c r="F34" s="54">
        <f t="shared" si="1"/>
        <v>14.999999999999998</v>
      </c>
      <c r="G34" s="54">
        <f>INDEX('Area Category Method'!$G$3:$G$59,MATCH($B34,'Area Category Method'!$A$3:$A$59,0))</f>
        <v>0.09</v>
      </c>
      <c r="I34" s="66">
        <f>D34/F34*G34/60</f>
        <v>0.14130300000000001</v>
      </c>
      <c r="J34" s="54" t="str">
        <f>INDEX('Area Category Method'!$S$3:$S$59,MATCH($B34,'Area Category Method'!$A$3:$A$59,0))</f>
        <v>Assembly</v>
      </c>
      <c r="K34" s="54">
        <f>SUM(O34:AL34)</f>
        <v>307.50000000000006</v>
      </c>
      <c r="L34" s="44">
        <f t="shared" si="4"/>
        <v>1477.3228650000003</v>
      </c>
      <c r="M34" s="59">
        <f>L34/D34</f>
        <v>1.0455000000000003</v>
      </c>
      <c r="N34" s="59">
        <f t="shared" si="3"/>
        <v>1.0455000000000003</v>
      </c>
      <c r="O34" s="60">
        <f>INDEX(Schedules!$E$7:$AB$45,MATCH($J34,Schedules!$B$7:$B$45,0),O$17)*$C$12+AVERAGE(INDEX(Schedules!$E$7:$AB$45,MATCH($J34,Schedules!$B$7:$B$45,0)+1,O$17),INDEX(Schedules!$E$7:$AB$45,MATCH($J34,Schedules!$B$7:$B$45,0)+2,O$17))*$C$13</f>
        <v>0</v>
      </c>
      <c r="P34" s="60">
        <f>INDEX(Schedules!$E$7:$AB$45,MATCH($J34,Schedules!$B$7:$B$45,0),P$17)*$C$12+AVERAGE(INDEX(Schedules!$E$7:$AB$45,MATCH($J34,Schedules!$B$7:$B$45,0)+1,P$17),INDEX(Schedules!$E$7:$AB$45,MATCH($J34,Schedules!$B$7:$B$45,0)+2,P$17))*$C$13</f>
        <v>0</v>
      </c>
      <c r="Q34" s="60">
        <f>INDEX(Schedules!$E$7:$AB$45,MATCH($J34,Schedules!$B$7:$B$45,0),Q$17)*$C$12+AVERAGE(INDEX(Schedules!$E$7:$AB$45,MATCH($J34,Schedules!$B$7:$B$45,0)+1,Q$17),INDEX(Schedules!$E$7:$AB$45,MATCH($J34,Schedules!$B$7:$B$45,0)+2,Q$17))*$C$13</f>
        <v>0</v>
      </c>
      <c r="R34" s="60">
        <f>INDEX(Schedules!$E$7:$AB$45,MATCH($J34,Schedules!$B$7:$B$45,0),R$17)*$C$12+AVERAGE(INDEX(Schedules!$E$7:$AB$45,MATCH($J34,Schedules!$B$7:$B$45,0)+1,R$17),INDEX(Schedules!$E$7:$AB$45,MATCH($J34,Schedules!$B$7:$B$45,0)+2,R$17))*$C$13</f>
        <v>0</v>
      </c>
      <c r="S34" s="60">
        <f>INDEX(Schedules!$E$7:$AB$45,MATCH($J34,Schedules!$B$7:$B$45,0),S$17)*$C$12+AVERAGE(INDEX(Schedules!$E$7:$AB$45,MATCH($J34,Schedules!$B$7:$B$45,0)+1,S$17),INDEX(Schedules!$E$7:$AB$45,MATCH($J34,Schedules!$B$7:$B$45,0)+2,S$17))*$C$13</f>
        <v>0</v>
      </c>
      <c r="T34" s="60">
        <f>INDEX(Schedules!$E$7:$AB$45,MATCH($J34,Schedules!$B$7:$B$45,0),T$17)*$C$12+AVERAGE(INDEX(Schedules!$E$7:$AB$45,MATCH($J34,Schedules!$B$7:$B$45,0)+1,T$17),INDEX(Schedules!$E$7:$AB$45,MATCH($J34,Schedules!$B$7:$B$45,0)+2,T$17))*$C$13</f>
        <v>0</v>
      </c>
      <c r="U34" s="60">
        <f>INDEX(Schedules!$E$7:$AB$45,MATCH($J34,Schedules!$B$7:$B$45,0),U$17)*$C$12+AVERAGE(INDEX(Schedules!$E$7:$AB$45,MATCH($J34,Schedules!$B$7:$B$45,0)+1,U$17),INDEX(Schedules!$E$7:$AB$45,MATCH($J34,Schedules!$B$7:$B$45,0)+2,U$17))*$C$13</f>
        <v>0</v>
      </c>
      <c r="V34" s="60">
        <f>INDEX(Schedules!$E$7:$AB$45,MATCH($J34,Schedules!$B$7:$B$45,0),V$17)*$C$12+AVERAGE(INDEX(Schedules!$E$7:$AB$45,MATCH($J34,Schedules!$B$7:$B$45,0)+1,V$17),INDEX(Schedules!$E$7:$AB$45,MATCH($J34,Schedules!$B$7:$B$45,0)+2,V$17))*$C$13</f>
        <v>0</v>
      </c>
      <c r="W34" s="60">
        <f>INDEX(Schedules!$E$7:$AB$45,MATCH($J34,Schedules!$B$7:$B$45,0),W$17)*$C$12+AVERAGE(INDEX(Schedules!$E$7:$AB$45,MATCH($J34,Schedules!$B$7:$B$45,0)+1,W$17),INDEX(Schedules!$E$7:$AB$45,MATCH($J34,Schedules!$B$7:$B$45,0)+2,W$17))*$C$13</f>
        <v>0</v>
      </c>
      <c r="X34" s="60">
        <f>INDEX(Schedules!$E$7:$AB$45,MATCH($J34,Schedules!$B$7:$B$45,0),X$17)*$C$12+AVERAGE(INDEX(Schedules!$E$7:$AB$45,MATCH($J34,Schedules!$B$7:$B$45,0)+1,X$17),INDEX(Schedules!$E$7:$AB$45,MATCH($J34,Schedules!$B$7:$B$45,0)+2,X$17))*$C$13</f>
        <v>18.25</v>
      </c>
      <c r="Y34" s="60">
        <f>INDEX(Schedules!$E$7:$AB$45,MATCH($J34,Schedules!$B$7:$B$45,0),Y$17)*$C$12+AVERAGE(INDEX(Schedules!$E$7:$AB$45,MATCH($J34,Schedules!$B$7:$B$45,0)+1,Y$17),INDEX(Schedules!$E$7:$AB$45,MATCH($J34,Schedules!$B$7:$B$45,0)+2,Y$17))*$C$13</f>
        <v>18.25</v>
      </c>
      <c r="Z34" s="60">
        <f>INDEX(Schedules!$E$7:$AB$45,MATCH($J34,Schedules!$B$7:$B$45,0),Z$17)*$C$12+AVERAGE(INDEX(Schedules!$E$7:$AB$45,MATCH($J34,Schedules!$B$7:$B$45,0)+1,Z$17),INDEX(Schedules!$E$7:$AB$45,MATCH($J34,Schedules!$B$7:$B$45,0)+2,Z$17))*$C$13</f>
        <v>106.94999999999999</v>
      </c>
      <c r="AA34" s="60">
        <f>INDEX(Schedules!$E$7:$AB$45,MATCH($J34,Schedules!$B$7:$B$45,0),AA$17)*$C$12+AVERAGE(INDEX(Schedules!$E$7:$AB$45,MATCH($J34,Schedules!$B$7:$B$45,0)+1,AA$17),INDEX(Schedules!$E$7:$AB$45,MATCH($J34,Schedules!$B$7:$B$45,0)+2,AA$17))*$C$13</f>
        <v>13.05</v>
      </c>
      <c r="AB34" s="60">
        <f>INDEX(Schedules!$E$7:$AB$45,MATCH($J34,Schedules!$B$7:$B$45,0),AB$17)*$C$12+AVERAGE(INDEX(Schedules!$E$7:$AB$45,MATCH($J34,Schedules!$B$7:$B$45,0)+1,AB$17),INDEX(Schedules!$E$7:$AB$45,MATCH($J34,Schedules!$B$7:$B$45,0)+2,AB$17))*$C$13</f>
        <v>13.05</v>
      </c>
      <c r="AC34" s="60">
        <f>INDEX(Schedules!$E$7:$AB$45,MATCH($J34,Schedules!$B$7:$B$45,0),AC$17)*$C$12+AVERAGE(INDEX(Schedules!$E$7:$AB$45,MATCH($J34,Schedules!$B$7:$B$45,0)+1,AC$17),INDEX(Schedules!$E$7:$AB$45,MATCH($J34,Schedules!$B$7:$B$45,0)+2,AC$17))*$C$13</f>
        <v>13.05</v>
      </c>
      <c r="AD34" s="60">
        <f>INDEX(Schedules!$E$7:$AB$45,MATCH($J34,Schedules!$B$7:$B$45,0),AD$17)*$C$12+AVERAGE(INDEX(Schedules!$E$7:$AB$45,MATCH($J34,Schedules!$B$7:$B$45,0)+1,AD$17),INDEX(Schedules!$E$7:$AB$45,MATCH($J34,Schedules!$B$7:$B$45,0)+2,AD$17))*$C$13</f>
        <v>13.05</v>
      </c>
      <c r="AE34" s="60">
        <f>INDEX(Schedules!$E$7:$AB$45,MATCH($J34,Schedules!$B$7:$B$45,0),AE$17)*$C$12+AVERAGE(INDEX(Schedules!$E$7:$AB$45,MATCH($J34,Schedules!$B$7:$B$45,0)+1,AE$17),INDEX(Schedules!$E$7:$AB$45,MATCH($J34,Schedules!$B$7:$B$45,0)+2,AE$17))*$C$13</f>
        <v>13.05</v>
      </c>
      <c r="AF34" s="60">
        <f>INDEX(Schedules!$E$7:$AB$45,MATCH($J34,Schedules!$B$7:$B$45,0),AF$17)*$C$12+AVERAGE(INDEX(Schedules!$E$7:$AB$45,MATCH($J34,Schedules!$B$7:$B$45,0)+1,AF$17),INDEX(Schedules!$E$7:$AB$45,MATCH($J34,Schedules!$B$7:$B$45,0)+2,AF$17))*$C$13</f>
        <v>0</v>
      </c>
      <c r="AG34" s="60">
        <f>INDEX(Schedules!$E$7:$AB$45,MATCH($J34,Schedules!$B$7:$B$45,0),AG$17)*$C$12+AVERAGE(INDEX(Schedules!$E$7:$AB$45,MATCH($J34,Schedules!$B$7:$B$45,0)+1,AG$17),INDEX(Schedules!$E$7:$AB$45,MATCH($J34,Schedules!$B$7:$B$45,0)+2,AG$17))*$C$13</f>
        <v>0</v>
      </c>
      <c r="AH34" s="60">
        <f>INDEX(Schedules!$E$7:$AB$45,MATCH($J34,Schedules!$B$7:$B$45,0),AH$17)*$C$12+AVERAGE(INDEX(Schedules!$E$7:$AB$45,MATCH($J34,Schedules!$B$7:$B$45,0)+1,AH$17),INDEX(Schedules!$E$7:$AB$45,MATCH($J34,Schedules!$B$7:$B$45,0)+2,AH$17))*$C$13</f>
        <v>67.600000000000009</v>
      </c>
      <c r="AI34" s="60">
        <f>INDEX(Schedules!$E$7:$AB$45,MATCH($J34,Schedules!$B$7:$B$45,0),AI$17)*$C$12+AVERAGE(INDEX(Schedules!$E$7:$AB$45,MATCH($J34,Schedules!$B$7:$B$45,0)+1,AI$17),INDEX(Schedules!$E$7:$AB$45,MATCH($J34,Schedules!$B$7:$B$45,0)+2,AI$17))*$C$13</f>
        <v>31.2</v>
      </c>
      <c r="AJ34" s="60">
        <f>INDEX(Schedules!$E$7:$AB$45,MATCH($J34,Schedules!$B$7:$B$45,0),AJ$17)*$C$12+AVERAGE(INDEX(Schedules!$E$7:$AB$45,MATCH($J34,Schedules!$B$7:$B$45,0)+1,AJ$17),INDEX(Schedules!$E$7:$AB$45,MATCH($J34,Schedules!$B$7:$B$45,0)+2,AJ$17))*$C$13</f>
        <v>0</v>
      </c>
      <c r="AK34" s="60">
        <f>INDEX(Schedules!$E$7:$AB$45,MATCH($J34,Schedules!$B$7:$B$45,0),AK$17)*$C$12+AVERAGE(INDEX(Schedules!$E$7:$AB$45,MATCH($J34,Schedules!$B$7:$B$45,0)+1,AK$17),INDEX(Schedules!$E$7:$AB$45,MATCH($J34,Schedules!$B$7:$B$45,0)+2,AK$17))*$C$13</f>
        <v>0</v>
      </c>
      <c r="AL34" s="60">
        <f>INDEX(Schedules!$E$7:$AB$45,MATCH($J34,Schedules!$B$7:$B$45,0),AL$17)*$C$12+AVERAGE(INDEX(Schedules!$E$7:$AB$45,MATCH($J34,Schedules!$B$7:$B$45,0)+1,AL$17),INDEX(Schedules!$E$7:$AB$45,MATCH($J34,Schedules!$B$7:$B$45,0)+2,AL$17))*$C$13</f>
        <v>0</v>
      </c>
    </row>
    <row r="35" spans="2:38" x14ac:dyDescent="0.25">
      <c r="B35" s="132" t="s">
        <v>154</v>
      </c>
      <c r="C35" s="64" t="s">
        <v>165</v>
      </c>
      <c r="D35" s="64">
        <v>2231.9899999999998</v>
      </c>
      <c r="E35" s="65">
        <f>INDEX('Area Category Method'!$B$3:$B$59,MATCH($B35,'Area Category Method'!$A$3:$A$59,0))</f>
        <v>66.666666666666671</v>
      </c>
      <c r="F35" s="54">
        <f t="shared" si="1"/>
        <v>14.999999999999998</v>
      </c>
      <c r="G35" s="54">
        <f>INDEX('Area Category Method'!$G$3:$G$59,MATCH($B35,'Area Category Method'!$A$3:$A$59,0))</f>
        <v>0.09</v>
      </c>
      <c r="I35" s="66">
        <f>D35/F35*G35/60</f>
        <v>0.22319899999999998</v>
      </c>
      <c r="J35" s="54" t="str">
        <f>INDEX('Area Category Method'!$S$3:$S$59,MATCH($B35,'Area Category Method'!$A$3:$A$59,0))</f>
        <v>Assembly</v>
      </c>
      <c r="K35" s="54">
        <f>SUM(O35:AL35)</f>
        <v>307.50000000000006</v>
      </c>
      <c r="L35" s="44">
        <f t="shared" si="4"/>
        <v>2333.5455449999999</v>
      </c>
      <c r="M35" s="59">
        <f>L35/D35</f>
        <v>1.0455000000000001</v>
      </c>
      <c r="N35" s="59">
        <f t="shared" si="3"/>
        <v>1.0455000000000001</v>
      </c>
      <c r="O35" s="60">
        <f>INDEX(Schedules!$E$7:$AB$45,MATCH($J35,Schedules!$B$7:$B$45,0),O$17)*$C$12+AVERAGE(INDEX(Schedules!$E$7:$AB$45,MATCH($J35,Schedules!$B$7:$B$45,0)+1,O$17),INDEX(Schedules!$E$7:$AB$45,MATCH($J35,Schedules!$B$7:$B$45,0)+2,O$17))*$C$13</f>
        <v>0</v>
      </c>
      <c r="P35" s="60">
        <f>INDEX(Schedules!$E$7:$AB$45,MATCH($J35,Schedules!$B$7:$B$45,0),P$17)*$C$12+AVERAGE(INDEX(Schedules!$E$7:$AB$45,MATCH($J35,Schedules!$B$7:$B$45,0)+1,P$17),INDEX(Schedules!$E$7:$AB$45,MATCH($J35,Schedules!$B$7:$B$45,0)+2,P$17))*$C$13</f>
        <v>0</v>
      </c>
      <c r="Q35" s="60">
        <f>INDEX(Schedules!$E$7:$AB$45,MATCH($J35,Schedules!$B$7:$B$45,0),Q$17)*$C$12+AVERAGE(INDEX(Schedules!$E$7:$AB$45,MATCH($J35,Schedules!$B$7:$B$45,0)+1,Q$17),INDEX(Schedules!$E$7:$AB$45,MATCH($J35,Schedules!$B$7:$B$45,0)+2,Q$17))*$C$13</f>
        <v>0</v>
      </c>
      <c r="R35" s="60">
        <f>INDEX(Schedules!$E$7:$AB$45,MATCH($J35,Schedules!$B$7:$B$45,0),R$17)*$C$12+AVERAGE(INDEX(Schedules!$E$7:$AB$45,MATCH($J35,Schedules!$B$7:$B$45,0)+1,R$17),INDEX(Schedules!$E$7:$AB$45,MATCH($J35,Schedules!$B$7:$B$45,0)+2,R$17))*$C$13</f>
        <v>0</v>
      </c>
      <c r="S35" s="60">
        <f>INDEX(Schedules!$E$7:$AB$45,MATCH($J35,Schedules!$B$7:$B$45,0),S$17)*$C$12+AVERAGE(INDEX(Schedules!$E$7:$AB$45,MATCH($J35,Schedules!$B$7:$B$45,0)+1,S$17),INDEX(Schedules!$E$7:$AB$45,MATCH($J35,Schedules!$B$7:$B$45,0)+2,S$17))*$C$13</f>
        <v>0</v>
      </c>
      <c r="T35" s="60">
        <f>INDEX(Schedules!$E$7:$AB$45,MATCH($J35,Schedules!$B$7:$B$45,0),T$17)*$C$12+AVERAGE(INDEX(Schedules!$E$7:$AB$45,MATCH($J35,Schedules!$B$7:$B$45,0)+1,T$17),INDEX(Schedules!$E$7:$AB$45,MATCH($J35,Schedules!$B$7:$B$45,0)+2,T$17))*$C$13</f>
        <v>0</v>
      </c>
      <c r="U35" s="60">
        <f>INDEX(Schedules!$E$7:$AB$45,MATCH($J35,Schedules!$B$7:$B$45,0),U$17)*$C$12+AVERAGE(INDEX(Schedules!$E$7:$AB$45,MATCH($J35,Schedules!$B$7:$B$45,0)+1,U$17),INDEX(Schedules!$E$7:$AB$45,MATCH($J35,Schedules!$B$7:$B$45,0)+2,U$17))*$C$13</f>
        <v>0</v>
      </c>
      <c r="V35" s="60">
        <f>INDEX(Schedules!$E$7:$AB$45,MATCH($J35,Schedules!$B$7:$B$45,0),V$17)*$C$12+AVERAGE(INDEX(Schedules!$E$7:$AB$45,MATCH($J35,Schedules!$B$7:$B$45,0)+1,V$17),INDEX(Schedules!$E$7:$AB$45,MATCH($J35,Schedules!$B$7:$B$45,0)+2,V$17))*$C$13</f>
        <v>0</v>
      </c>
      <c r="W35" s="60">
        <f>INDEX(Schedules!$E$7:$AB$45,MATCH($J35,Schedules!$B$7:$B$45,0),W$17)*$C$12+AVERAGE(INDEX(Schedules!$E$7:$AB$45,MATCH($J35,Schedules!$B$7:$B$45,0)+1,W$17),INDEX(Schedules!$E$7:$AB$45,MATCH($J35,Schedules!$B$7:$B$45,0)+2,W$17))*$C$13</f>
        <v>0</v>
      </c>
      <c r="X35" s="60">
        <f>INDEX(Schedules!$E$7:$AB$45,MATCH($J35,Schedules!$B$7:$B$45,0),X$17)*$C$12+AVERAGE(INDEX(Schedules!$E$7:$AB$45,MATCH($J35,Schedules!$B$7:$B$45,0)+1,X$17),INDEX(Schedules!$E$7:$AB$45,MATCH($J35,Schedules!$B$7:$B$45,0)+2,X$17))*$C$13</f>
        <v>18.25</v>
      </c>
      <c r="Y35" s="60">
        <f>INDEX(Schedules!$E$7:$AB$45,MATCH($J35,Schedules!$B$7:$B$45,0),Y$17)*$C$12+AVERAGE(INDEX(Schedules!$E$7:$AB$45,MATCH($J35,Schedules!$B$7:$B$45,0)+1,Y$17),INDEX(Schedules!$E$7:$AB$45,MATCH($J35,Schedules!$B$7:$B$45,0)+2,Y$17))*$C$13</f>
        <v>18.25</v>
      </c>
      <c r="Z35" s="60">
        <f>INDEX(Schedules!$E$7:$AB$45,MATCH($J35,Schedules!$B$7:$B$45,0),Z$17)*$C$12+AVERAGE(INDEX(Schedules!$E$7:$AB$45,MATCH($J35,Schedules!$B$7:$B$45,0)+1,Z$17),INDEX(Schedules!$E$7:$AB$45,MATCH($J35,Schedules!$B$7:$B$45,0)+2,Z$17))*$C$13</f>
        <v>106.94999999999999</v>
      </c>
      <c r="AA35" s="60">
        <f>INDEX(Schedules!$E$7:$AB$45,MATCH($J35,Schedules!$B$7:$B$45,0),AA$17)*$C$12+AVERAGE(INDEX(Schedules!$E$7:$AB$45,MATCH($J35,Schedules!$B$7:$B$45,0)+1,AA$17),INDEX(Schedules!$E$7:$AB$45,MATCH($J35,Schedules!$B$7:$B$45,0)+2,AA$17))*$C$13</f>
        <v>13.05</v>
      </c>
      <c r="AB35" s="60">
        <f>INDEX(Schedules!$E$7:$AB$45,MATCH($J35,Schedules!$B$7:$B$45,0),AB$17)*$C$12+AVERAGE(INDEX(Schedules!$E$7:$AB$45,MATCH($J35,Schedules!$B$7:$B$45,0)+1,AB$17),INDEX(Schedules!$E$7:$AB$45,MATCH($J35,Schedules!$B$7:$B$45,0)+2,AB$17))*$C$13</f>
        <v>13.05</v>
      </c>
      <c r="AC35" s="60">
        <f>INDEX(Schedules!$E$7:$AB$45,MATCH($J35,Schedules!$B$7:$B$45,0),AC$17)*$C$12+AVERAGE(INDEX(Schedules!$E$7:$AB$45,MATCH($J35,Schedules!$B$7:$B$45,0)+1,AC$17),INDEX(Schedules!$E$7:$AB$45,MATCH($J35,Schedules!$B$7:$B$45,0)+2,AC$17))*$C$13</f>
        <v>13.05</v>
      </c>
      <c r="AD35" s="60">
        <f>INDEX(Schedules!$E$7:$AB$45,MATCH($J35,Schedules!$B$7:$B$45,0),AD$17)*$C$12+AVERAGE(INDEX(Schedules!$E$7:$AB$45,MATCH($J35,Schedules!$B$7:$B$45,0)+1,AD$17),INDEX(Schedules!$E$7:$AB$45,MATCH($J35,Schedules!$B$7:$B$45,0)+2,AD$17))*$C$13</f>
        <v>13.05</v>
      </c>
      <c r="AE35" s="60">
        <f>INDEX(Schedules!$E$7:$AB$45,MATCH($J35,Schedules!$B$7:$B$45,0),AE$17)*$C$12+AVERAGE(INDEX(Schedules!$E$7:$AB$45,MATCH($J35,Schedules!$B$7:$B$45,0)+1,AE$17),INDEX(Schedules!$E$7:$AB$45,MATCH($J35,Schedules!$B$7:$B$45,0)+2,AE$17))*$C$13</f>
        <v>13.05</v>
      </c>
      <c r="AF35" s="60">
        <f>INDEX(Schedules!$E$7:$AB$45,MATCH($J35,Schedules!$B$7:$B$45,0),AF$17)*$C$12+AVERAGE(INDEX(Schedules!$E$7:$AB$45,MATCH($J35,Schedules!$B$7:$B$45,0)+1,AF$17),INDEX(Schedules!$E$7:$AB$45,MATCH($J35,Schedules!$B$7:$B$45,0)+2,AF$17))*$C$13</f>
        <v>0</v>
      </c>
      <c r="AG35" s="60">
        <f>INDEX(Schedules!$E$7:$AB$45,MATCH($J35,Schedules!$B$7:$B$45,0),AG$17)*$C$12+AVERAGE(INDEX(Schedules!$E$7:$AB$45,MATCH($J35,Schedules!$B$7:$B$45,0)+1,AG$17),INDEX(Schedules!$E$7:$AB$45,MATCH($J35,Schedules!$B$7:$B$45,0)+2,AG$17))*$C$13</f>
        <v>0</v>
      </c>
      <c r="AH35" s="60">
        <f>INDEX(Schedules!$E$7:$AB$45,MATCH($J35,Schedules!$B$7:$B$45,0),AH$17)*$C$12+AVERAGE(INDEX(Schedules!$E$7:$AB$45,MATCH($J35,Schedules!$B$7:$B$45,0)+1,AH$17),INDEX(Schedules!$E$7:$AB$45,MATCH($J35,Schedules!$B$7:$B$45,0)+2,AH$17))*$C$13</f>
        <v>67.600000000000009</v>
      </c>
      <c r="AI35" s="60">
        <f>INDEX(Schedules!$E$7:$AB$45,MATCH($J35,Schedules!$B$7:$B$45,0),AI$17)*$C$12+AVERAGE(INDEX(Schedules!$E$7:$AB$45,MATCH($J35,Schedules!$B$7:$B$45,0)+1,AI$17),INDEX(Schedules!$E$7:$AB$45,MATCH($J35,Schedules!$B$7:$B$45,0)+2,AI$17))*$C$13</f>
        <v>31.2</v>
      </c>
      <c r="AJ35" s="60">
        <f>INDEX(Schedules!$E$7:$AB$45,MATCH($J35,Schedules!$B$7:$B$45,0),AJ$17)*$C$12+AVERAGE(INDEX(Schedules!$E$7:$AB$45,MATCH($J35,Schedules!$B$7:$B$45,0)+1,AJ$17),INDEX(Schedules!$E$7:$AB$45,MATCH($J35,Schedules!$B$7:$B$45,0)+2,AJ$17))*$C$13</f>
        <v>0</v>
      </c>
      <c r="AK35" s="60">
        <f>INDEX(Schedules!$E$7:$AB$45,MATCH($J35,Schedules!$B$7:$B$45,0),AK$17)*$C$12+AVERAGE(INDEX(Schedules!$E$7:$AB$45,MATCH($J35,Schedules!$B$7:$B$45,0)+1,AK$17),INDEX(Schedules!$E$7:$AB$45,MATCH($J35,Schedules!$B$7:$B$45,0)+2,AK$17))*$C$13</f>
        <v>0</v>
      </c>
      <c r="AL35" s="60">
        <f>INDEX(Schedules!$E$7:$AB$45,MATCH($J35,Schedules!$B$7:$B$45,0),AL$17)*$C$12+AVERAGE(INDEX(Schedules!$E$7:$AB$45,MATCH($J35,Schedules!$B$7:$B$45,0)+1,AL$17),INDEX(Schedules!$E$7:$AB$45,MATCH($J35,Schedules!$B$7:$B$45,0)+2,AL$17))*$C$13</f>
        <v>0</v>
      </c>
    </row>
    <row r="36" spans="2:38" x14ac:dyDescent="0.25">
      <c r="B36" s="132" t="s">
        <v>166</v>
      </c>
      <c r="C36" s="64" t="s">
        <v>167</v>
      </c>
      <c r="D36" s="64">
        <v>1412.94</v>
      </c>
      <c r="E36" s="65">
        <f>INDEX('Area Category Method'!$B$3:$B$59,MATCH($B36,'Area Category Method'!$A$3:$A$59,0))</f>
        <v>10</v>
      </c>
      <c r="F36" s="54">
        <f t="shared" si="1"/>
        <v>100</v>
      </c>
      <c r="G36" s="67">
        <f>INDEX('Area Category Method'!$G$3:$G$59,MATCH($B36,'Area Category Method'!$A$3:$A$59,0))</f>
        <v>0.18</v>
      </c>
      <c r="I36" s="66">
        <f>D36/F36*G36/60</f>
        <v>4.2388200000000001E-2</v>
      </c>
      <c r="J36" s="54" t="str">
        <f>INDEX('Area Category Method'!$S$3:$S$59,MATCH($B36,'Area Category Method'!$A$3:$A$59,0))</f>
        <v>Office</v>
      </c>
      <c r="K36" s="54">
        <f>SUM(O36:AL36)</f>
        <v>1593.45</v>
      </c>
      <c r="L36" s="44">
        <f>I36*K36*500*$C$11/1000</f>
        <v>2296.4782278600001</v>
      </c>
      <c r="M36" s="59">
        <f>L36/D36</f>
        <v>1.625319</v>
      </c>
      <c r="N36" s="59">
        <f t="shared" si="3"/>
        <v>1.625319</v>
      </c>
      <c r="O36" s="60">
        <f>INDEX(Schedules!$E$7:$AB$45,MATCH($J36,Schedules!$B$7:$B$45,0),O$17)*$C$12+AVERAGE(INDEX(Schedules!$E$7:$AB$45,MATCH($J36,Schedules!$B$7:$B$45,0)+1,O$17),INDEX(Schedules!$E$7:$AB$45,MATCH($J36,Schedules!$B$7:$B$45,0)+2,O$17))*$C$13</f>
        <v>17.73</v>
      </c>
      <c r="P36" s="60">
        <f>INDEX(Schedules!$E$7:$AB$45,MATCH($J36,Schedules!$B$7:$B$45,0),P$17)*$C$12+AVERAGE(INDEX(Schedules!$E$7:$AB$45,MATCH($J36,Schedules!$B$7:$B$45,0)+1,P$17),INDEX(Schedules!$E$7:$AB$45,MATCH($J36,Schedules!$B$7:$B$45,0)+2,P$17))*$C$13</f>
        <v>17.73</v>
      </c>
      <c r="Q36" s="60">
        <f>INDEX(Schedules!$E$7:$AB$45,MATCH($J36,Schedules!$B$7:$B$45,0),Q$17)*$C$12+AVERAGE(INDEX(Schedules!$E$7:$AB$45,MATCH($J36,Schedules!$B$7:$B$45,0)+1,Q$17),INDEX(Schedules!$E$7:$AB$45,MATCH($J36,Schedules!$B$7:$B$45,0)+2,Q$17))*$C$13</f>
        <v>17.73</v>
      </c>
      <c r="R36" s="60">
        <f>INDEX(Schedules!$E$7:$AB$45,MATCH($J36,Schedules!$B$7:$B$45,0),R$17)*$C$12+AVERAGE(INDEX(Schedules!$E$7:$AB$45,MATCH($J36,Schedules!$B$7:$B$45,0)+1,R$17),INDEX(Schedules!$E$7:$AB$45,MATCH($J36,Schedules!$B$7:$B$45,0)+2,R$17))*$C$13</f>
        <v>17.73</v>
      </c>
      <c r="S36" s="60">
        <f>INDEX(Schedules!$E$7:$AB$45,MATCH($J36,Schedules!$B$7:$B$45,0),S$17)*$C$12+AVERAGE(INDEX(Schedules!$E$7:$AB$45,MATCH($J36,Schedules!$B$7:$B$45,0)+1,S$17),INDEX(Schedules!$E$7:$AB$45,MATCH($J36,Schedules!$B$7:$B$45,0)+2,S$17))*$C$13</f>
        <v>17.73</v>
      </c>
      <c r="T36" s="60">
        <f>INDEX(Schedules!$E$7:$AB$45,MATCH($J36,Schedules!$B$7:$B$45,0),T$17)*$C$12+AVERAGE(INDEX(Schedules!$E$7:$AB$45,MATCH($J36,Schedules!$B$7:$B$45,0)+1,T$17),INDEX(Schedules!$E$7:$AB$45,MATCH($J36,Schedules!$B$7:$B$45,0)+2,T$17))*$C$13</f>
        <v>28.68</v>
      </c>
      <c r="U36" s="60">
        <f>INDEX(Schedules!$E$7:$AB$45,MATCH($J36,Schedules!$B$7:$B$45,0),U$17)*$C$12+AVERAGE(INDEX(Schedules!$E$7:$AB$45,MATCH($J36,Schedules!$B$7:$B$45,0)+1,U$17),INDEX(Schedules!$E$7:$AB$45,MATCH($J36,Schedules!$B$7:$B$45,0)+2,U$17))*$C$13</f>
        <v>23.990000000000002</v>
      </c>
      <c r="V36" s="60">
        <f>INDEX(Schedules!$E$7:$AB$45,MATCH($J36,Schedules!$B$7:$B$45,0),V$17)*$C$12+AVERAGE(INDEX(Schedules!$E$7:$AB$45,MATCH($J36,Schedules!$B$7:$B$45,0)+1,V$17),INDEX(Schedules!$E$7:$AB$45,MATCH($J36,Schedules!$B$7:$B$45,0)+2,V$17))*$C$13</f>
        <v>57.39</v>
      </c>
      <c r="W36" s="60">
        <f>INDEX(Schedules!$E$7:$AB$45,MATCH($J36,Schedules!$B$7:$B$45,0),W$17)*$C$12+AVERAGE(INDEX(Schedules!$E$7:$AB$45,MATCH($J36,Schedules!$B$7:$B$45,0)+1,W$17),INDEX(Schedules!$E$7:$AB$45,MATCH($J36,Schedules!$B$7:$B$45,0)+2,W$17))*$C$13</f>
        <v>101.22999999999999</v>
      </c>
      <c r="X36" s="60">
        <f>INDEX(Schedules!$E$7:$AB$45,MATCH($J36,Schedules!$B$7:$B$45,0),X$17)*$C$12+AVERAGE(INDEX(Schedules!$E$7:$AB$45,MATCH($J36,Schedules!$B$7:$B$45,0)+1,X$17),INDEX(Schedules!$E$7:$AB$45,MATCH($J36,Schedules!$B$7:$B$45,0)+2,X$17))*$C$13</f>
        <v>112.18</v>
      </c>
      <c r="Y36" s="60">
        <f>INDEX(Schedules!$E$7:$AB$45,MATCH($J36,Schedules!$B$7:$B$45,0),Y$17)*$C$12+AVERAGE(INDEX(Schedules!$E$7:$AB$45,MATCH($J36,Schedules!$B$7:$B$45,0)+1,Y$17),INDEX(Schedules!$E$7:$AB$45,MATCH($J36,Schedules!$B$7:$B$45,0)+2,Y$17))*$C$13</f>
        <v>113.75</v>
      </c>
      <c r="Z36" s="60">
        <f>INDEX(Schedules!$E$7:$AB$45,MATCH($J36,Schedules!$B$7:$B$45,0),Z$17)*$C$12+AVERAGE(INDEX(Schedules!$E$7:$AB$45,MATCH($J36,Schedules!$B$7:$B$45,0)+1,Z$17),INDEX(Schedules!$E$7:$AB$45,MATCH($J36,Schedules!$B$7:$B$45,0)+2,Z$17))*$C$13</f>
        <v>137.75</v>
      </c>
      <c r="AA36" s="60">
        <f>INDEX(Schedules!$E$7:$AB$45,MATCH($J36,Schedules!$B$7:$B$45,0),AA$17)*$C$12+AVERAGE(INDEX(Schedules!$E$7:$AB$45,MATCH($J36,Schedules!$B$7:$B$45,0)+1,AA$17),INDEX(Schedules!$E$7:$AB$45,MATCH($J36,Schedules!$B$7:$B$45,0)+2,AA$17))*$C$13</f>
        <v>162.29</v>
      </c>
      <c r="AB36" s="60">
        <f>INDEX(Schedules!$E$7:$AB$45,MATCH($J36,Schedules!$B$7:$B$45,0),AB$17)*$C$12+AVERAGE(INDEX(Schedules!$E$7:$AB$45,MATCH($J36,Schedules!$B$7:$B$45,0)+1,AB$17),INDEX(Schedules!$E$7:$AB$45,MATCH($J36,Schedules!$B$7:$B$45,0)+2,AB$17))*$C$13</f>
        <v>155.5</v>
      </c>
      <c r="AC36" s="60">
        <f>INDEX(Schedules!$E$7:$AB$45,MATCH($J36,Schedules!$B$7:$B$45,0),AC$17)*$C$12+AVERAGE(INDEX(Schedules!$E$7:$AB$45,MATCH($J36,Schedules!$B$7:$B$45,0)+1,AC$17),INDEX(Schedules!$E$7:$AB$45,MATCH($J36,Schedules!$B$7:$B$45,0)+2,AC$17))*$C$13</f>
        <v>99.660000000000011</v>
      </c>
      <c r="AD36" s="60">
        <f>INDEX(Schedules!$E$7:$AB$45,MATCH($J36,Schedules!$B$7:$B$45,0),AD$17)*$C$12+AVERAGE(INDEX(Schedules!$E$7:$AB$45,MATCH($J36,Schedules!$B$7:$B$45,0)+1,AD$17),INDEX(Schedules!$E$7:$AB$45,MATCH($J36,Schedules!$B$7:$B$45,0)+2,AD$17))*$C$13</f>
        <v>94.450000000000017</v>
      </c>
      <c r="AE36" s="60">
        <f>INDEX(Schedules!$E$7:$AB$45,MATCH($J36,Schedules!$B$7:$B$45,0),AE$17)*$C$12+AVERAGE(INDEX(Schedules!$E$7:$AB$45,MATCH($J36,Schedules!$B$7:$B$45,0)+1,AE$17),INDEX(Schedules!$E$7:$AB$45,MATCH($J36,Schedules!$B$7:$B$45,0)+2,AE$17))*$C$13</f>
        <v>124.2</v>
      </c>
      <c r="AF36" s="60">
        <f>INDEX(Schedules!$E$7:$AB$45,MATCH($J36,Schedules!$B$7:$B$45,0),AF$17)*$C$12+AVERAGE(INDEX(Schedules!$E$7:$AB$45,MATCH($J36,Schedules!$B$7:$B$45,0)+1,AF$17),INDEX(Schedules!$E$7:$AB$45,MATCH($J36,Schedules!$B$7:$B$45,0)+2,AF$17))*$C$13</f>
        <v>73.58</v>
      </c>
      <c r="AG36" s="60">
        <f>INDEX(Schedules!$E$7:$AB$45,MATCH($J36,Schedules!$B$7:$B$45,0),AG$17)*$C$12+AVERAGE(INDEX(Schedules!$E$7:$AB$45,MATCH($J36,Schedules!$B$7:$B$45,0)+1,AG$17),INDEX(Schedules!$E$7:$AB$45,MATCH($J36,Schedules!$B$7:$B$45,0)+2,AG$17))*$C$13</f>
        <v>60.529999999999994</v>
      </c>
      <c r="AH36" s="60">
        <f>INDEX(Schedules!$E$7:$AB$45,MATCH($J36,Schedules!$B$7:$B$45,0),AH$17)*$C$12+AVERAGE(INDEX(Schedules!$E$7:$AB$45,MATCH($J36,Schedules!$B$7:$B$45,0)+1,AH$17),INDEX(Schedules!$E$7:$AB$45,MATCH($J36,Schedules!$B$7:$B$45,0)+2,AH$17))*$C$13</f>
        <v>44.87</v>
      </c>
      <c r="AI36" s="60">
        <f>INDEX(Schedules!$E$7:$AB$45,MATCH($J36,Schedules!$B$7:$B$45,0),AI$17)*$C$12+AVERAGE(INDEX(Schedules!$E$7:$AB$45,MATCH($J36,Schedules!$B$7:$B$45,0)+1,AI$17),INDEX(Schedules!$E$7:$AB$45,MATCH($J36,Schedules!$B$7:$B$45,0)+2,AI$17))*$C$13</f>
        <v>50.09</v>
      </c>
      <c r="AJ36" s="60">
        <f>INDEX(Schedules!$E$7:$AB$45,MATCH($J36,Schedules!$B$7:$B$45,0),AJ$17)*$C$12+AVERAGE(INDEX(Schedules!$E$7:$AB$45,MATCH($J36,Schedules!$B$7:$B$45,0)+1,AJ$17),INDEX(Schedules!$E$7:$AB$45,MATCH($J36,Schedules!$B$7:$B$45,0)+2,AJ$17))*$C$13</f>
        <v>29.2</v>
      </c>
      <c r="AK36" s="60">
        <f>INDEX(Schedules!$E$7:$AB$45,MATCH($J36,Schedules!$B$7:$B$45,0),AK$17)*$C$12+AVERAGE(INDEX(Schedules!$E$7:$AB$45,MATCH($J36,Schedules!$B$7:$B$45,0)+1,AK$17),INDEX(Schedules!$E$7:$AB$45,MATCH($J36,Schedules!$B$7:$B$45,0)+2,AK$17))*$C$13</f>
        <v>17.73</v>
      </c>
      <c r="AL36" s="60">
        <f>INDEX(Schedules!$E$7:$AB$45,MATCH($J36,Schedules!$B$7:$B$45,0),AL$17)*$C$12+AVERAGE(INDEX(Schedules!$E$7:$AB$45,MATCH($J36,Schedules!$B$7:$B$45,0)+1,AL$17),INDEX(Schedules!$E$7:$AB$45,MATCH($J36,Schedules!$B$7:$B$45,0)+2,AL$17))*$C$13</f>
        <v>17.73</v>
      </c>
    </row>
    <row r="37" spans="2:38" x14ac:dyDescent="0.25">
      <c r="B37" s="132" t="s">
        <v>156</v>
      </c>
      <c r="C37" s="64" t="s">
        <v>168</v>
      </c>
      <c r="D37" s="64">
        <v>2231.9899999999998</v>
      </c>
      <c r="E37" s="65">
        <f>INDEX('Area Category Method'!$B$3:$B$59,MATCH($B37,'Area Category Method'!$A$3:$A$59,0))</f>
        <v>10</v>
      </c>
      <c r="F37" s="54">
        <f t="shared" si="1"/>
        <v>100</v>
      </c>
      <c r="G37" s="54">
        <f>INDEX('Area Category Method'!$G$3:$G$59,MATCH($B37,'Area Category Method'!$A$3:$A$59,0))</f>
        <v>0</v>
      </c>
      <c r="I37" s="66">
        <f>D37/F37*G37/60</f>
        <v>0</v>
      </c>
      <c r="J37" s="54" t="str">
        <f>INDEX('Area Category Method'!$S$3:$S$59,MATCH($B37,'Area Category Method'!$A$3:$A$59,0))</f>
        <v>Office</v>
      </c>
      <c r="K37" s="54">
        <f>SUM(O37:AL37)</f>
        <v>1593.45</v>
      </c>
      <c r="L37" s="44">
        <f t="shared" ref="L37:L40" si="5">I37*K37*500*$C$11/1000</f>
        <v>0</v>
      </c>
      <c r="M37" s="59">
        <f>L37/D37</f>
        <v>0</v>
      </c>
      <c r="N37" s="59">
        <f t="shared" si="3"/>
        <v>0</v>
      </c>
      <c r="O37" s="60">
        <f>INDEX(Schedules!$E$7:$AB$45,MATCH($J37,Schedules!$B$7:$B$45,0),O$17)*$C$12+AVERAGE(INDEX(Schedules!$E$7:$AB$45,MATCH($J37,Schedules!$B$7:$B$45,0)+1,O$17),INDEX(Schedules!$E$7:$AB$45,MATCH($J37,Schedules!$B$7:$B$45,0)+2,O$17))*$C$13</f>
        <v>17.73</v>
      </c>
      <c r="P37" s="60">
        <f>INDEX(Schedules!$E$7:$AB$45,MATCH($J37,Schedules!$B$7:$B$45,0),P$17)*$C$12+AVERAGE(INDEX(Schedules!$E$7:$AB$45,MATCH($J37,Schedules!$B$7:$B$45,0)+1,P$17),INDEX(Schedules!$E$7:$AB$45,MATCH($J37,Schedules!$B$7:$B$45,0)+2,P$17))*$C$13</f>
        <v>17.73</v>
      </c>
      <c r="Q37" s="60">
        <f>INDEX(Schedules!$E$7:$AB$45,MATCH($J37,Schedules!$B$7:$B$45,0),Q$17)*$C$12+AVERAGE(INDEX(Schedules!$E$7:$AB$45,MATCH($J37,Schedules!$B$7:$B$45,0)+1,Q$17),INDEX(Schedules!$E$7:$AB$45,MATCH($J37,Schedules!$B$7:$B$45,0)+2,Q$17))*$C$13</f>
        <v>17.73</v>
      </c>
      <c r="R37" s="60">
        <f>INDEX(Schedules!$E$7:$AB$45,MATCH($J37,Schedules!$B$7:$B$45,0),R$17)*$C$12+AVERAGE(INDEX(Schedules!$E$7:$AB$45,MATCH($J37,Schedules!$B$7:$B$45,0)+1,R$17),INDEX(Schedules!$E$7:$AB$45,MATCH($J37,Schedules!$B$7:$B$45,0)+2,R$17))*$C$13</f>
        <v>17.73</v>
      </c>
      <c r="S37" s="60">
        <f>INDEX(Schedules!$E$7:$AB$45,MATCH($J37,Schedules!$B$7:$B$45,0),S$17)*$C$12+AVERAGE(INDEX(Schedules!$E$7:$AB$45,MATCH($J37,Schedules!$B$7:$B$45,0)+1,S$17),INDEX(Schedules!$E$7:$AB$45,MATCH($J37,Schedules!$B$7:$B$45,0)+2,S$17))*$C$13</f>
        <v>17.73</v>
      </c>
      <c r="T37" s="60">
        <f>INDEX(Schedules!$E$7:$AB$45,MATCH($J37,Schedules!$B$7:$B$45,0),T$17)*$C$12+AVERAGE(INDEX(Schedules!$E$7:$AB$45,MATCH($J37,Schedules!$B$7:$B$45,0)+1,T$17),INDEX(Schedules!$E$7:$AB$45,MATCH($J37,Schedules!$B$7:$B$45,0)+2,T$17))*$C$13</f>
        <v>28.68</v>
      </c>
      <c r="U37" s="60">
        <f>INDEX(Schedules!$E$7:$AB$45,MATCH($J37,Schedules!$B$7:$B$45,0),U$17)*$C$12+AVERAGE(INDEX(Schedules!$E$7:$AB$45,MATCH($J37,Schedules!$B$7:$B$45,0)+1,U$17),INDEX(Schedules!$E$7:$AB$45,MATCH($J37,Schedules!$B$7:$B$45,0)+2,U$17))*$C$13</f>
        <v>23.990000000000002</v>
      </c>
      <c r="V37" s="60">
        <f>INDEX(Schedules!$E$7:$AB$45,MATCH($J37,Schedules!$B$7:$B$45,0),V$17)*$C$12+AVERAGE(INDEX(Schedules!$E$7:$AB$45,MATCH($J37,Schedules!$B$7:$B$45,0)+1,V$17),INDEX(Schedules!$E$7:$AB$45,MATCH($J37,Schedules!$B$7:$B$45,0)+2,V$17))*$C$13</f>
        <v>57.39</v>
      </c>
      <c r="W37" s="60">
        <f>INDEX(Schedules!$E$7:$AB$45,MATCH($J37,Schedules!$B$7:$B$45,0),W$17)*$C$12+AVERAGE(INDEX(Schedules!$E$7:$AB$45,MATCH($J37,Schedules!$B$7:$B$45,0)+1,W$17),INDEX(Schedules!$E$7:$AB$45,MATCH($J37,Schedules!$B$7:$B$45,0)+2,W$17))*$C$13</f>
        <v>101.22999999999999</v>
      </c>
      <c r="X37" s="60">
        <f>INDEX(Schedules!$E$7:$AB$45,MATCH($J37,Schedules!$B$7:$B$45,0),X$17)*$C$12+AVERAGE(INDEX(Schedules!$E$7:$AB$45,MATCH($J37,Schedules!$B$7:$B$45,0)+1,X$17),INDEX(Schedules!$E$7:$AB$45,MATCH($J37,Schedules!$B$7:$B$45,0)+2,X$17))*$C$13</f>
        <v>112.18</v>
      </c>
      <c r="Y37" s="60">
        <f>INDEX(Schedules!$E$7:$AB$45,MATCH($J37,Schedules!$B$7:$B$45,0),Y$17)*$C$12+AVERAGE(INDEX(Schedules!$E$7:$AB$45,MATCH($J37,Schedules!$B$7:$B$45,0)+1,Y$17),INDEX(Schedules!$E$7:$AB$45,MATCH($J37,Schedules!$B$7:$B$45,0)+2,Y$17))*$C$13</f>
        <v>113.75</v>
      </c>
      <c r="Z37" s="60">
        <f>INDEX(Schedules!$E$7:$AB$45,MATCH($J37,Schedules!$B$7:$B$45,0),Z$17)*$C$12+AVERAGE(INDEX(Schedules!$E$7:$AB$45,MATCH($J37,Schedules!$B$7:$B$45,0)+1,Z$17),INDEX(Schedules!$E$7:$AB$45,MATCH($J37,Schedules!$B$7:$B$45,0)+2,Z$17))*$C$13</f>
        <v>137.75</v>
      </c>
      <c r="AA37" s="60">
        <f>INDEX(Schedules!$E$7:$AB$45,MATCH($J37,Schedules!$B$7:$B$45,0),AA$17)*$C$12+AVERAGE(INDEX(Schedules!$E$7:$AB$45,MATCH($J37,Schedules!$B$7:$B$45,0)+1,AA$17),INDEX(Schedules!$E$7:$AB$45,MATCH($J37,Schedules!$B$7:$B$45,0)+2,AA$17))*$C$13</f>
        <v>162.29</v>
      </c>
      <c r="AB37" s="60">
        <f>INDEX(Schedules!$E$7:$AB$45,MATCH($J37,Schedules!$B$7:$B$45,0),AB$17)*$C$12+AVERAGE(INDEX(Schedules!$E$7:$AB$45,MATCH($J37,Schedules!$B$7:$B$45,0)+1,AB$17),INDEX(Schedules!$E$7:$AB$45,MATCH($J37,Schedules!$B$7:$B$45,0)+2,AB$17))*$C$13</f>
        <v>155.5</v>
      </c>
      <c r="AC37" s="60">
        <f>INDEX(Schedules!$E$7:$AB$45,MATCH($J37,Schedules!$B$7:$B$45,0),AC$17)*$C$12+AVERAGE(INDEX(Schedules!$E$7:$AB$45,MATCH($J37,Schedules!$B$7:$B$45,0)+1,AC$17),INDEX(Schedules!$E$7:$AB$45,MATCH($J37,Schedules!$B$7:$B$45,0)+2,AC$17))*$C$13</f>
        <v>99.660000000000011</v>
      </c>
      <c r="AD37" s="60">
        <f>INDEX(Schedules!$E$7:$AB$45,MATCH($J37,Schedules!$B$7:$B$45,0),AD$17)*$C$12+AVERAGE(INDEX(Schedules!$E$7:$AB$45,MATCH($J37,Schedules!$B$7:$B$45,0)+1,AD$17),INDEX(Schedules!$E$7:$AB$45,MATCH($J37,Schedules!$B$7:$B$45,0)+2,AD$17))*$C$13</f>
        <v>94.450000000000017</v>
      </c>
      <c r="AE37" s="60">
        <f>INDEX(Schedules!$E$7:$AB$45,MATCH($J37,Schedules!$B$7:$B$45,0),AE$17)*$C$12+AVERAGE(INDEX(Schedules!$E$7:$AB$45,MATCH($J37,Schedules!$B$7:$B$45,0)+1,AE$17),INDEX(Schedules!$E$7:$AB$45,MATCH($J37,Schedules!$B$7:$B$45,0)+2,AE$17))*$C$13</f>
        <v>124.2</v>
      </c>
      <c r="AF37" s="60">
        <f>INDEX(Schedules!$E$7:$AB$45,MATCH($J37,Schedules!$B$7:$B$45,0),AF$17)*$C$12+AVERAGE(INDEX(Schedules!$E$7:$AB$45,MATCH($J37,Schedules!$B$7:$B$45,0)+1,AF$17),INDEX(Schedules!$E$7:$AB$45,MATCH($J37,Schedules!$B$7:$B$45,0)+2,AF$17))*$C$13</f>
        <v>73.58</v>
      </c>
      <c r="AG37" s="60">
        <f>INDEX(Schedules!$E$7:$AB$45,MATCH($J37,Schedules!$B$7:$B$45,0),AG$17)*$C$12+AVERAGE(INDEX(Schedules!$E$7:$AB$45,MATCH($J37,Schedules!$B$7:$B$45,0)+1,AG$17),INDEX(Schedules!$E$7:$AB$45,MATCH($J37,Schedules!$B$7:$B$45,0)+2,AG$17))*$C$13</f>
        <v>60.529999999999994</v>
      </c>
      <c r="AH37" s="60">
        <f>INDEX(Schedules!$E$7:$AB$45,MATCH($J37,Schedules!$B$7:$B$45,0),AH$17)*$C$12+AVERAGE(INDEX(Schedules!$E$7:$AB$45,MATCH($J37,Schedules!$B$7:$B$45,0)+1,AH$17),INDEX(Schedules!$E$7:$AB$45,MATCH($J37,Schedules!$B$7:$B$45,0)+2,AH$17))*$C$13</f>
        <v>44.87</v>
      </c>
      <c r="AI37" s="60">
        <f>INDEX(Schedules!$E$7:$AB$45,MATCH($J37,Schedules!$B$7:$B$45,0),AI$17)*$C$12+AVERAGE(INDEX(Schedules!$E$7:$AB$45,MATCH($J37,Schedules!$B$7:$B$45,0)+1,AI$17),INDEX(Schedules!$E$7:$AB$45,MATCH($J37,Schedules!$B$7:$B$45,0)+2,AI$17))*$C$13</f>
        <v>50.09</v>
      </c>
      <c r="AJ37" s="60">
        <f>INDEX(Schedules!$E$7:$AB$45,MATCH($J37,Schedules!$B$7:$B$45,0),AJ$17)*$C$12+AVERAGE(INDEX(Schedules!$E$7:$AB$45,MATCH($J37,Schedules!$B$7:$B$45,0)+1,AJ$17),INDEX(Schedules!$E$7:$AB$45,MATCH($J37,Schedules!$B$7:$B$45,0)+2,AJ$17))*$C$13</f>
        <v>29.2</v>
      </c>
      <c r="AK37" s="60">
        <f>INDEX(Schedules!$E$7:$AB$45,MATCH($J37,Schedules!$B$7:$B$45,0),AK$17)*$C$12+AVERAGE(INDEX(Schedules!$E$7:$AB$45,MATCH($J37,Schedules!$B$7:$B$45,0)+1,AK$17),INDEX(Schedules!$E$7:$AB$45,MATCH($J37,Schedules!$B$7:$B$45,0)+2,AK$17))*$C$13</f>
        <v>17.73</v>
      </c>
      <c r="AL37" s="60">
        <f>INDEX(Schedules!$E$7:$AB$45,MATCH($J37,Schedules!$B$7:$B$45,0),AL$17)*$C$12+AVERAGE(INDEX(Schedules!$E$7:$AB$45,MATCH($J37,Schedules!$B$7:$B$45,0)+1,AL$17),INDEX(Schedules!$E$7:$AB$45,MATCH($J37,Schedules!$B$7:$B$45,0)+2,AL$17))*$C$13</f>
        <v>17.73</v>
      </c>
    </row>
    <row r="38" spans="2:38" x14ac:dyDescent="0.25">
      <c r="B38" s="132" t="s">
        <v>158</v>
      </c>
      <c r="C38" s="64" t="s">
        <v>169</v>
      </c>
      <c r="D38" s="64">
        <v>1413.03</v>
      </c>
      <c r="E38" s="65">
        <f>INDEX('Area Category Method'!$B$3:$B$59,MATCH($B38,'Area Category Method'!$A$3:$A$59,0))</f>
        <v>10</v>
      </c>
      <c r="F38" s="54">
        <f t="shared" si="1"/>
        <v>100</v>
      </c>
      <c r="G38" s="54">
        <f>INDEX('Area Category Method'!$G$3:$G$59,MATCH($B38,'Area Category Method'!$A$3:$A$59,0))</f>
        <v>0.18</v>
      </c>
      <c r="I38" s="66">
        <f>D38/F38*G38/60</f>
        <v>4.2390900000000002E-2</v>
      </c>
      <c r="J38" s="54" t="str">
        <f>INDEX('Area Category Method'!$S$3:$S$59,MATCH($B38,'Area Category Method'!$A$3:$A$59,0))</f>
        <v>Office</v>
      </c>
      <c r="K38" s="54">
        <f>SUM(O38:AL38)</f>
        <v>1593.45</v>
      </c>
      <c r="L38" s="44">
        <f t="shared" si="5"/>
        <v>2296.62450657</v>
      </c>
      <c r="M38" s="59">
        <f>L38/D38</f>
        <v>1.625319</v>
      </c>
      <c r="N38" s="59">
        <f t="shared" si="3"/>
        <v>1.625319</v>
      </c>
      <c r="O38" s="60">
        <f>INDEX(Schedules!$E$7:$AB$45,MATCH($J38,Schedules!$B$7:$B$45,0),O$17)*$C$12+AVERAGE(INDEX(Schedules!$E$7:$AB$45,MATCH($J38,Schedules!$B$7:$B$45,0)+1,O$17),INDEX(Schedules!$E$7:$AB$45,MATCH($J38,Schedules!$B$7:$B$45,0)+2,O$17))*$C$13</f>
        <v>17.73</v>
      </c>
      <c r="P38" s="60">
        <f>INDEX(Schedules!$E$7:$AB$45,MATCH($J38,Schedules!$B$7:$B$45,0),P$17)*$C$12+AVERAGE(INDEX(Schedules!$E$7:$AB$45,MATCH($J38,Schedules!$B$7:$B$45,0)+1,P$17),INDEX(Schedules!$E$7:$AB$45,MATCH($J38,Schedules!$B$7:$B$45,0)+2,P$17))*$C$13</f>
        <v>17.73</v>
      </c>
      <c r="Q38" s="60">
        <f>INDEX(Schedules!$E$7:$AB$45,MATCH($J38,Schedules!$B$7:$B$45,0),Q$17)*$C$12+AVERAGE(INDEX(Schedules!$E$7:$AB$45,MATCH($J38,Schedules!$B$7:$B$45,0)+1,Q$17),INDEX(Schedules!$E$7:$AB$45,MATCH($J38,Schedules!$B$7:$B$45,0)+2,Q$17))*$C$13</f>
        <v>17.73</v>
      </c>
      <c r="R38" s="60">
        <f>INDEX(Schedules!$E$7:$AB$45,MATCH($J38,Schedules!$B$7:$B$45,0),R$17)*$C$12+AVERAGE(INDEX(Schedules!$E$7:$AB$45,MATCH($J38,Schedules!$B$7:$B$45,0)+1,R$17),INDEX(Schedules!$E$7:$AB$45,MATCH($J38,Schedules!$B$7:$B$45,0)+2,R$17))*$C$13</f>
        <v>17.73</v>
      </c>
      <c r="S38" s="60">
        <f>INDEX(Schedules!$E$7:$AB$45,MATCH($J38,Schedules!$B$7:$B$45,0),S$17)*$C$12+AVERAGE(INDEX(Schedules!$E$7:$AB$45,MATCH($J38,Schedules!$B$7:$B$45,0)+1,S$17),INDEX(Schedules!$E$7:$AB$45,MATCH($J38,Schedules!$B$7:$B$45,0)+2,S$17))*$C$13</f>
        <v>17.73</v>
      </c>
      <c r="T38" s="60">
        <f>INDEX(Schedules!$E$7:$AB$45,MATCH($J38,Schedules!$B$7:$B$45,0),T$17)*$C$12+AVERAGE(INDEX(Schedules!$E$7:$AB$45,MATCH($J38,Schedules!$B$7:$B$45,0)+1,T$17),INDEX(Schedules!$E$7:$AB$45,MATCH($J38,Schedules!$B$7:$B$45,0)+2,T$17))*$C$13</f>
        <v>28.68</v>
      </c>
      <c r="U38" s="60">
        <f>INDEX(Schedules!$E$7:$AB$45,MATCH($J38,Schedules!$B$7:$B$45,0),U$17)*$C$12+AVERAGE(INDEX(Schedules!$E$7:$AB$45,MATCH($J38,Schedules!$B$7:$B$45,0)+1,U$17),INDEX(Schedules!$E$7:$AB$45,MATCH($J38,Schedules!$B$7:$B$45,0)+2,U$17))*$C$13</f>
        <v>23.990000000000002</v>
      </c>
      <c r="V38" s="60">
        <f>INDEX(Schedules!$E$7:$AB$45,MATCH($J38,Schedules!$B$7:$B$45,0),V$17)*$C$12+AVERAGE(INDEX(Schedules!$E$7:$AB$45,MATCH($J38,Schedules!$B$7:$B$45,0)+1,V$17),INDEX(Schedules!$E$7:$AB$45,MATCH($J38,Schedules!$B$7:$B$45,0)+2,V$17))*$C$13</f>
        <v>57.39</v>
      </c>
      <c r="W38" s="60">
        <f>INDEX(Schedules!$E$7:$AB$45,MATCH($J38,Schedules!$B$7:$B$45,0),W$17)*$C$12+AVERAGE(INDEX(Schedules!$E$7:$AB$45,MATCH($J38,Schedules!$B$7:$B$45,0)+1,W$17),INDEX(Schedules!$E$7:$AB$45,MATCH($J38,Schedules!$B$7:$B$45,0)+2,W$17))*$C$13</f>
        <v>101.22999999999999</v>
      </c>
      <c r="X38" s="60">
        <f>INDEX(Schedules!$E$7:$AB$45,MATCH($J38,Schedules!$B$7:$B$45,0),X$17)*$C$12+AVERAGE(INDEX(Schedules!$E$7:$AB$45,MATCH($J38,Schedules!$B$7:$B$45,0)+1,X$17),INDEX(Schedules!$E$7:$AB$45,MATCH($J38,Schedules!$B$7:$B$45,0)+2,X$17))*$C$13</f>
        <v>112.18</v>
      </c>
      <c r="Y38" s="60">
        <f>INDEX(Schedules!$E$7:$AB$45,MATCH($J38,Schedules!$B$7:$B$45,0),Y$17)*$C$12+AVERAGE(INDEX(Schedules!$E$7:$AB$45,MATCH($J38,Schedules!$B$7:$B$45,0)+1,Y$17),INDEX(Schedules!$E$7:$AB$45,MATCH($J38,Schedules!$B$7:$B$45,0)+2,Y$17))*$C$13</f>
        <v>113.75</v>
      </c>
      <c r="Z38" s="60">
        <f>INDEX(Schedules!$E$7:$AB$45,MATCH($J38,Schedules!$B$7:$B$45,0),Z$17)*$C$12+AVERAGE(INDEX(Schedules!$E$7:$AB$45,MATCH($J38,Schedules!$B$7:$B$45,0)+1,Z$17),INDEX(Schedules!$E$7:$AB$45,MATCH($J38,Schedules!$B$7:$B$45,0)+2,Z$17))*$C$13</f>
        <v>137.75</v>
      </c>
      <c r="AA38" s="60">
        <f>INDEX(Schedules!$E$7:$AB$45,MATCH($J38,Schedules!$B$7:$B$45,0),AA$17)*$C$12+AVERAGE(INDEX(Schedules!$E$7:$AB$45,MATCH($J38,Schedules!$B$7:$B$45,0)+1,AA$17),INDEX(Schedules!$E$7:$AB$45,MATCH($J38,Schedules!$B$7:$B$45,0)+2,AA$17))*$C$13</f>
        <v>162.29</v>
      </c>
      <c r="AB38" s="60">
        <f>INDEX(Schedules!$E$7:$AB$45,MATCH($J38,Schedules!$B$7:$B$45,0),AB$17)*$C$12+AVERAGE(INDEX(Schedules!$E$7:$AB$45,MATCH($J38,Schedules!$B$7:$B$45,0)+1,AB$17),INDEX(Schedules!$E$7:$AB$45,MATCH($J38,Schedules!$B$7:$B$45,0)+2,AB$17))*$C$13</f>
        <v>155.5</v>
      </c>
      <c r="AC38" s="60">
        <f>INDEX(Schedules!$E$7:$AB$45,MATCH($J38,Schedules!$B$7:$B$45,0),AC$17)*$C$12+AVERAGE(INDEX(Schedules!$E$7:$AB$45,MATCH($J38,Schedules!$B$7:$B$45,0)+1,AC$17),INDEX(Schedules!$E$7:$AB$45,MATCH($J38,Schedules!$B$7:$B$45,0)+2,AC$17))*$C$13</f>
        <v>99.660000000000011</v>
      </c>
      <c r="AD38" s="60">
        <f>INDEX(Schedules!$E$7:$AB$45,MATCH($J38,Schedules!$B$7:$B$45,0),AD$17)*$C$12+AVERAGE(INDEX(Schedules!$E$7:$AB$45,MATCH($J38,Schedules!$B$7:$B$45,0)+1,AD$17),INDEX(Schedules!$E$7:$AB$45,MATCH($J38,Schedules!$B$7:$B$45,0)+2,AD$17))*$C$13</f>
        <v>94.450000000000017</v>
      </c>
      <c r="AE38" s="60">
        <f>INDEX(Schedules!$E$7:$AB$45,MATCH($J38,Schedules!$B$7:$B$45,0),AE$17)*$C$12+AVERAGE(INDEX(Schedules!$E$7:$AB$45,MATCH($J38,Schedules!$B$7:$B$45,0)+1,AE$17),INDEX(Schedules!$E$7:$AB$45,MATCH($J38,Schedules!$B$7:$B$45,0)+2,AE$17))*$C$13</f>
        <v>124.2</v>
      </c>
      <c r="AF38" s="60">
        <f>INDEX(Schedules!$E$7:$AB$45,MATCH($J38,Schedules!$B$7:$B$45,0),AF$17)*$C$12+AVERAGE(INDEX(Schedules!$E$7:$AB$45,MATCH($J38,Schedules!$B$7:$B$45,0)+1,AF$17),INDEX(Schedules!$E$7:$AB$45,MATCH($J38,Schedules!$B$7:$B$45,0)+2,AF$17))*$C$13</f>
        <v>73.58</v>
      </c>
      <c r="AG38" s="60">
        <f>INDEX(Schedules!$E$7:$AB$45,MATCH($J38,Schedules!$B$7:$B$45,0),AG$17)*$C$12+AVERAGE(INDEX(Schedules!$E$7:$AB$45,MATCH($J38,Schedules!$B$7:$B$45,0)+1,AG$17),INDEX(Schedules!$E$7:$AB$45,MATCH($J38,Schedules!$B$7:$B$45,0)+2,AG$17))*$C$13</f>
        <v>60.529999999999994</v>
      </c>
      <c r="AH38" s="60">
        <f>INDEX(Schedules!$E$7:$AB$45,MATCH($J38,Schedules!$B$7:$B$45,0),AH$17)*$C$12+AVERAGE(INDEX(Schedules!$E$7:$AB$45,MATCH($J38,Schedules!$B$7:$B$45,0)+1,AH$17),INDEX(Schedules!$E$7:$AB$45,MATCH($J38,Schedules!$B$7:$B$45,0)+2,AH$17))*$C$13</f>
        <v>44.87</v>
      </c>
      <c r="AI38" s="60">
        <f>INDEX(Schedules!$E$7:$AB$45,MATCH($J38,Schedules!$B$7:$B$45,0),AI$17)*$C$12+AVERAGE(INDEX(Schedules!$E$7:$AB$45,MATCH($J38,Schedules!$B$7:$B$45,0)+1,AI$17),INDEX(Schedules!$E$7:$AB$45,MATCH($J38,Schedules!$B$7:$B$45,0)+2,AI$17))*$C$13</f>
        <v>50.09</v>
      </c>
      <c r="AJ38" s="60">
        <f>INDEX(Schedules!$E$7:$AB$45,MATCH($J38,Schedules!$B$7:$B$45,0),AJ$17)*$C$12+AVERAGE(INDEX(Schedules!$E$7:$AB$45,MATCH($J38,Schedules!$B$7:$B$45,0)+1,AJ$17),INDEX(Schedules!$E$7:$AB$45,MATCH($J38,Schedules!$B$7:$B$45,0)+2,AJ$17))*$C$13</f>
        <v>29.2</v>
      </c>
      <c r="AK38" s="60">
        <f>INDEX(Schedules!$E$7:$AB$45,MATCH($J38,Schedules!$B$7:$B$45,0),AK$17)*$C$12+AVERAGE(INDEX(Schedules!$E$7:$AB$45,MATCH($J38,Schedules!$B$7:$B$45,0)+1,AK$17),INDEX(Schedules!$E$7:$AB$45,MATCH($J38,Schedules!$B$7:$B$45,0)+2,AK$17))*$C$13</f>
        <v>17.73</v>
      </c>
      <c r="AL38" s="60">
        <f>INDEX(Schedules!$E$7:$AB$45,MATCH($J38,Schedules!$B$7:$B$45,0),AL$17)*$C$12+AVERAGE(INDEX(Schedules!$E$7:$AB$45,MATCH($J38,Schedules!$B$7:$B$45,0)+1,AL$17),INDEX(Schedules!$E$7:$AB$45,MATCH($J38,Schedules!$B$7:$B$45,0)+2,AL$17))*$C$13</f>
        <v>17.73</v>
      </c>
    </row>
    <row r="39" spans="2:38" x14ac:dyDescent="0.25">
      <c r="B39" s="132" t="s">
        <v>154</v>
      </c>
      <c r="C39" s="64" t="s">
        <v>170</v>
      </c>
      <c r="D39" s="64">
        <v>2231.9899999999998</v>
      </c>
      <c r="E39" s="65">
        <f>INDEX('Area Category Method'!$B$3:$B$59,MATCH($B39,'Area Category Method'!$A$3:$A$59,0))</f>
        <v>66.666666666666671</v>
      </c>
      <c r="F39" s="54">
        <f t="shared" si="1"/>
        <v>14.999999999999998</v>
      </c>
      <c r="G39" s="54">
        <f>INDEX('Area Category Method'!$G$3:$G$59,MATCH($B39,'Area Category Method'!$A$3:$A$59,0))</f>
        <v>0.09</v>
      </c>
      <c r="I39" s="66">
        <f>D39/F39*G39/60</f>
        <v>0.22319899999999998</v>
      </c>
      <c r="J39" s="54" t="str">
        <f>INDEX('Area Category Method'!$S$3:$S$59,MATCH($B39,'Area Category Method'!$A$3:$A$59,0))</f>
        <v>Assembly</v>
      </c>
      <c r="K39" s="54">
        <f>SUM(O39:AL39)</f>
        <v>307.50000000000006</v>
      </c>
      <c r="L39" s="44">
        <f t="shared" si="5"/>
        <v>2333.5455449999999</v>
      </c>
      <c r="M39" s="59">
        <f>L39/D39</f>
        <v>1.0455000000000001</v>
      </c>
      <c r="N39" s="59">
        <f t="shared" si="3"/>
        <v>1.0455000000000001</v>
      </c>
      <c r="O39" s="60">
        <f>INDEX(Schedules!$E$7:$AB$45,MATCH($J39,Schedules!$B$7:$B$45,0),O$17)*$C$12+AVERAGE(INDEX(Schedules!$E$7:$AB$45,MATCH($J39,Schedules!$B$7:$B$45,0)+1,O$17),INDEX(Schedules!$E$7:$AB$45,MATCH($J39,Schedules!$B$7:$B$45,0)+2,O$17))*$C$13</f>
        <v>0</v>
      </c>
      <c r="P39" s="60">
        <f>INDEX(Schedules!$E$7:$AB$45,MATCH($J39,Schedules!$B$7:$B$45,0),P$17)*$C$12+AVERAGE(INDEX(Schedules!$E$7:$AB$45,MATCH($J39,Schedules!$B$7:$B$45,0)+1,P$17),INDEX(Schedules!$E$7:$AB$45,MATCH($J39,Schedules!$B$7:$B$45,0)+2,P$17))*$C$13</f>
        <v>0</v>
      </c>
      <c r="Q39" s="60">
        <f>INDEX(Schedules!$E$7:$AB$45,MATCH($J39,Schedules!$B$7:$B$45,0),Q$17)*$C$12+AVERAGE(INDEX(Schedules!$E$7:$AB$45,MATCH($J39,Schedules!$B$7:$B$45,0)+1,Q$17),INDEX(Schedules!$E$7:$AB$45,MATCH($J39,Schedules!$B$7:$B$45,0)+2,Q$17))*$C$13</f>
        <v>0</v>
      </c>
      <c r="R39" s="60">
        <f>INDEX(Schedules!$E$7:$AB$45,MATCH($J39,Schedules!$B$7:$B$45,0),R$17)*$C$12+AVERAGE(INDEX(Schedules!$E$7:$AB$45,MATCH($J39,Schedules!$B$7:$B$45,0)+1,R$17),INDEX(Schedules!$E$7:$AB$45,MATCH($J39,Schedules!$B$7:$B$45,0)+2,R$17))*$C$13</f>
        <v>0</v>
      </c>
      <c r="S39" s="60">
        <f>INDEX(Schedules!$E$7:$AB$45,MATCH($J39,Schedules!$B$7:$B$45,0),S$17)*$C$12+AVERAGE(INDEX(Schedules!$E$7:$AB$45,MATCH($J39,Schedules!$B$7:$B$45,0)+1,S$17),INDEX(Schedules!$E$7:$AB$45,MATCH($J39,Schedules!$B$7:$B$45,0)+2,S$17))*$C$13</f>
        <v>0</v>
      </c>
      <c r="T39" s="60">
        <f>INDEX(Schedules!$E$7:$AB$45,MATCH($J39,Schedules!$B$7:$B$45,0),T$17)*$C$12+AVERAGE(INDEX(Schedules!$E$7:$AB$45,MATCH($J39,Schedules!$B$7:$B$45,0)+1,T$17),INDEX(Schedules!$E$7:$AB$45,MATCH($J39,Schedules!$B$7:$B$45,0)+2,T$17))*$C$13</f>
        <v>0</v>
      </c>
      <c r="U39" s="60">
        <f>INDEX(Schedules!$E$7:$AB$45,MATCH($J39,Schedules!$B$7:$B$45,0),U$17)*$C$12+AVERAGE(INDEX(Schedules!$E$7:$AB$45,MATCH($J39,Schedules!$B$7:$B$45,0)+1,U$17),INDEX(Schedules!$E$7:$AB$45,MATCH($J39,Schedules!$B$7:$B$45,0)+2,U$17))*$C$13</f>
        <v>0</v>
      </c>
      <c r="V39" s="60">
        <f>INDEX(Schedules!$E$7:$AB$45,MATCH($J39,Schedules!$B$7:$B$45,0),V$17)*$C$12+AVERAGE(INDEX(Schedules!$E$7:$AB$45,MATCH($J39,Schedules!$B$7:$B$45,0)+1,V$17),INDEX(Schedules!$E$7:$AB$45,MATCH($J39,Schedules!$B$7:$B$45,0)+2,V$17))*$C$13</f>
        <v>0</v>
      </c>
      <c r="W39" s="60">
        <f>INDEX(Schedules!$E$7:$AB$45,MATCH($J39,Schedules!$B$7:$B$45,0),W$17)*$C$12+AVERAGE(INDEX(Schedules!$E$7:$AB$45,MATCH($J39,Schedules!$B$7:$B$45,0)+1,W$17),INDEX(Schedules!$E$7:$AB$45,MATCH($J39,Schedules!$B$7:$B$45,0)+2,W$17))*$C$13</f>
        <v>0</v>
      </c>
      <c r="X39" s="60">
        <f>INDEX(Schedules!$E$7:$AB$45,MATCH($J39,Schedules!$B$7:$B$45,0),X$17)*$C$12+AVERAGE(INDEX(Schedules!$E$7:$AB$45,MATCH($J39,Schedules!$B$7:$B$45,0)+1,X$17),INDEX(Schedules!$E$7:$AB$45,MATCH($J39,Schedules!$B$7:$B$45,0)+2,X$17))*$C$13</f>
        <v>18.25</v>
      </c>
      <c r="Y39" s="60">
        <f>INDEX(Schedules!$E$7:$AB$45,MATCH($J39,Schedules!$B$7:$B$45,0),Y$17)*$C$12+AVERAGE(INDEX(Schedules!$E$7:$AB$45,MATCH($J39,Schedules!$B$7:$B$45,0)+1,Y$17),INDEX(Schedules!$E$7:$AB$45,MATCH($J39,Schedules!$B$7:$B$45,0)+2,Y$17))*$C$13</f>
        <v>18.25</v>
      </c>
      <c r="Z39" s="60">
        <f>INDEX(Schedules!$E$7:$AB$45,MATCH($J39,Schedules!$B$7:$B$45,0),Z$17)*$C$12+AVERAGE(INDEX(Schedules!$E$7:$AB$45,MATCH($J39,Schedules!$B$7:$B$45,0)+1,Z$17),INDEX(Schedules!$E$7:$AB$45,MATCH($J39,Schedules!$B$7:$B$45,0)+2,Z$17))*$C$13</f>
        <v>106.94999999999999</v>
      </c>
      <c r="AA39" s="60">
        <f>INDEX(Schedules!$E$7:$AB$45,MATCH($J39,Schedules!$B$7:$B$45,0),AA$17)*$C$12+AVERAGE(INDEX(Schedules!$E$7:$AB$45,MATCH($J39,Schedules!$B$7:$B$45,0)+1,AA$17),INDEX(Schedules!$E$7:$AB$45,MATCH($J39,Schedules!$B$7:$B$45,0)+2,AA$17))*$C$13</f>
        <v>13.05</v>
      </c>
      <c r="AB39" s="60">
        <f>INDEX(Schedules!$E$7:$AB$45,MATCH($J39,Schedules!$B$7:$B$45,0),AB$17)*$C$12+AVERAGE(INDEX(Schedules!$E$7:$AB$45,MATCH($J39,Schedules!$B$7:$B$45,0)+1,AB$17),INDEX(Schedules!$E$7:$AB$45,MATCH($J39,Schedules!$B$7:$B$45,0)+2,AB$17))*$C$13</f>
        <v>13.05</v>
      </c>
      <c r="AC39" s="60">
        <f>INDEX(Schedules!$E$7:$AB$45,MATCH($J39,Schedules!$B$7:$B$45,0),AC$17)*$C$12+AVERAGE(INDEX(Schedules!$E$7:$AB$45,MATCH($J39,Schedules!$B$7:$B$45,0)+1,AC$17),INDEX(Schedules!$E$7:$AB$45,MATCH($J39,Schedules!$B$7:$B$45,0)+2,AC$17))*$C$13</f>
        <v>13.05</v>
      </c>
      <c r="AD39" s="60">
        <f>INDEX(Schedules!$E$7:$AB$45,MATCH($J39,Schedules!$B$7:$B$45,0),AD$17)*$C$12+AVERAGE(INDEX(Schedules!$E$7:$AB$45,MATCH($J39,Schedules!$B$7:$B$45,0)+1,AD$17),INDEX(Schedules!$E$7:$AB$45,MATCH($J39,Schedules!$B$7:$B$45,0)+2,AD$17))*$C$13</f>
        <v>13.05</v>
      </c>
      <c r="AE39" s="60">
        <f>INDEX(Schedules!$E$7:$AB$45,MATCH($J39,Schedules!$B$7:$B$45,0),AE$17)*$C$12+AVERAGE(INDEX(Schedules!$E$7:$AB$45,MATCH($J39,Schedules!$B$7:$B$45,0)+1,AE$17),INDEX(Schedules!$E$7:$AB$45,MATCH($J39,Schedules!$B$7:$B$45,0)+2,AE$17))*$C$13</f>
        <v>13.05</v>
      </c>
      <c r="AF39" s="60">
        <f>INDEX(Schedules!$E$7:$AB$45,MATCH($J39,Schedules!$B$7:$B$45,0),AF$17)*$C$12+AVERAGE(INDEX(Schedules!$E$7:$AB$45,MATCH($J39,Schedules!$B$7:$B$45,0)+1,AF$17),INDEX(Schedules!$E$7:$AB$45,MATCH($J39,Schedules!$B$7:$B$45,0)+2,AF$17))*$C$13</f>
        <v>0</v>
      </c>
      <c r="AG39" s="60">
        <f>INDEX(Schedules!$E$7:$AB$45,MATCH($J39,Schedules!$B$7:$B$45,0),AG$17)*$C$12+AVERAGE(INDEX(Schedules!$E$7:$AB$45,MATCH($J39,Schedules!$B$7:$B$45,0)+1,AG$17),INDEX(Schedules!$E$7:$AB$45,MATCH($J39,Schedules!$B$7:$B$45,0)+2,AG$17))*$C$13</f>
        <v>0</v>
      </c>
      <c r="AH39" s="60">
        <f>INDEX(Schedules!$E$7:$AB$45,MATCH($J39,Schedules!$B$7:$B$45,0),AH$17)*$C$12+AVERAGE(INDEX(Schedules!$E$7:$AB$45,MATCH($J39,Schedules!$B$7:$B$45,0)+1,AH$17),INDEX(Schedules!$E$7:$AB$45,MATCH($J39,Schedules!$B$7:$B$45,0)+2,AH$17))*$C$13</f>
        <v>67.600000000000009</v>
      </c>
      <c r="AI39" s="60">
        <f>INDEX(Schedules!$E$7:$AB$45,MATCH($J39,Schedules!$B$7:$B$45,0),AI$17)*$C$12+AVERAGE(INDEX(Schedules!$E$7:$AB$45,MATCH($J39,Schedules!$B$7:$B$45,0)+1,AI$17),INDEX(Schedules!$E$7:$AB$45,MATCH($J39,Schedules!$B$7:$B$45,0)+2,AI$17))*$C$13</f>
        <v>31.2</v>
      </c>
      <c r="AJ39" s="60">
        <f>INDEX(Schedules!$E$7:$AB$45,MATCH($J39,Schedules!$B$7:$B$45,0),AJ$17)*$C$12+AVERAGE(INDEX(Schedules!$E$7:$AB$45,MATCH($J39,Schedules!$B$7:$B$45,0)+1,AJ$17),INDEX(Schedules!$E$7:$AB$45,MATCH($J39,Schedules!$B$7:$B$45,0)+2,AJ$17))*$C$13</f>
        <v>0</v>
      </c>
      <c r="AK39" s="60">
        <f>INDEX(Schedules!$E$7:$AB$45,MATCH($J39,Schedules!$B$7:$B$45,0),AK$17)*$C$12+AVERAGE(INDEX(Schedules!$E$7:$AB$45,MATCH($J39,Schedules!$B$7:$B$45,0)+1,AK$17),INDEX(Schedules!$E$7:$AB$45,MATCH($J39,Schedules!$B$7:$B$45,0)+2,AK$17))*$C$13</f>
        <v>0</v>
      </c>
      <c r="AL39" s="60">
        <f>INDEX(Schedules!$E$7:$AB$45,MATCH($J39,Schedules!$B$7:$B$45,0),AL$17)*$C$12+AVERAGE(INDEX(Schedules!$E$7:$AB$45,MATCH($J39,Schedules!$B$7:$B$45,0)+1,AL$17),INDEX(Schedules!$E$7:$AB$45,MATCH($J39,Schedules!$B$7:$B$45,0)+2,AL$17))*$C$13</f>
        <v>0</v>
      </c>
    </row>
    <row r="40" spans="2:38" x14ac:dyDescent="0.25">
      <c r="B40" s="132" t="s">
        <v>166</v>
      </c>
      <c r="C40" s="64" t="s">
        <v>171</v>
      </c>
      <c r="D40" s="64">
        <v>1412.94</v>
      </c>
      <c r="E40" s="65">
        <f>INDEX('Area Category Method'!$B$3:$B$59,MATCH($B40,'Area Category Method'!$A$3:$A$59,0))</f>
        <v>10</v>
      </c>
      <c r="F40" s="54">
        <f t="shared" si="1"/>
        <v>100</v>
      </c>
      <c r="G40" s="54">
        <f>INDEX('Area Category Method'!$G$3:$G$59,MATCH($B40,'Area Category Method'!$A$3:$A$59,0))</f>
        <v>0.18</v>
      </c>
      <c r="I40" s="66">
        <f>D40/F40*G40/60</f>
        <v>4.2388200000000001E-2</v>
      </c>
      <c r="J40" s="54" t="str">
        <f>INDEX('Area Category Method'!$S$3:$S$59,MATCH($B40,'Area Category Method'!$A$3:$A$59,0))</f>
        <v>Office</v>
      </c>
      <c r="K40" s="54">
        <f>SUM(O40:AL40)</f>
        <v>1593.45</v>
      </c>
      <c r="L40" s="44">
        <f t="shared" si="5"/>
        <v>2296.4782278600001</v>
      </c>
      <c r="M40" s="59">
        <f>L40/D40</f>
        <v>1.625319</v>
      </c>
      <c r="N40" s="59">
        <f t="shared" si="3"/>
        <v>1.625319</v>
      </c>
      <c r="O40" s="60">
        <f>INDEX(Schedules!$E$7:$AB$45,MATCH($J40,Schedules!$B$7:$B$45,0),O$17)*$C$12+AVERAGE(INDEX(Schedules!$E$7:$AB$45,MATCH($J40,Schedules!$B$7:$B$45,0)+1,O$17),INDEX(Schedules!$E$7:$AB$45,MATCH($J40,Schedules!$B$7:$B$45,0)+2,O$17))*$C$13</f>
        <v>17.73</v>
      </c>
      <c r="P40" s="60">
        <f>INDEX(Schedules!$E$7:$AB$45,MATCH($J40,Schedules!$B$7:$B$45,0),P$17)*$C$12+AVERAGE(INDEX(Schedules!$E$7:$AB$45,MATCH($J40,Schedules!$B$7:$B$45,0)+1,P$17),INDEX(Schedules!$E$7:$AB$45,MATCH($J40,Schedules!$B$7:$B$45,0)+2,P$17))*$C$13</f>
        <v>17.73</v>
      </c>
      <c r="Q40" s="60">
        <f>INDEX(Schedules!$E$7:$AB$45,MATCH($J40,Schedules!$B$7:$B$45,0),Q$17)*$C$12+AVERAGE(INDEX(Schedules!$E$7:$AB$45,MATCH($J40,Schedules!$B$7:$B$45,0)+1,Q$17),INDEX(Schedules!$E$7:$AB$45,MATCH($J40,Schedules!$B$7:$B$45,0)+2,Q$17))*$C$13</f>
        <v>17.73</v>
      </c>
      <c r="R40" s="60">
        <f>INDEX(Schedules!$E$7:$AB$45,MATCH($J40,Schedules!$B$7:$B$45,0),R$17)*$C$12+AVERAGE(INDEX(Schedules!$E$7:$AB$45,MATCH($J40,Schedules!$B$7:$B$45,0)+1,R$17),INDEX(Schedules!$E$7:$AB$45,MATCH($J40,Schedules!$B$7:$B$45,0)+2,R$17))*$C$13</f>
        <v>17.73</v>
      </c>
      <c r="S40" s="60">
        <f>INDEX(Schedules!$E$7:$AB$45,MATCH($J40,Schedules!$B$7:$B$45,0),S$17)*$C$12+AVERAGE(INDEX(Schedules!$E$7:$AB$45,MATCH($J40,Schedules!$B$7:$B$45,0)+1,S$17),INDEX(Schedules!$E$7:$AB$45,MATCH($J40,Schedules!$B$7:$B$45,0)+2,S$17))*$C$13</f>
        <v>17.73</v>
      </c>
      <c r="T40" s="60">
        <f>INDEX(Schedules!$E$7:$AB$45,MATCH($J40,Schedules!$B$7:$B$45,0),T$17)*$C$12+AVERAGE(INDEX(Schedules!$E$7:$AB$45,MATCH($J40,Schedules!$B$7:$B$45,0)+1,T$17),INDEX(Schedules!$E$7:$AB$45,MATCH($J40,Schedules!$B$7:$B$45,0)+2,T$17))*$C$13</f>
        <v>28.68</v>
      </c>
      <c r="U40" s="60">
        <f>INDEX(Schedules!$E$7:$AB$45,MATCH($J40,Schedules!$B$7:$B$45,0),U$17)*$C$12+AVERAGE(INDEX(Schedules!$E$7:$AB$45,MATCH($J40,Schedules!$B$7:$B$45,0)+1,U$17),INDEX(Schedules!$E$7:$AB$45,MATCH($J40,Schedules!$B$7:$B$45,0)+2,U$17))*$C$13</f>
        <v>23.990000000000002</v>
      </c>
      <c r="V40" s="60">
        <f>INDEX(Schedules!$E$7:$AB$45,MATCH($J40,Schedules!$B$7:$B$45,0),V$17)*$C$12+AVERAGE(INDEX(Schedules!$E$7:$AB$45,MATCH($J40,Schedules!$B$7:$B$45,0)+1,V$17),INDEX(Schedules!$E$7:$AB$45,MATCH($J40,Schedules!$B$7:$B$45,0)+2,V$17))*$C$13</f>
        <v>57.39</v>
      </c>
      <c r="W40" s="60">
        <f>INDEX(Schedules!$E$7:$AB$45,MATCH($J40,Schedules!$B$7:$B$45,0),W$17)*$C$12+AVERAGE(INDEX(Schedules!$E$7:$AB$45,MATCH($J40,Schedules!$B$7:$B$45,0)+1,W$17),INDEX(Schedules!$E$7:$AB$45,MATCH($J40,Schedules!$B$7:$B$45,0)+2,W$17))*$C$13</f>
        <v>101.22999999999999</v>
      </c>
      <c r="X40" s="60">
        <f>INDEX(Schedules!$E$7:$AB$45,MATCH($J40,Schedules!$B$7:$B$45,0),X$17)*$C$12+AVERAGE(INDEX(Schedules!$E$7:$AB$45,MATCH($J40,Schedules!$B$7:$B$45,0)+1,X$17),INDEX(Schedules!$E$7:$AB$45,MATCH($J40,Schedules!$B$7:$B$45,0)+2,X$17))*$C$13</f>
        <v>112.18</v>
      </c>
      <c r="Y40" s="60">
        <f>INDEX(Schedules!$E$7:$AB$45,MATCH($J40,Schedules!$B$7:$B$45,0),Y$17)*$C$12+AVERAGE(INDEX(Schedules!$E$7:$AB$45,MATCH($J40,Schedules!$B$7:$B$45,0)+1,Y$17),INDEX(Schedules!$E$7:$AB$45,MATCH($J40,Schedules!$B$7:$B$45,0)+2,Y$17))*$C$13</f>
        <v>113.75</v>
      </c>
      <c r="Z40" s="60">
        <f>INDEX(Schedules!$E$7:$AB$45,MATCH($J40,Schedules!$B$7:$B$45,0),Z$17)*$C$12+AVERAGE(INDEX(Schedules!$E$7:$AB$45,MATCH($J40,Schedules!$B$7:$B$45,0)+1,Z$17),INDEX(Schedules!$E$7:$AB$45,MATCH($J40,Schedules!$B$7:$B$45,0)+2,Z$17))*$C$13</f>
        <v>137.75</v>
      </c>
      <c r="AA40" s="60">
        <f>INDEX(Schedules!$E$7:$AB$45,MATCH($J40,Schedules!$B$7:$B$45,0),AA$17)*$C$12+AVERAGE(INDEX(Schedules!$E$7:$AB$45,MATCH($J40,Schedules!$B$7:$B$45,0)+1,AA$17),INDEX(Schedules!$E$7:$AB$45,MATCH($J40,Schedules!$B$7:$B$45,0)+2,AA$17))*$C$13</f>
        <v>162.29</v>
      </c>
      <c r="AB40" s="60">
        <f>INDEX(Schedules!$E$7:$AB$45,MATCH($J40,Schedules!$B$7:$B$45,0),AB$17)*$C$12+AVERAGE(INDEX(Schedules!$E$7:$AB$45,MATCH($J40,Schedules!$B$7:$B$45,0)+1,AB$17),INDEX(Schedules!$E$7:$AB$45,MATCH($J40,Schedules!$B$7:$B$45,0)+2,AB$17))*$C$13</f>
        <v>155.5</v>
      </c>
      <c r="AC40" s="60">
        <f>INDEX(Schedules!$E$7:$AB$45,MATCH($J40,Schedules!$B$7:$B$45,0),AC$17)*$C$12+AVERAGE(INDEX(Schedules!$E$7:$AB$45,MATCH($J40,Schedules!$B$7:$B$45,0)+1,AC$17),INDEX(Schedules!$E$7:$AB$45,MATCH($J40,Schedules!$B$7:$B$45,0)+2,AC$17))*$C$13</f>
        <v>99.660000000000011</v>
      </c>
      <c r="AD40" s="60">
        <f>INDEX(Schedules!$E$7:$AB$45,MATCH($J40,Schedules!$B$7:$B$45,0),AD$17)*$C$12+AVERAGE(INDEX(Schedules!$E$7:$AB$45,MATCH($J40,Schedules!$B$7:$B$45,0)+1,AD$17),INDEX(Schedules!$E$7:$AB$45,MATCH($J40,Schedules!$B$7:$B$45,0)+2,AD$17))*$C$13</f>
        <v>94.450000000000017</v>
      </c>
      <c r="AE40" s="60">
        <f>INDEX(Schedules!$E$7:$AB$45,MATCH($J40,Schedules!$B$7:$B$45,0),AE$17)*$C$12+AVERAGE(INDEX(Schedules!$E$7:$AB$45,MATCH($J40,Schedules!$B$7:$B$45,0)+1,AE$17),INDEX(Schedules!$E$7:$AB$45,MATCH($J40,Schedules!$B$7:$B$45,0)+2,AE$17))*$C$13</f>
        <v>124.2</v>
      </c>
      <c r="AF40" s="60">
        <f>INDEX(Schedules!$E$7:$AB$45,MATCH($J40,Schedules!$B$7:$B$45,0),AF$17)*$C$12+AVERAGE(INDEX(Schedules!$E$7:$AB$45,MATCH($J40,Schedules!$B$7:$B$45,0)+1,AF$17),INDEX(Schedules!$E$7:$AB$45,MATCH($J40,Schedules!$B$7:$B$45,0)+2,AF$17))*$C$13</f>
        <v>73.58</v>
      </c>
      <c r="AG40" s="60">
        <f>INDEX(Schedules!$E$7:$AB$45,MATCH($J40,Schedules!$B$7:$B$45,0),AG$17)*$C$12+AVERAGE(INDEX(Schedules!$E$7:$AB$45,MATCH($J40,Schedules!$B$7:$B$45,0)+1,AG$17),INDEX(Schedules!$E$7:$AB$45,MATCH($J40,Schedules!$B$7:$B$45,0)+2,AG$17))*$C$13</f>
        <v>60.529999999999994</v>
      </c>
      <c r="AH40" s="60">
        <f>INDEX(Schedules!$E$7:$AB$45,MATCH($J40,Schedules!$B$7:$B$45,0),AH$17)*$C$12+AVERAGE(INDEX(Schedules!$E$7:$AB$45,MATCH($J40,Schedules!$B$7:$B$45,0)+1,AH$17),INDEX(Schedules!$E$7:$AB$45,MATCH($J40,Schedules!$B$7:$B$45,0)+2,AH$17))*$C$13</f>
        <v>44.87</v>
      </c>
      <c r="AI40" s="60">
        <f>INDEX(Schedules!$E$7:$AB$45,MATCH($J40,Schedules!$B$7:$B$45,0),AI$17)*$C$12+AVERAGE(INDEX(Schedules!$E$7:$AB$45,MATCH($J40,Schedules!$B$7:$B$45,0)+1,AI$17),INDEX(Schedules!$E$7:$AB$45,MATCH($J40,Schedules!$B$7:$B$45,0)+2,AI$17))*$C$13</f>
        <v>50.09</v>
      </c>
      <c r="AJ40" s="60">
        <f>INDEX(Schedules!$E$7:$AB$45,MATCH($J40,Schedules!$B$7:$B$45,0),AJ$17)*$C$12+AVERAGE(INDEX(Schedules!$E$7:$AB$45,MATCH($J40,Schedules!$B$7:$B$45,0)+1,AJ$17),INDEX(Schedules!$E$7:$AB$45,MATCH($J40,Schedules!$B$7:$B$45,0)+2,AJ$17))*$C$13</f>
        <v>29.2</v>
      </c>
      <c r="AK40" s="60">
        <f>INDEX(Schedules!$E$7:$AB$45,MATCH($J40,Schedules!$B$7:$B$45,0),AK$17)*$C$12+AVERAGE(INDEX(Schedules!$E$7:$AB$45,MATCH($J40,Schedules!$B$7:$B$45,0)+1,AK$17),INDEX(Schedules!$E$7:$AB$45,MATCH($J40,Schedules!$B$7:$B$45,0)+2,AK$17))*$C$13</f>
        <v>17.73</v>
      </c>
      <c r="AL40" s="60">
        <f>INDEX(Schedules!$E$7:$AB$45,MATCH($J40,Schedules!$B$7:$B$45,0),AL$17)*$C$12+AVERAGE(INDEX(Schedules!$E$7:$AB$45,MATCH($J40,Schedules!$B$7:$B$45,0)+1,AL$17),INDEX(Schedules!$E$7:$AB$45,MATCH($J40,Schedules!$B$7:$B$45,0)+2,AL$17))*$C$13</f>
        <v>17.73</v>
      </c>
    </row>
    <row r="42" spans="2:38" x14ac:dyDescent="0.25">
      <c r="B42" s="84" t="s">
        <v>568</v>
      </c>
      <c r="D42" s="40">
        <f>SUM(D26:D40)</f>
        <v>53633.039999999994</v>
      </c>
      <c r="I42" s="133">
        <f>SUM(I26:I40)</f>
        <v>3.1031468100000001</v>
      </c>
      <c r="K42" s="61">
        <f>K40</f>
        <v>1593.45</v>
      </c>
      <c r="L42" s="135">
        <f>SUM(L26:L40)</f>
        <v>116691.37973899202</v>
      </c>
      <c r="M42" s="68">
        <f>L42/D42</f>
        <v>2.1757368170626172</v>
      </c>
      <c r="N42" s="68">
        <f>M42/C14</f>
        <v>2.1757368170626172</v>
      </c>
    </row>
  </sheetData>
  <hyperlinks>
    <hyperlink ref="A3" r:id="rId1" xr:uid="{12363E74-2212-44C4-A891-9224A19F06CC}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DBF7E6-459A-4B16-8712-A0865A2EC310}">
          <x14:formula1>
            <xm:f>'Area Category Method'!$A$3:$A$59</xm:f>
          </x14:formula1>
          <xm:sqref>B26:B40</xm:sqref>
        </x14:dataValidation>
        <x14:dataValidation type="list" allowBlank="1" showInputMessage="1" showErrorMessage="1" xr:uid="{311B8C95-50C6-4CB4-83DD-C9C9FBFEF652}">
          <x14:formula1>
            <xm:f>'Complete Building Method'!$A$3:$A$19</xm:f>
          </x14:formula1>
          <xm:sqref>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57F9-F9CA-4B4B-8AD3-840369CA9124}">
  <dimension ref="B5:AD45"/>
  <sheetViews>
    <sheetView workbookViewId="0">
      <selection activeCell="F20" sqref="F20"/>
    </sheetView>
  </sheetViews>
  <sheetFormatPr defaultRowHeight="13.2" x14ac:dyDescent="0.25"/>
  <cols>
    <col min="1" max="16384" width="8.796875" style="39"/>
  </cols>
  <sheetData>
    <row r="5" spans="2:30" x14ac:dyDescent="0.25">
      <c r="E5" s="61"/>
      <c r="F5" s="69"/>
      <c r="G5" s="69"/>
      <c r="H5" s="69"/>
      <c r="I5" s="69"/>
      <c r="J5" s="69"/>
      <c r="K5" s="69"/>
      <c r="L5" s="69"/>
      <c r="M5" s="69"/>
      <c r="N5" s="69"/>
      <c r="O5" s="69"/>
      <c r="P5" s="69" t="s">
        <v>129</v>
      </c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2"/>
    </row>
    <row r="6" spans="2:30" x14ac:dyDescent="0.25">
      <c r="B6" s="61" t="s">
        <v>173</v>
      </c>
      <c r="C6" s="69"/>
      <c r="D6" s="62" t="s">
        <v>174</v>
      </c>
      <c r="E6" s="70">
        <v>1</v>
      </c>
      <c r="F6" s="70">
        <v>2</v>
      </c>
      <c r="G6" s="70">
        <v>3</v>
      </c>
      <c r="H6" s="70">
        <v>4</v>
      </c>
      <c r="I6" s="70">
        <v>5</v>
      </c>
      <c r="J6" s="70">
        <v>6</v>
      </c>
      <c r="K6" s="70">
        <v>7</v>
      </c>
      <c r="L6" s="70">
        <v>8</v>
      </c>
      <c r="M6" s="70">
        <v>9</v>
      </c>
      <c r="N6" s="70">
        <v>10</v>
      </c>
      <c r="O6" s="70">
        <v>11</v>
      </c>
      <c r="P6" s="70">
        <v>12</v>
      </c>
      <c r="Q6" s="70">
        <v>13</v>
      </c>
      <c r="R6" s="70">
        <v>14</v>
      </c>
      <c r="S6" s="70">
        <v>15</v>
      </c>
      <c r="T6" s="70">
        <v>16</v>
      </c>
      <c r="U6" s="70">
        <v>17</v>
      </c>
      <c r="V6" s="70">
        <v>18</v>
      </c>
      <c r="W6" s="70">
        <v>19</v>
      </c>
      <c r="X6" s="70">
        <v>20</v>
      </c>
      <c r="Y6" s="70">
        <v>21</v>
      </c>
      <c r="Z6" s="70">
        <v>22</v>
      </c>
      <c r="AA6" s="70">
        <v>23</v>
      </c>
      <c r="AB6" s="70">
        <v>24</v>
      </c>
      <c r="AC6" s="71"/>
      <c r="AD6" s="39" t="s">
        <v>175</v>
      </c>
    </row>
    <row r="7" spans="2:30" x14ac:dyDescent="0.25">
      <c r="B7" s="39" t="s">
        <v>176</v>
      </c>
      <c r="D7" s="72" t="s">
        <v>177</v>
      </c>
      <c r="E7" s="73">
        <v>0.02</v>
      </c>
      <c r="F7" s="74">
        <v>0.02</v>
      </c>
      <c r="G7" s="74">
        <v>0.02</v>
      </c>
      <c r="H7" s="74">
        <v>0.02</v>
      </c>
      <c r="I7" s="74">
        <v>0.05</v>
      </c>
      <c r="J7" s="74">
        <v>7.0000000000000007E-2</v>
      </c>
      <c r="K7" s="74">
        <v>7.0000000000000007E-2</v>
      </c>
      <c r="L7" s="74">
        <v>0.1</v>
      </c>
      <c r="M7" s="74">
        <v>0.3</v>
      </c>
      <c r="N7" s="74">
        <v>0.36</v>
      </c>
      <c r="O7" s="74">
        <v>0.36</v>
      </c>
      <c r="P7" s="74">
        <v>0.46</v>
      </c>
      <c r="Q7" s="74">
        <v>0.56999999999999995</v>
      </c>
      <c r="R7" s="74">
        <v>0.43</v>
      </c>
      <c r="S7" s="74">
        <v>0.38</v>
      </c>
      <c r="T7" s="74">
        <v>0.4</v>
      </c>
      <c r="U7" s="74">
        <v>0.3</v>
      </c>
      <c r="V7" s="74">
        <v>0.18</v>
      </c>
      <c r="W7" s="74">
        <v>0.03</v>
      </c>
      <c r="X7" s="74">
        <v>0.03</v>
      </c>
      <c r="Y7" s="74">
        <v>0.03</v>
      </c>
      <c r="Z7" s="74">
        <v>0.03</v>
      </c>
      <c r="AA7" s="74">
        <v>0.03</v>
      </c>
      <c r="AB7" s="75">
        <v>0.03</v>
      </c>
      <c r="AC7" s="76"/>
      <c r="AD7" s="77">
        <f>SUM(E7:AB7)</f>
        <v>4.2900000000000009</v>
      </c>
    </row>
    <row r="8" spans="2:30" x14ac:dyDescent="0.25">
      <c r="D8" s="72" t="s">
        <v>178</v>
      </c>
      <c r="E8" s="78">
        <v>0.02</v>
      </c>
      <c r="F8" s="76">
        <v>0.02</v>
      </c>
      <c r="G8" s="76">
        <v>0.02</v>
      </c>
      <c r="H8" s="76">
        <v>0.02</v>
      </c>
      <c r="I8" s="76">
        <v>0.02</v>
      </c>
      <c r="J8" s="76">
        <v>0.02</v>
      </c>
      <c r="K8" s="76">
        <v>0.02</v>
      </c>
      <c r="L8" s="76">
        <v>0.02</v>
      </c>
      <c r="M8" s="76">
        <v>0.06</v>
      </c>
      <c r="N8" s="76">
        <v>0.12</v>
      </c>
      <c r="O8" s="76">
        <v>0.12</v>
      </c>
      <c r="P8" s="76">
        <v>0.17</v>
      </c>
      <c r="Q8" s="76">
        <v>0.04</v>
      </c>
      <c r="R8" s="76">
        <v>0.04</v>
      </c>
      <c r="S8" s="76">
        <v>0.02</v>
      </c>
      <c r="T8" s="76">
        <v>0.02</v>
      </c>
      <c r="U8" s="76">
        <v>0.02</v>
      </c>
      <c r="V8" s="76">
        <v>0.02</v>
      </c>
      <c r="W8" s="76">
        <v>0.02</v>
      </c>
      <c r="X8" s="76">
        <v>0.02</v>
      </c>
      <c r="Y8" s="76">
        <v>0.02</v>
      </c>
      <c r="Z8" s="76">
        <v>0.02</v>
      </c>
      <c r="AA8" s="76">
        <v>0.02</v>
      </c>
      <c r="AB8" s="79">
        <v>0.02</v>
      </c>
      <c r="AC8" s="76"/>
      <c r="AD8" s="77">
        <f t="shared" ref="AD8:AD45" si="0">SUM(E8:AB8)</f>
        <v>0.91000000000000025</v>
      </c>
    </row>
    <row r="9" spans="2:30" x14ac:dyDescent="0.25">
      <c r="D9" s="72" t="s">
        <v>179</v>
      </c>
      <c r="E9" s="80">
        <v>0.02</v>
      </c>
      <c r="F9" s="81">
        <v>0.02</v>
      </c>
      <c r="G9" s="81">
        <v>0.02</v>
      </c>
      <c r="H9" s="81">
        <v>0.02</v>
      </c>
      <c r="I9" s="81">
        <v>0.02</v>
      </c>
      <c r="J9" s="81">
        <v>0.02</v>
      </c>
      <c r="K9" s="81">
        <v>0.02</v>
      </c>
      <c r="L9" s="81">
        <v>0.02</v>
      </c>
      <c r="M9" s="81">
        <v>0.02</v>
      </c>
      <c r="N9" s="81">
        <v>0.02</v>
      </c>
      <c r="O9" s="81">
        <v>0.02</v>
      </c>
      <c r="P9" s="81">
        <v>0.02</v>
      </c>
      <c r="Q9" s="81">
        <v>0.04</v>
      </c>
      <c r="R9" s="81">
        <v>0.04</v>
      </c>
      <c r="S9" s="81">
        <v>0.02</v>
      </c>
      <c r="T9" s="81">
        <v>0.02</v>
      </c>
      <c r="U9" s="81">
        <v>0.02</v>
      </c>
      <c r="V9" s="81">
        <v>0.02</v>
      </c>
      <c r="W9" s="81">
        <v>0.02</v>
      </c>
      <c r="X9" s="81">
        <v>0.02</v>
      </c>
      <c r="Y9" s="81">
        <v>0.02</v>
      </c>
      <c r="Z9" s="81">
        <v>0.02</v>
      </c>
      <c r="AA9" s="81">
        <v>0.02</v>
      </c>
      <c r="AB9" s="82">
        <v>0.02</v>
      </c>
      <c r="AC9" s="76"/>
      <c r="AD9" s="77">
        <f t="shared" si="0"/>
        <v>0.52000000000000013</v>
      </c>
    </row>
    <row r="10" spans="2:30" x14ac:dyDescent="0.25">
      <c r="B10" s="39" t="s">
        <v>180</v>
      </c>
      <c r="D10" s="72" t="s">
        <v>177</v>
      </c>
      <c r="E10" s="73">
        <v>0.05</v>
      </c>
      <c r="F10" s="74">
        <v>0.05</v>
      </c>
      <c r="G10" s="74">
        <v>0.05</v>
      </c>
      <c r="H10" s="74">
        <v>0.05</v>
      </c>
      <c r="I10" s="74">
        <v>0.05</v>
      </c>
      <c r="J10" s="74">
        <v>0.05</v>
      </c>
      <c r="K10" s="74">
        <v>0.05</v>
      </c>
      <c r="L10" s="74">
        <v>0.1</v>
      </c>
      <c r="M10" s="74">
        <v>0.34</v>
      </c>
      <c r="N10" s="74">
        <v>0.6</v>
      </c>
      <c r="O10" s="74">
        <v>0.63</v>
      </c>
      <c r="P10" s="74">
        <v>0.72</v>
      </c>
      <c r="Q10" s="74">
        <v>0.79</v>
      </c>
      <c r="R10" s="74">
        <v>0.83</v>
      </c>
      <c r="S10" s="74">
        <v>0.61</v>
      </c>
      <c r="T10" s="74">
        <v>0.65</v>
      </c>
      <c r="U10" s="74">
        <v>0.1</v>
      </c>
      <c r="V10" s="74">
        <v>0.1</v>
      </c>
      <c r="W10" s="74">
        <v>0.19</v>
      </c>
      <c r="X10" s="74">
        <v>0.25</v>
      </c>
      <c r="Y10" s="74">
        <v>0.22</v>
      </c>
      <c r="Z10" s="74">
        <v>0.22</v>
      </c>
      <c r="AA10" s="74">
        <v>0.12</v>
      </c>
      <c r="AB10" s="75">
        <v>0.09</v>
      </c>
      <c r="AC10" s="76"/>
      <c r="AD10" s="77">
        <f t="shared" si="0"/>
        <v>6.91</v>
      </c>
    </row>
    <row r="11" spans="2:30" x14ac:dyDescent="0.25">
      <c r="D11" s="72" t="s">
        <v>178</v>
      </c>
      <c r="E11" s="78">
        <v>0.03</v>
      </c>
      <c r="F11" s="76">
        <v>0.03</v>
      </c>
      <c r="G11" s="76">
        <v>0.03</v>
      </c>
      <c r="H11" s="76">
        <v>0.03</v>
      </c>
      <c r="I11" s="76">
        <v>0.03</v>
      </c>
      <c r="J11" s="76">
        <v>0.03</v>
      </c>
      <c r="K11" s="76">
        <v>0.03</v>
      </c>
      <c r="L11" s="76">
        <v>0.03</v>
      </c>
      <c r="M11" s="76">
        <v>0.03</v>
      </c>
      <c r="N11" s="76">
        <v>0.05</v>
      </c>
      <c r="O11" s="76">
        <v>0.05</v>
      </c>
      <c r="P11" s="76">
        <v>0.05</v>
      </c>
      <c r="Q11" s="76">
        <v>0.05</v>
      </c>
      <c r="R11" s="76">
        <v>0.03</v>
      </c>
      <c r="S11" s="76">
        <v>0.03</v>
      </c>
      <c r="T11" s="76">
        <v>0.03</v>
      </c>
      <c r="U11" s="76">
        <v>0.03</v>
      </c>
      <c r="V11" s="76">
        <v>0.03</v>
      </c>
      <c r="W11" s="76">
        <v>0.03</v>
      </c>
      <c r="X11" s="76">
        <v>0.03</v>
      </c>
      <c r="Y11" s="76">
        <v>0.03</v>
      </c>
      <c r="Z11" s="76">
        <v>0.03</v>
      </c>
      <c r="AA11" s="76">
        <v>0.03</v>
      </c>
      <c r="AB11" s="79">
        <v>0.03</v>
      </c>
      <c r="AC11" s="76"/>
      <c r="AD11" s="77">
        <f t="shared" si="0"/>
        <v>0.80000000000000027</v>
      </c>
    </row>
    <row r="12" spans="2:30" x14ac:dyDescent="0.25">
      <c r="D12" s="72" t="s">
        <v>179</v>
      </c>
      <c r="E12" s="80">
        <v>0.03</v>
      </c>
      <c r="F12" s="81">
        <v>0.03</v>
      </c>
      <c r="G12" s="81">
        <v>0.03</v>
      </c>
      <c r="H12" s="81">
        <v>0.03</v>
      </c>
      <c r="I12" s="81">
        <v>0.03</v>
      </c>
      <c r="J12" s="81">
        <v>0.03</v>
      </c>
      <c r="K12" s="81">
        <v>0.03</v>
      </c>
      <c r="L12" s="81">
        <v>0.03</v>
      </c>
      <c r="M12" s="81">
        <v>0.05</v>
      </c>
      <c r="N12" s="81">
        <v>0.05</v>
      </c>
      <c r="O12" s="81">
        <v>0.05</v>
      </c>
      <c r="P12" s="81">
        <v>0.05</v>
      </c>
      <c r="Q12" s="81">
        <v>0.05</v>
      </c>
      <c r="R12" s="81">
        <v>0.05</v>
      </c>
      <c r="S12" s="81">
        <v>0.03</v>
      </c>
      <c r="T12" s="81">
        <v>0.03</v>
      </c>
      <c r="U12" s="81">
        <v>0.03</v>
      </c>
      <c r="V12" s="81">
        <v>0.03</v>
      </c>
      <c r="W12" s="81">
        <v>0.03</v>
      </c>
      <c r="X12" s="81">
        <v>0.03</v>
      </c>
      <c r="Y12" s="81">
        <v>0.03</v>
      </c>
      <c r="Z12" s="81">
        <v>0.03</v>
      </c>
      <c r="AA12" s="81">
        <v>0.03</v>
      </c>
      <c r="AB12" s="82">
        <v>0.03</v>
      </c>
      <c r="AC12" s="76"/>
      <c r="AD12" s="77">
        <f t="shared" si="0"/>
        <v>0.84000000000000019</v>
      </c>
    </row>
    <row r="13" spans="2:30" x14ac:dyDescent="0.25">
      <c r="B13" s="39" t="s">
        <v>181</v>
      </c>
      <c r="D13" s="72" t="s">
        <v>177</v>
      </c>
      <c r="E13" s="73">
        <v>0.04</v>
      </c>
      <c r="F13" s="74">
        <v>0.05</v>
      </c>
      <c r="G13" s="74">
        <v>0.05</v>
      </c>
      <c r="H13" s="74">
        <v>0.04</v>
      </c>
      <c r="I13" s="74">
        <v>0.04</v>
      </c>
      <c r="J13" s="74">
        <v>0.04</v>
      </c>
      <c r="K13" s="74">
        <v>0.04</v>
      </c>
      <c r="L13" s="74">
        <v>0.15</v>
      </c>
      <c r="M13" s="74">
        <v>0.23</v>
      </c>
      <c r="N13" s="74">
        <v>0.32</v>
      </c>
      <c r="O13" s="74">
        <v>0.41</v>
      </c>
      <c r="P13" s="74">
        <v>0.56999999999999995</v>
      </c>
      <c r="Q13" s="74">
        <v>0.62</v>
      </c>
      <c r="R13" s="74">
        <v>0.61</v>
      </c>
      <c r="S13" s="74">
        <v>0.5</v>
      </c>
      <c r="T13" s="74">
        <v>0.45</v>
      </c>
      <c r="U13" s="74">
        <v>0.46</v>
      </c>
      <c r="V13" s="74">
        <v>0.47</v>
      </c>
      <c r="W13" s="74">
        <v>0.42</v>
      </c>
      <c r="X13" s="74">
        <v>0.34</v>
      </c>
      <c r="Y13" s="74">
        <v>0.33</v>
      </c>
      <c r="Z13" s="74">
        <v>0.23</v>
      </c>
      <c r="AA13" s="74">
        <v>0.13</v>
      </c>
      <c r="AB13" s="75">
        <v>0.08</v>
      </c>
      <c r="AC13" s="76"/>
      <c r="AD13" s="77">
        <f t="shared" si="0"/>
        <v>6.62</v>
      </c>
    </row>
    <row r="14" spans="2:30" x14ac:dyDescent="0.25">
      <c r="D14" s="72" t="s">
        <v>178</v>
      </c>
      <c r="E14" s="78">
        <v>0.11</v>
      </c>
      <c r="F14" s="76">
        <v>0.1</v>
      </c>
      <c r="G14" s="76">
        <v>0.08</v>
      </c>
      <c r="H14" s="76">
        <v>0.06</v>
      </c>
      <c r="I14" s="76">
        <v>0.06</v>
      </c>
      <c r="J14" s="76">
        <v>0.06</v>
      </c>
      <c r="K14" s="76">
        <v>7.0000000000000007E-2</v>
      </c>
      <c r="L14" s="76">
        <v>0.2</v>
      </c>
      <c r="M14" s="76">
        <v>0.24</v>
      </c>
      <c r="N14" s="76">
        <v>0.27</v>
      </c>
      <c r="O14" s="76">
        <v>0.42</v>
      </c>
      <c r="P14" s="76">
        <v>0.54</v>
      </c>
      <c r="Q14" s="76">
        <v>0.59</v>
      </c>
      <c r="R14" s="76">
        <v>0.6</v>
      </c>
      <c r="S14" s="76">
        <v>0.49</v>
      </c>
      <c r="T14" s="76">
        <v>0.48</v>
      </c>
      <c r="U14" s="76">
        <v>0.47</v>
      </c>
      <c r="V14" s="76">
        <v>0.46</v>
      </c>
      <c r="W14" s="76">
        <v>0.44</v>
      </c>
      <c r="X14" s="76">
        <v>0.36</v>
      </c>
      <c r="Y14" s="76">
        <v>0.28999999999999998</v>
      </c>
      <c r="Z14" s="76">
        <v>0.22</v>
      </c>
      <c r="AA14" s="76">
        <v>0.16</v>
      </c>
      <c r="AB14" s="79">
        <v>0.13</v>
      </c>
      <c r="AC14" s="76"/>
      <c r="AD14" s="77">
        <f t="shared" si="0"/>
        <v>6.8999999999999995</v>
      </c>
    </row>
    <row r="15" spans="2:30" x14ac:dyDescent="0.25">
      <c r="D15" s="72" t="s">
        <v>179</v>
      </c>
      <c r="E15" s="80">
        <v>7.0000000000000007E-2</v>
      </c>
      <c r="F15" s="81">
        <v>7.0000000000000007E-2</v>
      </c>
      <c r="G15" s="81">
        <v>7.0000000000000007E-2</v>
      </c>
      <c r="H15" s="81">
        <v>0.06</v>
      </c>
      <c r="I15" s="81">
        <v>0.06</v>
      </c>
      <c r="J15" s="81">
        <v>0.06</v>
      </c>
      <c r="K15" s="81">
        <v>7.0000000000000007E-2</v>
      </c>
      <c r="L15" s="81">
        <v>0.1</v>
      </c>
      <c r="M15" s="81">
        <v>0.12</v>
      </c>
      <c r="N15" s="81">
        <v>0.14000000000000001</v>
      </c>
      <c r="O15" s="81">
        <v>0.28999999999999998</v>
      </c>
      <c r="P15" s="81">
        <v>0.31</v>
      </c>
      <c r="Q15" s="81">
        <v>0.36</v>
      </c>
      <c r="R15" s="81">
        <v>0.36</v>
      </c>
      <c r="S15" s="81">
        <v>0.34</v>
      </c>
      <c r="T15" s="81">
        <v>0.35</v>
      </c>
      <c r="U15" s="81">
        <v>0.37</v>
      </c>
      <c r="V15" s="81">
        <v>0.34</v>
      </c>
      <c r="W15" s="81">
        <v>0.25</v>
      </c>
      <c r="X15" s="81">
        <v>0.27</v>
      </c>
      <c r="Y15" s="81">
        <v>0.21</v>
      </c>
      <c r="Z15" s="81">
        <v>0.16</v>
      </c>
      <c r="AA15" s="81">
        <v>0.1</v>
      </c>
      <c r="AB15" s="82">
        <v>0.06</v>
      </c>
      <c r="AC15" s="76"/>
      <c r="AD15" s="77">
        <f t="shared" si="0"/>
        <v>4.59</v>
      </c>
    </row>
    <row r="16" spans="2:30" x14ac:dyDescent="0.25">
      <c r="B16" s="39" t="s">
        <v>182</v>
      </c>
      <c r="D16" s="72" t="s">
        <v>177</v>
      </c>
      <c r="E16" s="73">
        <v>0.2</v>
      </c>
      <c r="F16" s="74">
        <v>0.15</v>
      </c>
      <c r="G16" s="74">
        <v>0.15</v>
      </c>
      <c r="H16" s="74">
        <v>0</v>
      </c>
      <c r="I16" s="74">
        <v>0</v>
      </c>
      <c r="J16" s="74">
        <v>0</v>
      </c>
      <c r="K16" s="74">
        <v>0</v>
      </c>
      <c r="L16" s="74">
        <v>0.6</v>
      </c>
      <c r="M16" s="74">
        <v>0.55000000000000004</v>
      </c>
      <c r="N16" s="74">
        <v>0.45</v>
      </c>
      <c r="O16" s="74">
        <v>0.4</v>
      </c>
      <c r="P16" s="74">
        <v>0.45</v>
      </c>
      <c r="Q16" s="74">
        <v>0.4</v>
      </c>
      <c r="R16" s="74">
        <v>0.35</v>
      </c>
      <c r="S16" s="74">
        <v>0.3</v>
      </c>
      <c r="T16" s="74">
        <v>0.3</v>
      </c>
      <c r="U16" s="74">
        <v>0.3</v>
      </c>
      <c r="V16" s="74">
        <v>0.4</v>
      </c>
      <c r="W16" s="74">
        <v>0.55000000000000004</v>
      </c>
      <c r="X16" s="74">
        <v>0.6</v>
      </c>
      <c r="Y16" s="74">
        <v>0.5</v>
      </c>
      <c r="Z16" s="74">
        <v>0.55000000000000004</v>
      </c>
      <c r="AA16" s="74">
        <v>0.45</v>
      </c>
      <c r="AB16" s="75">
        <v>0.25</v>
      </c>
      <c r="AC16" s="76"/>
      <c r="AD16" s="77">
        <f t="shared" si="0"/>
        <v>7.8999999999999995</v>
      </c>
    </row>
    <row r="17" spans="2:30" x14ac:dyDescent="0.25">
      <c r="D17" s="72" t="s">
        <v>178</v>
      </c>
      <c r="E17" s="78">
        <v>0.2</v>
      </c>
      <c r="F17" s="76">
        <v>0.15</v>
      </c>
      <c r="G17" s="76">
        <v>0.15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0.5</v>
      </c>
      <c r="O17" s="76">
        <v>0.45</v>
      </c>
      <c r="P17" s="76">
        <v>0.5</v>
      </c>
      <c r="Q17" s="76">
        <v>0.5</v>
      </c>
      <c r="R17" s="76">
        <v>0.45</v>
      </c>
      <c r="S17" s="76">
        <v>0.4</v>
      </c>
      <c r="T17" s="76">
        <v>0.4</v>
      </c>
      <c r="U17" s="76">
        <v>0.35</v>
      </c>
      <c r="V17" s="76">
        <v>0.4</v>
      </c>
      <c r="W17" s="76">
        <v>0.55000000000000004</v>
      </c>
      <c r="X17" s="76">
        <v>0.55000000000000004</v>
      </c>
      <c r="Y17" s="76">
        <v>0.5</v>
      </c>
      <c r="Z17" s="76">
        <v>0.55000000000000004</v>
      </c>
      <c r="AA17" s="76">
        <v>0.4</v>
      </c>
      <c r="AB17" s="79">
        <v>0.3</v>
      </c>
      <c r="AC17" s="76"/>
      <c r="AD17" s="77">
        <f t="shared" si="0"/>
        <v>7.3</v>
      </c>
    </row>
    <row r="18" spans="2:30" x14ac:dyDescent="0.25">
      <c r="D18" s="72" t="s">
        <v>179</v>
      </c>
      <c r="E18" s="78">
        <v>0.25</v>
      </c>
      <c r="F18" s="76">
        <v>0.2</v>
      </c>
      <c r="G18" s="76">
        <v>0.2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0.5</v>
      </c>
      <c r="P18" s="76">
        <v>0.5</v>
      </c>
      <c r="Q18" s="76">
        <v>0.4</v>
      </c>
      <c r="R18" s="76">
        <v>0.4</v>
      </c>
      <c r="S18" s="76">
        <v>0.3</v>
      </c>
      <c r="T18" s="76">
        <v>0.3</v>
      </c>
      <c r="U18" s="76">
        <v>0.3</v>
      </c>
      <c r="V18" s="76">
        <v>0.4</v>
      </c>
      <c r="W18" s="76">
        <v>0.5</v>
      </c>
      <c r="X18" s="76">
        <v>0.5</v>
      </c>
      <c r="Y18" s="76">
        <v>0.4</v>
      </c>
      <c r="Z18" s="76">
        <v>0.5</v>
      </c>
      <c r="AA18" s="76">
        <v>0.4</v>
      </c>
      <c r="AB18" s="79">
        <v>0.2</v>
      </c>
      <c r="AC18" s="76"/>
      <c r="AD18" s="77">
        <f t="shared" si="0"/>
        <v>6.25</v>
      </c>
    </row>
    <row r="19" spans="2:30" x14ac:dyDescent="0.25">
      <c r="B19" s="39" t="s">
        <v>183</v>
      </c>
      <c r="D19" s="72" t="s">
        <v>177</v>
      </c>
      <c r="E19" s="73">
        <v>0</v>
      </c>
      <c r="F19" s="74">
        <v>0</v>
      </c>
      <c r="G19" s="74">
        <v>0</v>
      </c>
      <c r="H19" s="74">
        <v>0.05</v>
      </c>
      <c r="I19" s="74">
        <v>0.05</v>
      </c>
      <c r="J19" s="74">
        <v>0.05</v>
      </c>
      <c r="K19" s="74">
        <v>0.8</v>
      </c>
      <c r="L19" s="74">
        <v>0.7</v>
      </c>
      <c r="M19" s="74">
        <v>0.5</v>
      </c>
      <c r="N19" s="74">
        <v>0.4</v>
      </c>
      <c r="O19" s="74">
        <v>0.25</v>
      </c>
      <c r="P19" s="74">
        <v>0.25</v>
      </c>
      <c r="Q19" s="74">
        <v>0.25</v>
      </c>
      <c r="R19" s="74">
        <v>0.25</v>
      </c>
      <c r="S19" s="74">
        <v>0.5</v>
      </c>
      <c r="T19" s="74">
        <v>0.6</v>
      </c>
      <c r="U19" s="74">
        <v>0.7</v>
      </c>
      <c r="V19" s="74">
        <v>0.7</v>
      </c>
      <c r="W19" s="74">
        <v>0.4</v>
      </c>
      <c r="X19" s="74">
        <v>0.25</v>
      </c>
      <c r="Y19" s="74">
        <v>0.2</v>
      </c>
      <c r="Z19" s="74">
        <v>0.2</v>
      </c>
      <c r="AA19" s="74">
        <v>0.05</v>
      </c>
      <c r="AB19" s="75">
        <v>0.05</v>
      </c>
      <c r="AC19" s="76"/>
      <c r="AD19" s="77">
        <f t="shared" si="0"/>
        <v>7.2</v>
      </c>
    </row>
    <row r="20" spans="2:30" x14ac:dyDescent="0.25">
      <c r="D20" s="72" t="s">
        <v>178</v>
      </c>
      <c r="E20" s="78">
        <v>0</v>
      </c>
      <c r="F20" s="76">
        <v>0</v>
      </c>
      <c r="G20" s="76">
        <v>0</v>
      </c>
      <c r="H20" s="76">
        <v>0.05</v>
      </c>
      <c r="I20" s="76">
        <v>0.05</v>
      </c>
      <c r="J20" s="76">
        <v>0.05</v>
      </c>
      <c r="K20" s="76">
        <v>0.8</v>
      </c>
      <c r="L20" s="76">
        <v>0.7</v>
      </c>
      <c r="M20" s="76">
        <v>0.5</v>
      </c>
      <c r="N20" s="76">
        <v>0.4</v>
      </c>
      <c r="O20" s="76">
        <v>0.25</v>
      </c>
      <c r="P20" s="76">
        <v>0.25</v>
      </c>
      <c r="Q20" s="76">
        <v>0.25</v>
      </c>
      <c r="R20" s="76">
        <v>0.25</v>
      </c>
      <c r="S20" s="76">
        <v>0.5</v>
      </c>
      <c r="T20" s="76">
        <v>0.6</v>
      </c>
      <c r="U20" s="76">
        <v>0.7</v>
      </c>
      <c r="V20" s="76">
        <v>0.7</v>
      </c>
      <c r="W20" s="76">
        <v>0.4</v>
      </c>
      <c r="X20" s="76">
        <v>0.25</v>
      </c>
      <c r="Y20" s="76">
        <v>0.2</v>
      </c>
      <c r="Z20" s="76">
        <v>0.2</v>
      </c>
      <c r="AA20" s="76">
        <v>0.05</v>
      </c>
      <c r="AB20" s="79">
        <v>0.05</v>
      </c>
      <c r="AC20" s="76"/>
      <c r="AD20" s="77">
        <f t="shared" si="0"/>
        <v>7.2</v>
      </c>
    </row>
    <row r="21" spans="2:30" x14ac:dyDescent="0.25">
      <c r="D21" s="72" t="s">
        <v>179</v>
      </c>
      <c r="E21" s="80">
        <v>0</v>
      </c>
      <c r="F21" s="81">
        <v>0</v>
      </c>
      <c r="G21" s="81">
        <v>0</v>
      </c>
      <c r="H21" s="81">
        <v>0.05</v>
      </c>
      <c r="I21" s="81">
        <v>0.05</v>
      </c>
      <c r="J21" s="81">
        <v>0.05</v>
      </c>
      <c r="K21" s="81">
        <v>0.8</v>
      </c>
      <c r="L21" s="81">
        <v>0.7</v>
      </c>
      <c r="M21" s="81">
        <v>0.5</v>
      </c>
      <c r="N21" s="81">
        <v>0.4</v>
      </c>
      <c r="O21" s="81">
        <v>0.25</v>
      </c>
      <c r="P21" s="81">
        <v>0.25</v>
      </c>
      <c r="Q21" s="81">
        <v>0.25</v>
      </c>
      <c r="R21" s="81">
        <v>0.25</v>
      </c>
      <c r="S21" s="81">
        <v>0.5</v>
      </c>
      <c r="T21" s="81">
        <v>0.6</v>
      </c>
      <c r="U21" s="81">
        <v>0.7</v>
      </c>
      <c r="V21" s="81">
        <v>0.7</v>
      </c>
      <c r="W21" s="81">
        <v>0.4</v>
      </c>
      <c r="X21" s="81">
        <v>0.25</v>
      </c>
      <c r="Y21" s="81">
        <v>0.2</v>
      </c>
      <c r="Z21" s="81">
        <v>0.2</v>
      </c>
      <c r="AA21" s="81">
        <v>0.05</v>
      </c>
      <c r="AB21" s="82">
        <v>0.05</v>
      </c>
      <c r="AC21" s="76"/>
      <c r="AD21" s="77">
        <f t="shared" si="0"/>
        <v>7.2</v>
      </c>
    </row>
    <row r="22" spans="2:30" x14ac:dyDescent="0.25">
      <c r="B22" s="39" t="s">
        <v>184</v>
      </c>
      <c r="D22" s="72" t="s">
        <v>177</v>
      </c>
      <c r="E22" s="73">
        <v>0</v>
      </c>
      <c r="F22" s="74">
        <v>0</v>
      </c>
      <c r="G22" s="74">
        <v>0</v>
      </c>
      <c r="H22" s="74">
        <v>0.05</v>
      </c>
      <c r="I22" s="74">
        <v>0.05</v>
      </c>
      <c r="J22" s="74">
        <v>0.05</v>
      </c>
      <c r="K22" s="74">
        <v>0.8</v>
      </c>
      <c r="L22" s="74">
        <v>0.7</v>
      </c>
      <c r="M22" s="74">
        <v>0.5</v>
      </c>
      <c r="N22" s="74">
        <v>0.4</v>
      </c>
      <c r="O22" s="74">
        <v>0.25</v>
      </c>
      <c r="P22" s="74">
        <v>0.25</v>
      </c>
      <c r="Q22" s="74">
        <v>0.25</v>
      </c>
      <c r="R22" s="74">
        <v>0.25</v>
      </c>
      <c r="S22" s="74">
        <v>0.5</v>
      </c>
      <c r="T22" s="74">
        <v>0.6</v>
      </c>
      <c r="U22" s="74">
        <v>0.7</v>
      </c>
      <c r="V22" s="74">
        <v>0.7</v>
      </c>
      <c r="W22" s="74">
        <v>0.4</v>
      </c>
      <c r="X22" s="74">
        <v>0.25</v>
      </c>
      <c r="Y22" s="74">
        <v>0.2</v>
      </c>
      <c r="Z22" s="74">
        <v>0.2</v>
      </c>
      <c r="AA22" s="74">
        <v>0.05</v>
      </c>
      <c r="AB22" s="75">
        <v>0.05</v>
      </c>
      <c r="AC22" s="76"/>
      <c r="AD22" s="77">
        <f t="shared" si="0"/>
        <v>7.2</v>
      </c>
    </row>
    <row r="23" spans="2:30" x14ac:dyDescent="0.25">
      <c r="D23" s="72" t="s">
        <v>178</v>
      </c>
      <c r="E23" s="78">
        <v>0</v>
      </c>
      <c r="F23" s="76">
        <v>0</v>
      </c>
      <c r="G23" s="76">
        <v>0</v>
      </c>
      <c r="H23" s="76">
        <v>0.05</v>
      </c>
      <c r="I23" s="76">
        <v>0.05</v>
      </c>
      <c r="J23" s="76">
        <v>0.05</v>
      </c>
      <c r="K23" s="76">
        <v>0.8</v>
      </c>
      <c r="L23" s="76">
        <v>0.7</v>
      </c>
      <c r="M23" s="76">
        <v>0.5</v>
      </c>
      <c r="N23" s="76">
        <v>0.4</v>
      </c>
      <c r="O23" s="76">
        <v>0.25</v>
      </c>
      <c r="P23" s="76">
        <v>0.25</v>
      </c>
      <c r="Q23" s="76">
        <v>0.25</v>
      </c>
      <c r="R23" s="76">
        <v>0.25</v>
      </c>
      <c r="S23" s="76">
        <v>0.5</v>
      </c>
      <c r="T23" s="76">
        <v>0.6</v>
      </c>
      <c r="U23" s="76">
        <v>0.7</v>
      </c>
      <c r="V23" s="76">
        <v>0.7</v>
      </c>
      <c r="W23" s="76">
        <v>0.4</v>
      </c>
      <c r="X23" s="76">
        <v>0.25</v>
      </c>
      <c r="Y23" s="76">
        <v>0.2</v>
      </c>
      <c r="Z23" s="76">
        <v>0.2</v>
      </c>
      <c r="AA23" s="76">
        <v>0.05</v>
      </c>
      <c r="AB23" s="79">
        <v>0.05</v>
      </c>
      <c r="AC23" s="76"/>
      <c r="AD23" s="77">
        <f t="shared" si="0"/>
        <v>7.2</v>
      </c>
    </row>
    <row r="24" spans="2:30" x14ac:dyDescent="0.25">
      <c r="D24" s="72" t="s">
        <v>179</v>
      </c>
      <c r="E24" s="80">
        <v>0</v>
      </c>
      <c r="F24" s="81">
        <v>0</v>
      </c>
      <c r="G24" s="81">
        <v>0</v>
      </c>
      <c r="H24" s="81">
        <v>0.05</v>
      </c>
      <c r="I24" s="81">
        <v>0.05</v>
      </c>
      <c r="J24" s="81">
        <v>0.05</v>
      </c>
      <c r="K24" s="81">
        <v>0.8</v>
      </c>
      <c r="L24" s="81">
        <v>0.7</v>
      </c>
      <c r="M24" s="81">
        <v>0.5</v>
      </c>
      <c r="N24" s="81">
        <v>0.4</v>
      </c>
      <c r="O24" s="81">
        <v>0.25</v>
      </c>
      <c r="P24" s="81">
        <v>0.25</v>
      </c>
      <c r="Q24" s="81">
        <v>0.25</v>
      </c>
      <c r="R24" s="81">
        <v>0.25</v>
      </c>
      <c r="S24" s="81">
        <v>0.5</v>
      </c>
      <c r="T24" s="81">
        <v>0.6</v>
      </c>
      <c r="U24" s="81">
        <v>0.7</v>
      </c>
      <c r="V24" s="81">
        <v>0.7</v>
      </c>
      <c r="W24" s="81">
        <v>0.4</v>
      </c>
      <c r="X24" s="81">
        <v>0.25</v>
      </c>
      <c r="Y24" s="81">
        <v>0.2</v>
      </c>
      <c r="Z24" s="81">
        <v>0.2</v>
      </c>
      <c r="AA24" s="81">
        <v>0.05</v>
      </c>
      <c r="AB24" s="82">
        <v>0.05</v>
      </c>
      <c r="AC24" s="76"/>
      <c r="AD24" s="77">
        <f t="shared" si="0"/>
        <v>7.2</v>
      </c>
    </row>
    <row r="25" spans="2:30" x14ac:dyDescent="0.25">
      <c r="B25" s="39" t="s">
        <v>185</v>
      </c>
      <c r="D25" s="72" t="s">
        <v>177</v>
      </c>
      <c r="E25" s="73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Z25" s="74">
        <v>0</v>
      </c>
      <c r="AA25" s="74">
        <v>0</v>
      </c>
      <c r="AB25" s="75">
        <v>0</v>
      </c>
      <c r="AC25" s="76"/>
      <c r="AD25" s="77">
        <f t="shared" si="0"/>
        <v>0</v>
      </c>
    </row>
    <row r="26" spans="2:30" x14ac:dyDescent="0.25">
      <c r="D26" s="72" t="s">
        <v>178</v>
      </c>
      <c r="E26" s="78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9">
        <v>0</v>
      </c>
      <c r="AC26" s="76"/>
      <c r="AD26" s="77">
        <f t="shared" si="0"/>
        <v>0</v>
      </c>
    </row>
    <row r="27" spans="2:30" x14ac:dyDescent="0.25">
      <c r="D27" s="72" t="s">
        <v>179</v>
      </c>
      <c r="E27" s="80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  <c r="X27" s="81">
        <v>0</v>
      </c>
      <c r="Y27" s="81">
        <v>0</v>
      </c>
      <c r="Z27" s="81">
        <v>0</v>
      </c>
      <c r="AA27" s="81">
        <v>0</v>
      </c>
      <c r="AB27" s="82">
        <v>0</v>
      </c>
      <c r="AC27" s="76"/>
      <c r="AD27" s="77">
        <f t="shared" si="0"/>
        <v>0</v>
      </c>
    </row>
    <row r="28" spans="2:30" x14ac:dyDescent="0.25">
      <c r="B28" s="39" t="s">
        <v>172</v>
      </c>
      <c r="D28" s="83" t="s">
        <v>177</v>
      </c>
      <c r="E28" s="73">
        <v>0.05</v>
      </c>
      <c r="F28" s="74">
        <v>0.05</v>
      </c>
      <c r="G28" s="74">
        <v>0.05</v>
      </c>
      <c r="H28" s="74">
        <v>0.05</v>
      </c>
      <c r="I28" s="74">
        <v>0.05</v>
      </c>
      <c r="J28" s="74">
        <v>0.08</v>
      </c>
      <c r="K28" s="74">
        <v>7.0000000000000007E-2</v>
      </c>
      <c r="L28" s="74">
        <v>0.19</v>
      </c>
      <c r="M28" s="74">
        <v>0.35</v>
      </c>
      <c r="N28" s="74">
        <v>0.38</v>
      </c>
      <c r="O28" s="74">
        <v>0.39</v>
      </c>
      <c r="P28" s="74">
        <v>0.47</v>
      </c>
      <c r="Q28" s="74">
        <v>0.56999999999999995</v>
      </c>
      <c r="R28" s="74">
        <v>0.54</v>
      </c>
      <c r="S28" s="74">
        <v>0.34</v>
      </c>
      <c r="T28" s="74">
        <v>0.33</v>
      </c>
      <c r="U28" s="74">
        <v>0.44</v>
      </c>
      <c r="V28" s="74">
        <v>0.26</v>
      </c>
      <c r="W28" s="74">
        <v>0.21</v>
      </c>
      <c r="X28" s="74">
        <v>0.15</v>
      </c>
      <c r="Y28" s="74">
        <v>0.17</v>
      </c>
      <c r="Z28" s="74">
        <v>0.08</v>
      </c>
      <c r="AA28" s="74">
        <v>0.05</v>
      </c>
      <c r="AB28" s="75">
        <v>0.05</v>
      </c>
      <c r="AC28" s="76"/>
      <c r="AD28" s="77">
        <f t="shared" si="0"/>
        <v>5.3699999999999992</v>
      </c>
    </row>
    <row r="29" spans="2:30" x14ac:dyDescent="0.25">
      <c r="D29" s="83" t="s">
        <v>178</v>
      </c>
      <c r="E29" s="78">
        <v>0.05</v>
      </c>
      <c r="F29" s="76">
        <v>0.05</v>
      </c>
      <c r="G29" s="76">
        <v>0.05</v>
      </c>
      <c r="H29" s="76">
        <v>0.05</v>
      </c>
      <c r="I29" s="76">
        <v>0.05</v>
      </c>
      <c r="J29" s="76">
        <v>0.08</v>
      </c>
      <c r="K29" s="76">
        <v>7.0000000000000007E-2</v>
      </c>
      <c r="L29" s="76">
        <v>0.11</v>
      </c>
      <c r="M29" s="76">
        <v>0.15</v>
      </c>
      <c r="N29" s="76">
        <v>0.21</v>
      </c>
      <c r="O29" s="76">
        <v>0.19</v>
      </c>
      <c r="P29" s="76">
        <v>0.23</v>
      </c>
      <c r="Q29" s="76">
        <v>0.2</v>
      </c>
      <c r="R29" s="76">
        <v>0.19</v>
      </c>
      <c r="S29" s="76">
        <v>0.15</v>
      </c>
      <c r="T29" s="76">
        <v>0.12</v>
      </c>
      <c r="U29" s="76">
        <v>0.14000000000000001</v>
      </c>
      <c r="V29" s="76">
        <v>7.0000000000000007E-2</v>
      </c>
      <c r="W29" s="76">
        <v>7.0000000000000007E-2</v>
      </c>
      <c r="X29" s="76">
        <v>7.0000000000000007E-2</v>
      </c>
      <c r="Y29" s="76">
        <v>7.0000000000000007E-2</v>
      </c>
      <c r="Z29" s="76">
        <v>0.09</v>
      </c>
      <c r="AA29" s="76">
        <v>0.05</v>
      </c>
      <c r="AB29" s="79">
        <v>0.05</v>
      </c>
      <c r="AC29" s="76"/>
      <c r="AD29" s="77">
        <f t="shared" si="0"/>
        <v>2.5599999999999987</v>
      </c>
    </row>
    <row r="30" spans="2:30" x14ac:dyDescent="0.25">
      <c r="D30" s="83" t="s">
        <v>179</v>
      </c>
      <c r="E30" s="80">
        <v>0.04</v>
      </c>
      <c r="F30" s="81">
        <v>0.04</v>
      </c>
      <c r="G30" s="81">
        <v>0.04</v>
      </c>
      <c r="H30" s="81">
        <v>0.04</v>
      </c>
      <c r="I30" s="81">
        <v>0.04</v>
      </c>
      <c r="J30" s="81">
        <v>7.0000000000000007E-2</v>
      </c>
      <c r="K30" s="81">
        <v>0.04</v>
      </c>
      <c r="L30" s="81">
        <v>0.04</v>
      </c>
      <c r="M30" s="81">
        <v>0.04</v>
      </c>
      <c r="N30" s="81">
        <v>0.04</v>
      </c>
      <c r="O30" s="81">
        <v>0.04</v>
      </c>
      <c r="P30" s="81">
        <v>0.06</v>
      </c>
      <c r="Q30" s="81">
        <v>0.06</v>
      </c>
      <c r="R30" s="81">
        <v>0.09</v>
      </c>
      <c r="S30" s="81">
        <v>0.06</v>
      </c>
      <c r="T30" s="81">
        <v>0.04</v>
      </c>
      <c r="U30" s="81">
        <v>0.04</v>
      </c>
      <c r="V30" s="81">
        <v>0.04</v>
      </c>
      <c r="W30" s="81">
        <v>0.04</v>
      </c>
      <c r="X30" s="81">
        <v>0.04</v>
      </c>
      <c r="Y30" s="81">
        <v>0.04</v>
      </c>
      <c r="Z30" s="81">
        <v>7.0000000000000007E-2</v>
      </c>
      <c r="AA30" s="81">
        <v>0.04</v>
      </c>
      <c r="AB30" s="82">
        <v>0.04</v>
      </c>
      <c r="AC30" s="76"/>
      <c r="AD30" s="77">
        <f t="shared" si="0"/>
        <v>1.1300000000000001</v>
      </c>
    </row>
    <row r="31" spans="2:30" x14ac:dyDescent="0.25">
      <c r="B31" s="39" t="s">
        <v>186</v>
      </c>
      <c r="D31" s="83" t="s">
        <v>177</v>
      </c>
      <c r="E31" s="73">
        <v>0.05</v>
      </c>
      <c r="F31" s="74">
        <v>0.05</v>
      </c>
      <c r="G31" s="74">
        <v>0.05</v>
      </c>
      <c r="H31" s="74">
        <v>0.05</v>
      </c>
      <c r="I31" s="74">
        <v>0.05</v>
      </c>
      <c r="J31" s="74">
        <v>0.08</v>
      </c>
      <c r="K31" s="74">
        <v>7.0000000000000007E-2</v>
      </c>
      <c r="L31" s="74">
        <v>0.19</v>
      </c>
      <c r="M31" s="74">
        <v>0.35</v>
      </c>
      <c r="N31" s="74">
        <v>0.38</v>
      </c>
      <c r="O31" s="74">
        <v>0.39</v>
      </c>
      <c r="P31" s="74">
        <v>0.47</v>
      </c>
      <c r="Q31" s="74">
        <v>0.56999999999999995</v>
      </c>
      <c r="R31" s="74">
        <v>0.54</v>
      </c>
      <c r="S31" s="74">
        <v>0.34</v>
      </c>
      <c r="T31" s="74">
        <v>0.33</v>
      </c>
      <c r="U31" s="74">
        <v>0.44</v>
      </c>
      <c r="V31" s="74">
        <v>0.26</v>
      </c>
      <c r="W31" s="74">
        <v>0.21</v>
      </c>
      <c r="X31" s="74">
        <v>0.15</v>
      </c>
      <c r="Y31" s="74">
        <v>0.17</v>
      </c>
      <c r="Z31" s="74">
        <v>0.08</v>
      </c>
      <c r="AA31" s="74">
        <v>0.05</v>
      </c>
      <c r="AB31" s="75">
        <v>0.05</v>
      </c>
      <c r="AC31" s="76"/>
      <c r="AD31" s="77">
        <f t="shared" si="0"/>
        <v>5.3699999999999992</v>
      </c>
    </row>
    <row r="32" spans="2:30" x14ac:dyDescent="0.25">
      <c r="D32" s="83" t="s">
        <v>178</v>
      </c>
      <c r="E32" s="78">
        <v>0.05</v>
      </c>
      <c r="F32" s="76">
        <v>0.05</v>
      </c>
      <c r="G32" s="76">
        <v>0.05</v>
      </c>
      <c r="H32" s="76">
        <v>0.05</v>
      </c>
      <c r="I32" s="76">
        <v>0.05</v>
      </c>
      <c r="J32" s="76">
        <v>0.08</v>
      </c>
      <c r="K32" s="76">
        <v>7.0000000000000007E-2</v>
      </c>
      <c r="L32" s="76">
        <v>0.11</v>
      </c>
      <c r="M32" s="76">
        <v>0.15</v>
      </c>
      <c r="N32" s="76">
        <v>0.21</v>
      </c>
      <c r="O32" s="76">
        <v>0.19</v>
      </c>
      <c r="P32" s="76">
        <v>0.23</v>
      </c>
      <c r="Q32" s="76">
        <v>0.2</v>
      </c>
      <c r="R32" s="76">
        <v>0.19</v>
      </c>
      <c r="S32" s="76">
        <v>0.15</v>
      </c>
      <c r="T32" s="76">
        <v>0.12</v>
      </c>
      <c r="U32" s="76">
        <v>0.14000000000000001</v>
      </c>
      <c r="V32" s="76">
        <v>7.0000000000000007E-2</v>
      </c>
      <c r="W32" s="76">
        <v>7.0000000000000007E-2</v>
      </c>
      <c r="X32" s="76">
        <v>7.0000000000000007E-2</v>
      </c>
      <c r="Y32" s="76">
        <v>7.0000000000000007E-2</v>
      </c>
      <c r="Z32" s="76">
        <v>0.09</v>
      </c>
      <c r="AA32" s="76">
        <v>0.05</v>
      </c>
      <c r="AB32" s="79">
        <v>0.05</v>
      </c>
      <c r="AC32" s="76"/>
      <c r="AD32" s="77">
        <f t="shared" si="0"/>
        <v>2.5599999999999987</v>
      </c>
    </row>
    <row r="33" spans="2:30" x14ac:dyDescent="0.25">
      <c r="D33" s="83" t="s">
        <v>179</v>
      </c>
      <c r="E33" s="80">
        <v>0.04</v>
      </c>
      <c r="F33" s="81">
        <v>0.04</v>
      </c>
      <c r="G33" s="81">
        <v>0.04</v>
      </c>
      <c r="H33" s="81">
        <v>0.04</v>
      </c>
      <c r="I33" s="81">
        <v>0.04</v>
      </c>
      <c r="J33" s="81">
        <v>7.0000000000000007E-2</v>
      </c>
      <c r="K33" s="81">
        <v>0.04</v>
      </c>
      <c r="L33" s="81">
        <v>0.04</v>
      </c>
      <c r="M33" s="81">
        <v>0.04</v>
      </c>
      <c r="N33" s="81">
        <v>0.04</v>
      </c>
      <c r="O33" s="81">
        <v>0.04</v>
      </c>
      <c r="P33" s="81">
        <v>0.06</v>
      </c>
      <c r="Q33" s="81">
        <v>0.06</v>
      </c>
      <c r="R33" s="81">
        <v>0.09</v>
      </c>
      <c r="S33" s="81">
        <v>0.06</v>
      </c>
      <c r="T33" s="81">
        <v>0.04</v>
      </c>
      <c r="U33" s="81">
        <v>0.04</v>
      </c>
      <c r="V33" s="81">
        <v>0.04</v>
      </c>
      <c r="W33" s="81">
        <v>0.04</v>
      </c>
      <c r="X33" s="81">
        <v>0.04</v>
      </c>
      <c r="Y33" s="81">
        <v>0.04</v>
      </c>
      <c r="Z33" s="81">
        <v>7.0000000000000007E-2</v>
      </c>
      <c r="AA33" s="81">
        <v>0.04</v>
      </c>
      <c r="AB33" s="82">
        <v>0.04</v>
      </c>
      <c r="AC33" s="76"/>
      <c r="AD33" s="77">
        <f t="shared" si="0"/>
        <v>1.1300000000000001</v>
      </c>
    </row>
    <row r="34" spans="2:30" x14ac:dyDescent="0.25">
      <c r="B34" s="39" t="s">
        <v>187</v>
      </c>
      <c r="D34" s="83" t="s">
        <v>177</v>
      </c>
      <c r="E34" s="73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>
        <v>0</v>
      </c>
      <c r="S34" s="74">
        <v>0</v>
      </c>
      <c r="T34" s="74">
        <v>0</v>
      </c>
      <c r="U34" s="74">
        <v>0</v>
      </c>
      <c r="V34" s="74">
        <v>0</v>
      </c>
      <c r="W34" s="74">
        <v>0</v>
      </c>
      <c r="X34" s="74">
        <v>0</v>
      </c>
      <c r="Y34" s="74">
        <v>0</v>
      </c>
      <c r="Z34" s="74">
        <v>0</v>
      </c>
      <c r="AA34" s="74">
        <v>0</v>
      </c>
      <c r="AB34" s="75">
        <v>0</v>
      </c>
      <c r="AC34" s="76"/>
      <c r="AD34" s="77">
        <f t="shared" si="0"/>
        <v>0</v>
      </c>
    </row>
    <row r="35" spans="2:30" x14ac:dyDescent="0.25">
      <c r="D35" s="83" t="s">
        <v>178</v>
      </c>
      <c r="E35" s="78">
        <v>0</v>
      </c>
      <c r="F35" s="76">
        <v>0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6">
        <v>0</v>
      </c>
      <c r="S35" s="76">
        <v>0</v>
      </c>
      <c r="T35" s="76">
        <v>0</v>
      </c>
      <c r="U35" s="76">
        <v>0</v>
      </c>
      <c r="V35" s="76">
        <v>0</v>
      </c>
      <c r="W35" s="76">
        <v>0</v>
      </c>
      <c r="X35" s="76">
        <v>0</v>
      </c>
      <c r="Y35" s="76">
        <v>0</v>
      </c>
      <c r="Z35" s="76">
        <v>0</v>
      </c>
      <c r="AA35" s="76">
        <v>0</v>
      </c>
      <c r="AB35" s="79">
        <v>0</v>
      </c>
      <c r="AC35" s="76"/>
      <c r="AD35" s="77">
        <f t="shared" si="0"/>
        <v>0</v>
      </c>
    </row>
    <row r="36" spans="2:30" x14ac:dyDescent="0.25">
      <c r="D36" s="83" t="s">
        <v>179</v>
      </c>
      <c r="E36" s="80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2">
        <v>0</v>
      </c>
      <c r="AC36" s="76"/>
      <c r="AD36" s="77">
        <f t="shared" si="0"/>
        <v>0</v>
      </c>
    </row>
    <row r="37" spans="2:30" x14ac:dyDescent="0.25">
      <c r="B37" s="39" t="s">
        <v>188</v>
      </c>
      <c r="D37" s="72" t="s">
        <v>177</v>
      </c>
      <c r="E37" s="73">
        <v>0.01</v>
      </c>
      <c r="F37" s="74">
        <v>0.01</v>
      </c>
      <c r="G37" s="74">
        <v>0.01</v>
      </c>
      <c r="H37" s="74">
        <v>0.01</v>
      </c>
      <c r="I37" s="74">
        <v>0.01</v>
      </c>
      <c r="J37" s="74">
        <v>0.01</v>
      </c>
      <c r="K37" s="74">
        <v>0.01</v>
      </c>
      <c r="L37" s="74">
        <v>0.17</v>
      </c>
      <c r="M37" s="74">
        <v>0.57999999999999996</v>
      </c>
      <c r="N37" s="74">
        <v>0.66</v>
      </c>
      <c r="O37" s="74">
        <v>0.78</v>
      </c>
      <c r="P37" s="74">
        <v>0.82</v>
      </c>
      <c r="Q37" s="74">
        <v>0.71</v>
      </c>
      <c r="R37" s="74">
        <v>0.82</v>
      </c>
      <c r="S37" s="74">
        <v>0.78</v>
      </c>
      <c r="T37" s="74">
        <v>0.74</v>
      </c>
      <c r="U37" s="74">
        <v>0.63</v>
      </c>
      <c r="V37" s="74">
        <v>0.41</v>
      </c>
      <c r="W37" s="74">
        <v>0.18</v>
      </c>
      <c r="X37" s="74">
        <v>0.18</v>
      </c>
      <c r="Y37" s="74">
        <v>0.18</v>
      </c>
      <c r="Z37" s="74">
        <v>0.1</v>
      </c>
      <c r="AA37" s="74">
        <v>0.01</v>
      </c>
      <c r="AB37" s="75">
        <v>0.01</v>
      </c>
      <c r="AC37" s="76"/>
      <c r="AD37" s="77">
        <f t="shared" si="0"/>
        <v>7.8299999999999983</v>
      </c>
    </row>
    <row r="38" spans="2:30" x14ac:dyDescent="0.25">
      <c r="D38" s="72" t="s">
        <v>178</v>
      </c>
      <c r="E38" s="78">
        <v>0.01</v>
      </c>
      <c r="F38" s="76">
        <v>0.01</v>
      </c>
      <c r="G38" s="76">
        <v>0.01</v>
      </c>
      <c r="H38" s="76">
        <v>0.01</v>
      </c>
      <c r="I38" s="76">
        <v>0.01</v>
      </c>
      <c r="J38" s="76">
        <v>0.01</v>
      </c>
      <c r="K38" s="76">
        <v>0.01</v>
      </c>
      <c r="L38" s="76">
        <v>0.01</v>
      </c>
      <c r="M38" s="76">
        <v>0.2</v>
      </c>
      <c r="N38" s="76">
        <v>0.28000000000000003</v>
      </c>
      <c r="O38" s="76">
        <v>0.3</v>
      </c>
      <c r="P38" s="76">
        <v>0.3</v>
      </c>
      <c r="Q38" s="76">
        <v>0.24</v>
      </c>
      <c r="R38" s="76">
        <v>0.24</v>
      </c>
      <c r="S38" s="76">
        <v>0.23</v>
      </c>
      <c r="T38" s="76">
        <v>0.23</v>
      </c>
      <c r="U38" s="76">
        <v>0.23</v>
      </c>
      <c r="V38" s="76">
        <v>0.1</v>
      </c>
      <c r="W38" s="76">
        <v>0.01</v>
      </c>
      <c r="X38" s="76">
        <v>0.01</v>
      </c>
      <c r="Y38" s="76">
        <v>0.01</v>
      </c>
      <c r="Z38" s="76">
        <v>0.01</v>
      </c>
      <c r="AA38" s="76">
        <v>0.01</v>
      </c>
      <c r="AB38" s="79">
        <v>0.01</v>
      </c>
      <c r="AC38" s="76"/>
      <c r="AD38" s="77">
        <f t="shared" si="0"/>
        <v>2.4899999999999989</v>
      </c>
    </row>
    <row r="39" spans="2:30" x14ac:dyDescent="0.25">
      <c r="D39" s="72" t="s">
        <v>179</v>
      </c>
      <c r="E39" s="80">
        <v>0.01</v>
      </c>
      <c r="F39" s="81">
        <v>0.01</v>
      </c>
      <c r="G39" s="81">
        <v>0.01</v>
      </c>
      <c r="H39" s="81">
        <v>0.01</v>
      </c>
      <c r="I39" s="81">
        <v>0.01</v>
      </c>
      <c r="J39" s="81">
        <v>0.01</v>
      </c>
      <c r="K39" s="81">
        <v>0.01</v>
      </c>
      <c r="L39" s="81">
        <v>0.01</v>
      </c>
      <c r="M39" s="81">
        <v>0.01</v>
      </c>
      <c r="N39" s="81">
        <v>0.01</v>
      </c>
      <c r="O39" s="81">
        <v>0.01</v>
      </c>
      <c r="P39" s="81">
        <v>0.01</v>
      </c>
      <c r="Q39" s="81">
        <v>0.01</v>
      </c>
      <c r="R39" s="81">
        <v>0.01</v>
      </c>
      <c r="S39" s="81">
        <v>0.01</v>
      </c>
      <c r="T39" s="81">
        <v>0.01</v>
      </c>
      <c r="U39" s="81">
        <v>0.01</v>
      </c>
      <c r="V39" s="81">
        <v>0.01</v>
      </c>
      <c r="W39" s="81">
        <v>0.01</v>
      </c>
      <c r="X39" s="81">
        <v>0.01</v>
      </c>
      <c r="Y39" s="81">
        <v>0.01</v>
      </c>
      <c r="Z39" s="81">
        <v>0.01</v>
      </c>
      <c r="AA39" s="81">
        <v>0.01</v>
      </c>
      <c r="AB39" s="82">
        <v>0.01</v>
      </c>
      <c r="AC39" s="76"/>
      <c r="AD39" s="77">
        <f t="shared" si="0"/>
        <v>0.24000000000000007</v>
      </c>
    </row>
    <row r="40" spans="2:30" x14ac:dyDescent="0.25">
      <c r="B40" s="39" t="s">
        <v>189</v>
      </c>
      <c r="D40" s="72" t="s">
        <v>177</v>
      </c>
      <c r="E40" s="73">
        <v>0</v>
      </c>
      <c r="F40" s="74">
        <v>0</v>
      </c>
      <c r="G40" s="74">
        <v>0</v>
      </c>
      <c r="H40" s="74">
        <v>0</v>
      </c>
      <c r="I40" s="74">
        <v>0.1</v>
      </c>
      <c r="J40" s="74">
        <v>0.1</v>
      </c>
      <c r="K40" s="74">
        <v>0.5</v>
      </c>
      <c r="L40" s="74">
        <v>0.5</v>
      </c>
      <c r="M40" s="74">
        <v>0.5</v>
      </c>
      <c r="N40" s="74">
        <v>0.5</v>
      </c>
      <c r="O40" s="74">
        <v>0.7</v>
      </c>
      <c r="P40" s="74">
        <v>0.9</v>
      </c>
      <c r="Q40" s="74">
        <v>0.9</v>
      </c>
      <c r="R40" s="74">
        <v>0.5</v>
      </c>
      <c r="S40" s="74">
        <v>0.5</v>
      </c>
      <c r="T40" s="74">
        <v>0.7</v>
      </c>
      <c r="U40" s="74">
        <v>0.5</v>
      </c>
      <c r="V40" s="74">
        <v>0.5</v>
      </c>
      <c r="W40" s="74">
        <v>0.5</v>
      </c>
      <c r="X40" s="74">
        <v>0.1</v>
      </c>
      <c r="Y40" s="74">
        <v>0.1</v>
      </c>
      <c r="Z40" s="74">
        <v>0.1</v>
      </c>
      <c r="AA40" s="74">
        <v>0.1</v>
      </c>
      <c r="AB40" s="75">
        <v>0</v>
      </c>
      <c r="AC40" s="76"/>
      <c r="AD40" s="77">
        <f t="shared" si="0"/>
        <v>8.2999999999999989</v>
      </c>
    </row>
    <row r="41" spans="2:30" x14ac:dyDescent="0.25">
      <c r="D41" s="72" t="s">
        <v>178</v>
      </c>
      <c r="E41" s="78">
        <v>0</v>
      </c>
      <c r="F41" s="76">
        <v>0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  <c r="Z41" s="76">
        <v>0</v>
      </c>
      <c r="AA41" s="76">
        <v>0</v>
      </c>
      <c r="AB41" s="79">
        <v>0</v>
      </c>
      <c r="AC41" s="76"/>
      <c r="AD41" s="77">
        <f t="shared" si="0"/>
        <v>0</v>
      </c>
    </row>
    <row r="42" spans="2:30" x14ac:dyDescent="0.25">
      <c r="D42" s="72" t="s">
        <v>179</v>
      </c>
      <c r="E42" s="80">
        <v>0</v>
      </c>
      <c r="F42" s="81">
        <v>0</v>
      </c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X42" s="81">
        <v>0</v>
      </c>
      <c r="Y42" s="81">
        <v>0</v>
      </c>
      <c r="Z42" s="81">
        <v>0</v>
      </c>
      <c r="AA42" s="81">
        <v>0</v>
      </c>
      <c r="AB42" s="82">
        <v>0</v>
      </c>
      <c r="AC42" s="76"/>
      <c r="AD42" s="77">
        <f t="shared" si="0"/>
        <v>0</v>
      </c>
    </row>
    <row r="43" spans="2:30" x14ac:dyDescent="0.25">
      <c r="B43" s="39" t="s">
        <v>190</v>
      </c>
      <c r="D43" s="72" t="s">
        <v>177</v>
      </c>
      <c r="E43" s="73">
        <v>0</v>
      </c>
      <c r="F43" s="74">
        <v>0</v>
      </c>
      <c r="G43" s="74">
        <v>0</v>
      </c>
      <c r="H43" s="74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0.05</v>
      </c>
      <c r="O43" s="74">
        <v>0.05</v>
      </c>
      <c r="P43" s="74">
        <v>0.35</v>
      </c>
      <c r="Q43" s="74">
        <v>0.05</v>
      </c>
      <c r="R43" s="74">
        <v>0.05</v>
      </c>
      <c r="S43" s="74">
        <v>0.05</v>
      </c>
      <c r="T43" s="74">
        <v>0.05</v>
      </c>
      <c r="U43" s="74">
        <v>0.05</v>
      </c>
      <c r="V43" s="74">
        <v>0</v>
      </c>
      <c r="W43" s="74">
        <v>0</v>
      </c>
      <c r="X43" s="74">
        <v>0</v>
      </c>
      <c r="Y43" s="74">
        <v>0</v>
      </c>
      <c r="Z43" s="74">
        <v>0</v>
      </c>
      <c r="AA43" s="74">
        <v>0</v>
      </c>
      <c r="AB43" s="75">
        <v>0</v>
      </c>
      <c r="AC43" s="76"/>
      <c r="AD43" s="77">
        <f t="shared" si="0"/>
        <v>0.70000000000000007</v>
      </c>
    </row>
    <row r="44" spans="2:30" x14ac:dyDescent="0.25">
      <c r="D44" s="72" t="s">
        <v>178</v>
      </c>
      <c r="E44" s="78">
        <v>0</v>
      </c>
      <c r="F44" s="76">
        <v>0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0.05</v>
      </c>
      <c r="O44" s="76">
        <v>0.05</v>
      </c>
      <c r="P44" s="76">
        <v>0.2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0.65</v>
      </c>
      <c r="Y44" s="76">
        <v>0.3</v>
      </c>
      <c r="Z44" s="76">
        <v>0</v>
      </c>
      <c r="AA44" s="76">
        <v>0</v>
      </c>
      <c r="AB44" s="79">
        <v>0</v>
      </c>
      <c r="AC44" s="76"/>
      <c r="AD44" s="77">
        <f t="shared" si="0"/>
        <v>1.25</v>
      </c>
    </row>
    <row r="45" spans="2:30" x14ac:dyDescent="0.25">
      <c r="D45" s="72" t="s">
        <v>179</v>
      </c>
      <c r="E45" s="80">
        <v>0</v>
      </c>
      <c r="F45" s="81">
        <v>0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>
        <v>0</v>
      </c>
      <c r="M45" s="81">
        <v>0</v>
      </c>
      <c r="N45" s="81">
        <v>0.05</v>
      </c>
      <c r="O45" s="81">
        <v>0.05</v>
      </c>
      <c r="P45" s="81">
        <v>0.1</v>
      </c>
      <c r="Q45" s="81">
        <v>0</v>
      </c>
      <c r="R45" s="81">
        <v>0</v>
      </c>
      <c r="S45" s="81">
        <v>0</v>
      </c>
      <c r="T45" s="81">
        <v>0</v>
      </c>
      <c r="U45" s="81">
        <v>0</v>
      </c>
      <c r="V45" s="81">
        <v>0</v>
      </c>
      <c r="W45" s="81">
        <v>0</v>
      </c>
      <c r="X45" s="81">
        <v>0.65</v>
      </c>
      <c r="Y45" s="81">
        <v>0.3</v>
      </c>
      <c r="Z45" s="81">
        <v>0</v>
      </c>
      <c r="AA45" s="81">
        <v>0</v>
      </c>
      <c r="AB45" s="82">
        <v>0</v>
      </c>
      <c r="AC45" s="76"/>
      <c r="AD45" s="77">
        <f t="shared" si="0"/>
        <v>1.1500000000000001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BC67-3597-4632-8B07-0EFECFFAC13C}">
  <dimension ref="A1:O21"/>
  <sheetViews>
    <sheetView showGridLines="0" zoomScaleNormal="100" workbookViewId="0">
      <pane xSplit="1" ySplit="2" topLeftCell="B3" activePane="bottomRight" state="frozen"/>
      <selection activeCell="E15" sqref="E15:F15"/>
      <selection pane="topRight" activeCell="E15" sqref="E15:F15"/>
      <selection pane="bottomLeft" activeCell="E15" sqref="E15:F15"/>
      <selection pane="bottomRight" activeCell="B19" sqref="B19"/>
    </sheetView>
  </sheetViews>
  <sheetFormatPr defaultColWidth="8.3984375" defaultRowHeight="13.2" x14ac:dyDescent="0.25"/>
  <cols>
    <col min="1" max="1" width="37.19921875" style="39" customWidth="1"/>
    <col min="2" max="3" width="11.296875" style="39" customWidth="1"/>
    <col min="4" max="4" width="13.796875" style="39" customWidth="1"/>
    <col min="5" max="5" width="13.09765625" style="39" customWidth="1"/>
    <col min="6" max="6" width="9.8984375" style="39" bestFit="1" customWidth="1"/>
    <col min="7" max="7" width="13.796875" style="89" customWidth="1"/>
    <col min="8" max="8" width="8.59765625" style="39" customWidth="1"/>
    <col min="9" max="9" width="9.296875" style="39" customWidth="1"/>
    <col min="10" max="10" width="9.5" style="39" customWidth="1"/>
    <col min="11" max="12" width="10.3984375" style="39" customWidth="1"/>
    <col min="13" max="13" width="10.19921875" style="39" customWidth="1"/>
    <col min="14" max="14" width="8.3984375" style="39"/>
    <col min="15" max="15" width="13.5" style="39" customWidth="1"/>
    <col min="16" max="16384" width="8.3984375" style="39"/>
  </cols>
  <sheetData>
    <row r="1" spans="1:15" ht="26.4" x14ac:dyDescent="0.25">
      <c r="A1" s="84" t="s">
        <v>191</v>
      </c>
      <c r="B1" s="85" t="s">
        <v>131</v>
      </c>
      <c r="C1" s="86" t="s">
        <v>192</v>
      </c>
      <c r="D1" s="85" t="s">
        <v>193</v>
      </c>
      <c r="E1" s="85" t="s">
        <v>194</v>
      </c>
      <c r="F1" s="85" t="s">
        <v>195</v>
      </c>
      <c r="G1" s="87" t="s">
        <v>132</v>
      </c>
      <c r="H1" s="85" t="s">
        <v>196</v>
      </c>
      <c r="I1" s="85" t="s">
        <v>197</v>
      </c>
      <c r="J1" s="85" t="s">
        <v>198</v>
      </c>
      <c r="K1" s="88" t="s">
        <v>199</v>
      </c>
      <c r="L1" s="88" t="s">
        <v>200</v>
      </c>
      <c r="M1" s="85" t="s">
        <v>201</v>
      </c>
      <c r="N1" s="85" t="s">
        <v>202</v>
      </c>
      <c r="O1" s="85" t="s">
        <v>28</v>
      </c>
    </row>
    <row r="2" spans="1:15" ht="26.4" x14ac:dyDescent="0.25">
      <c r="B2" s="85" t="s">
        <v>139</v>
      </c>
      <c r="C2" s="85"/>
      <c r="D2" s="85" t="s">
        <v>203</v>
      </c>
      <c r="E2" s="85" t="s">
        <v>203</v>
      </c>
      <c r="F2" s="85" t="s">
        <v>204</v>
      </c>
      <c r="G2" s="87" t="s">
        <v>141</v>
      </c>
      <c r="H2" s="85" t="s">
        <v>205</v>
      </c>
      <c r="I2" s="85" t="s">
        <v>206</v>
      </c>
      <c r="J2" s="85" t="s">
        <v>206</v>
      </c>
      <c r="K2" s="88" t="s">
        <v>207</v>
      </c>
      <c r="L2" s="88" t="s">
        <v>207</v>
      </c>
      <c r="M2" s="85" t="s">
        <v>208</v>
      </c>
      <c r="N2" s="85" t="s">
        <v>209</v>
      </c>
    </row>
    <row r="3" spans="1:15" x14ac:dyDescent="0.25">
      <c r="A3" s="39" t="s">
        <v>210</v>
      </c>
      <c r="B3" s="39">
        <v>143</v>
      </c>
      <c r="C3" s="39">
        <v>1</v>
      </c>
      <c r="D3" s="39">
        <v>245</v>
      </c>
      <c r="E3" s="39">
        <v>105</v>
      </c>
      <c r="F3" s="39">
        <v>1</v>
      </c>
      <c r="G3" s="89">
        <v>0.09</v>
      </c>
      <c r="H3" s="42">
        <v>1.5</v>
      </c>
      <c r="I3" s="77">
        <v>0.15</v>
      </c>
      <c r="J3" s="39">
        <v>1.07</v>
      </c>
      <c r="K3" s="39">
        <v>150</v>
      </c>
      <c r="L3" s="39">
        <v>150</v>
      </c>
      <c r="M3" s="39">
        <v>0</v>
      </c>
      <c r="N3" s="39">
        <v>0</v>
      </c>
      <c r="O3" s="83" t="s">
        <v>190</v>
      </c>
    </row>
    <row r="4" spans="1:15" x14ac:dyDescent="0.25">
      <c r="A4" s="39" t="s">
        <v>211</v>
      </c>
      <c r="B4" s="39">
        <v>40</v>
      </c>
      <c r="C4" s="39">
        <v>0.5</v>
      </c>
      <c r="D4" s="39">
        <v>246</v>
      </c>
      <c r="E4" s="39">
        <v>171</v>
      </c>
      <c r="F4" s="39">
        <v>1</v>
      </c>
      <c r="G4" s="89">
        <v>0.16200000000000001</v>
      </c>
      <c r="H4" s="42">
        <v>1.1000000000000001</v>
      </c>
      <c r="I4" s="77">
        <v>0.15</v>
      </c>
      <c r="J4" s="39">
        <v>0.32</v>
      </c>
      <c r="K4" s="39">
        <v>150</v>
      </c>
      <c r="L4" s="39">
        <v>150</v>
      </c>
      <c r="M4" s="39">
        <v>0</v>
      </c>
      <c r="N4" s="39">
        <v>0</v>
      </c>
      <c r="O4" s="83" t="s">
        <v>180</v>
      </c>
    </row>
    <row r="5" spans="1:15" x14ac:dyDescent="0.25">
      <c r="A5" s="39" t="s">
        <v>212</v>
      </c>
      <c r="B5" s="39">
        <v>5</v>
      </c>
      <c r="C5" s="39">
        <v>0.5</v>
      </c>
      <c r="D5" s="39">
        <v>268</v>
      </c>
      <c r="E5" s="39">
        <v>403</v>
      </c>
      <c r="F5" s="39">
        <v>0.43</v>
      </c>
      <c r="G5" s="89">
        <v>0.16200000000000001</v>
      </c>
      <c r="H5" s="42">
        <v>0.6</v>
      </c>
      <c r="I5" s="77">
        <v>0.15</v>
      </c>
      <c r="J5" s="39">
        <v>0.15</v>
      </c>
      <c r="K5" s="39">
        <v>150</v>
      </c>
      <c r="L5" s="39">
        <v>150</v>
      </c>
      <c r="M5" s="39">
        <v>0</v>
      </c>
      <c r="N5" s="39">
        <v>0.28000000000000003</v>
      </c>
      <c r="O5" s="83" t="s">
        <v>176</v>
      </c>
    </row>
    <row r="6" spans="1:15" x14ac:dyDescent="0.25">
      <c r="A6" s="39" t="s">
        <v>213</v>
      </c>
      <c r="B6" s="39">
        <v>136</v>
      </c>
      <c r="C6" s="39">
        <v>0.5</v>
      </c>
      <c r="D6" s="39">
        <v>245</v>
      </c>
      <c r="E6" s="39">
        <v>112</v>
      </c>
      <c r="F6" s="39">
        <v>0.96</v>
      </c>
      <c r="G6" s="89">
        <v>8.5999999999999993E-2</v>
      </c>
      <c r="H6" s="42">
        <v>1.2</v>
      </c>
      <c r="I6" s="77">
        <v>0.15</v>
      </c>
      <c r="J6" s="39">
        <v>1.02</v>
      </c>
      <c r="K6" s="39">
        <v>150</v>
      </c>
      <c r="L6" s="39">
        <v>150</v>
      </c>
      <c r="M6" s="39">
        <v>0.04</v>
      </c>
      <c r="N6" s="39">
        <v>0.03</v>
      </c>
      <c r="O6" s="83" t="s">
        <v>190</v>
      </c>
    </row>
    <row r="7" spans="1:15" x14ac:dyDescent="0.25">
      <c r="A7" s="39" t="s">
        <v>214</v>
      </c>
      <c r="B7" s="39">
        <v>5</v>
      </c>
      <c r="C7" s="39">
        <v>0.5</v>
      </c>
      <c r="D7" s="39">
        <v>268</v>
      </c>
      <c r="E7" s="39">
        <v>403</v>
      </c>
      <c r="F7" s="83" t="s">
        <v>215</v>
      </c>
      <c r="G7" s="89">
        <v>0.16200000000000001</v>
      </c>
      <c r="H7" s="42">
        <v>0.8</v>
      </c>
      <c r="I7" s="77">
        <v>0.15</v>
      </c>
      <c r="J7" s="39">
        <v>0.15</v>
      </c>
      <c r="K7" s="39">
        <v>150</v>
      </c>
      <c r="L7" s="39">
        <v>150</v>
      </c>
      <c r="M7" s="39">
        <v>0</v>
      </c>
      <c r="N7" s="39">
        <v>0</v>
      </c>
      <c r="O7" s="83" t="s">
        <v>189</v>
      </c>
    </row>
    <row r="8" spans="1:15" x14ac:dyDescent="0.25">
      <c r="A8" s="39" t="s">
        <v>216</v>
      </c>
      <c r="B8" s="39">
        <v>10</v>
      </c>
      <c r="C8" s="39">
        <v>0.5</v>
      </c>
      <c r="D8" s="39">
        <v>250</v>
      </c>
      <c r="E8" s="39">
        <v>250</v>
      </c>
      <c r="F8" s="39">
        <v>1.5</v>
      </c>
      <c r="G8" s="89">
        <v>0.18</v>
      </c>
      <c r="H8" s="42">
        <v>1.1000000000000001</v>
      </c>
      <c r="I8" s="77">
        <v>0.15</v>
      </c>
      <c r="J8" s="39">
        <v>0.15</v>
      </c>
      <c r="K8" s="39">
        <v>150</v>
      </c>
      <c r="L8" s="39">
        <v>150</v>
      </c>
      <c r="M8" s="39">
        <v>0</v>
      </c>
      <c r="N8" s="39">
        <v>0</v>
      </c>
      <c r="O8" s="83" t="s">
        <v>172</v>
      </c>
    </row>
    <row r="9" spans="1:15" x14ac:dyDescent="0.25">
      <c r="A9" s="39" t="s">
        <v>217</v>
      </c>
      <c r="B9" s="39">
        <v>7</v>
      </c>
      <c r="C9" s="39">
        <v>0.5</v>
      </c>
      <c r="D9" s="39">
        <v>375</v>
      </c>
      <c r="E9" s="39">
        <v>625</v>
      </c>
      <c r="F9" s="39">
        <v>1</v>
      </c>
      <c r="G9" s="89">
        <v>0.18</v>
      </c>
      <c r="H9" s="42">
        <v>1</v>
      </c>
      <c r="I9" s="77">
        <v>0.15</v>
      </c>
      <c r="J9" s="39">
        <v>0.15</v>
      </c>
      <c r="K9" s="39">
        <v>150</v>
      </c>
      <c r="L9" s="39">
        <v>150</v>
      </c>
      <c r="M9" s="39">
        <v>0</v>
      </c>
      <c r="N9" s="39">
        <v>0.28000000000000003</v>
      </c>
      <c r="O9" s="83" t="s">
        <v>186</v>
      </c>
    </row>
    <row r="10" spans="1:15" x14ac:dyDescent="0.25">
      <c r="A10" s="39" t="s">
        <v>218</v>
      </c>
      <c r="B10" s="39">
        <v>29</v>
      </c>
      <c r="C10" s="39">
        <v>0.5</v>
      </c>
      <c r="D10" s="39">
        <v>252</v>
      </c>
      <c r="E10" s="39">
        <v>225</v>
      </c>
      <c r="F10" s="39">
        <v>0.91</v>
      </c>
      <c r="G10" s="89">
        <v>0.17</v>
      </c>
      <c r="H10" s="42">
        <v>1.5</v>
      </c>
      <c r="I10" s="77">
        <v>0.15</v>
      </c>
      <c r="J10" s="39">
        <v>0.22</v>
      </c>
      <c r="K10" s="39">
        <v>150</v>
      </c>
      <c r="L10" s="39">
        <v>150</v>
      </c>
      <c r="M10" s="39">
        <v>0.03</v>
      </c>
      <c r="N10" s="39">
        <v>0.14000000000000001</v>
      </c>
      <c r="O10" s="83" t="s">
        <v>181</v>
      </c>
    </row>
    <row r="11" spans="1:15" x14ac:dyDescent="0.25">
      <c r="A11" s="39" t="s">
        <v>219</v>
      </c>
      <c r="B11" s="39">
        <v>10</v>
      </c>
      <c r="C11" s="39">
        <v>0.5</v>
      </c>
      <c r="D11" s="39">
        <v>250</v>
      </c>
      <c r="E11" s="39">
        <v>250</v>
      </c>
      <c r="F11" s="39">
        <v>1.5</v>
      </c>
      <c r="G11" s="89">
        <v>0.18</v>
      </c>
      <c r="H11" s="42">
        <v>1.3</v>
      </c>
      <c r="I11" s="77">
        <v>0.15</v>
      </c>
      <c r="J11" s="39">
        <v>0.15</v>
      </c>
      <c r="K11" s="39">
        <v>150</v>
      </c>
      <c r="L11" s="39">
        <v>150</v>
      </c>
      <c r="M11" s="39">
        <v>0</v>
      </c>
      <c r="N11" s="39">
        <v>0</v>
      </c>
      <c r="O11" s="83" t="s">
        <v>172</v>
      </c>
    </row>
    <row r="12" spans="1:15" x14ac:dyDescent="0.25">
      <c r="A12" s="39" t="s">
        <v>220</v>
      </c>
      <c r="B12" s="39">
        <v>10</v>
      </c>
      <c r="C12" s="39">
        <v>0.5</v>
      </c>
      <c r="D12" s="39">
        <v>250</v>
      </c>
      <c r="E12" s="39">
        <v>213</v>
      </c>
      <c r="F12" s="39">
        <v>1.18</v>
      </c>
      <c r="G12" s="89">
        <v>0.16500000000000001</v>
      </c>
      <c r="H12" s="42">
        <v>1.1000000000000001</v>
      </c>
      <c r="I12" s="77">
        <v>0.15</v>
      </c>
      <c r="J12" s="39">
        <v>0.15</v>
      </c>
      <c r="K12" s="39">
        <v>150</v>
      </c>
      <c r="L12" s="39">
        <v>150</v>
      </c>
      <c r="M12" s="39">
        <v>0.33</v>
      </c>
      <c r="N12" s="39">
        <v>1.1200000000000001</v>
      </c>
      <c r="O12" s="83" t="s">
        <v>188</v>
      </c>
    </row>
    <row r="13" spans="1:15" x14ac:dyDescent="0.25">
      <c r="A13" s="39" t="s">
        <v>147</v>
      </c>
      <c r="B13" s="39">
        <v>10</v>
      </c>
      <c r="C13" s="39">
        <v>0.5</v>
      </c>
      <c r="D13" s="39">
        <v>250</v>
      </c>
      <c r="E13" s="39">
        <v>206</v>
      </c>
      <c r="F13" s="39">
        <v>1.34</v>
      </c>
      <c r="G13" s="89">
        <v>0.159</v>
      </c>
      <c r="H13" s="77">
        <v>0.8</v>
      </c>
      <c r="I13" s="77">
        <v>0.15</v>
      </c>
      <c r="J13" s="39">
        <v>0.15</v>
      </c>
      <c r="K13" s="39">
        <v>150</v>
      </c>
      <c r="L13" s="39">
        <v>150</v>
      </c>
      <c r="M13" s="39">
        <v>0</v>
      </c>
      <c r="N13" s="39">
        <v>0</v>
      </c>
      <c r="O13" s="83" t="s">
        <v>172</v>
      </c>
    </row>
    <row r="14" spans="1:15" x14ac:dyDescent="0.25">
      <c r="A14" s="39" t="s">
        <v>221</v>
      </c>
      <c r="B14" s="39">
        <v>10</v>
      </c>
      <c r="C14" s="39">
        <v>0.5</v>
      </c>
      <c r="D14" s="39">
        <v>250</v>
      </c>
      <c r="E14" s="39">
        <v>200</v>
      </c>
      <c r="F14" s="39">
        <v>0</v>
      </c>
      <c r="G14" s="89">
        <v>0</v>
      </c>
      <c r="H14" s="42">
        <v>0.2</v>
      </c>
      <c r="I14" s="77">
        <v>0.15</v>
      </c>
      <c r="J14" s="39">
        <v>0.15</v>
      </c>
      <c r="K14" s="39">
        <v>150</v>
      </c>
      <c r="L14" s="39">
        <v>150</v>
      </c>
      <c r="M14" s="39">
        <v>0</v>
      </c>
      <c r="N14" s="39">
        <v>0</v>
      </c>
      <c r="O14" s="83" t="s">
        <v>185</v>
      </c>
    </row>
    <row r="15" spans="1:15" x14ac:dyDescent="0.25">
      <c r="A15" s="39" t="s">
        <v>222</v>
      </c>
      <c r="B15" s="39">
        <v>136</v>
      </c>
      <c r="C15" s="39">
        <v>0.5</v>
      </c>
      <c r="D15" s="39">
        <v>245</v>
      </c>
      <c r="E15" s="39">
        <v>112</v>
      </c>
      <c r="F15" s="39">
        <v>0.96</v>
      </c>
      <c r="G15" s="89">
        <v>8.5999999999999993E-2</v>
      </c>
      <c r="H15" s="42">
        <v>1.6</v>
      </c>
      <c r="I15" s="77">
        <v>0.15</v>
      </c>
      <c r="J15" s="39">
        <v>1.03</v>
      </c>
      <c r="K15" s="39">
        <v>150</v>
      </c>
      <c r="L15" s="39">
        <v>150</v>
      </c>
      <c r="M15" s="39">
        <v>0.04</v>
      </c>
      <c r="N15" s="39">
        <v>0</v>
      </c>
      <c r="O15" s="83" t="s">
        <v>190</v>
      </c>
    </row>
    <row r="16" spans="1:15" x14ac:dyDescent="0.25">
      <c r="A16" s="39" t="s">
        <v>223</v>
      </c>
      <c r="B16" s="39">
        <v>45</v>
      </c>
      <c r="C16" s="39">
        <v>0.5</v>
      </c>
      <c r="D16" s="39">
        <v>274</v>
      </c>
      <c r="E16" s="39">
        <v>334</v>
      </c>
      <c r="F16" s="39">
        <v>0.79</v>
      </c>
      <c r="G16" s="89">
        <v>0.54900000000000004</v>
      </c>
      <c r="H16" s="42">
        <v>1.2</v>
      </c>
      <c r="I16" s="77">
        <v>0.15</v>
      </c>
      <c r="J16" s="39">
        <v>0.38</v>
      </c>
      <c r="K16" s="39">
        <v>150</v>
      </c>
      <c r="L16" s="39">
        <v>150</v>
      </c>
      <c r="M16" s="90">
        <v>5.14</v>
      </c>
      <c r="N16" s="90">
        <v>0.06</v>
      </c>
      <c r="O16" s="83" t="s">
        <v>182</v>
      </c>
    </row>
    <row r="17" spans="1:15" x14ac:dyDescent="0.25">
      <c r="A17" s="39" t="s">
        <v>224</v>
      </c>
      <c r="B17" s="39">
        <v>40</v>
      </c>
      <c r="C17" s="39">
        <v>0.5</v>
      </c>
      <c r="D17" s="39">
        <v>246</v>
      </c>
      <c r="E17" s="39">
        <v>171</v>
      </c>
      <c r="F17" s="39">
        <v>1</v>
      </c>
      <c r="G17" s="89">
        <v>0.16200000000000001</v>
      </c>
      <c r="H17" s="42">
        <v>1</v>
      </c>
      <c r="I17" s="77">
        <v>0.15</v>
      </c>
      <c r="J17" s="39">
        <v>0.32</v>
      </c>
      <c r="K17" s="39">
        <v>150</v>
      </c>
      <c r="L17" s="39">
        <v>150</v>
      </c>
      <c r="M17" s="39">
        <v>0.04</v>
      </c>
      <c r="N17" s="39">
        <v>0.03</v>
      </c>
      <c r="O17" s="83" t="s">
        <v>180</v>
      </c>
    </row>
    <row r="18" spans="1:15" x14ac:dyDescent="0.25">
      <c r="A18" s="39" t="s">
        <v>225</v>
      </c>
      <c r="B18" s="39">
        <v>130</v>
      </c>
      <c r="C18" s="39">
        <v>1</v>
      </c>
      <c r="D18" s="39">
        <v>268</v>
      </c>
      <c r="E18" s="39">
        <v>403</v>
      </c>
      <c r="F18" s="39">
        <v>0.54</v>
      </c>
      <c r="G18" s="89">
        <v>0.09</v>
      </c>
      <c r="H18" s="42">
        <v>1.3</v>
      </c>
      <c r="I18" s="77">
        <v>0.15</v>
      </c>
      <c r="J18" s="39">
        <v>0.98</v>
      </c>
      <c r="K18" s="39">
        <v>150</v>
      </c>
      <c r="L18" s="39">
        <v>150</v>
      </c>
      <c r="M18" s="39">
        <v>0.04</v>
      </c>
      <c r="N18" s="39">
        <v>0</v>
      </c>
      <c r="O18" s="83" t="s">
        <v>190</v>
      </c>
    </row>
    <row r="19" spans="1:15" x14ac:dyDescent="0.25">
      <c r="A19" s="39" t="s">
        <v>226</v>
      </c>
      <c r="B19" s="39">
        <v>10</v>
      </c>
      <c r="C19" s="39">
        <v>0.5</v>
      </c>
      <c r="D19" s="39">
        <v>250</v>
      </c>
      <c r="E19" s="39">
        <v>200</v>
      </c>
      <c r="F19" s="39">
        <v>1</v>
      </c>
      <c r="G19" s="89">
        <v>0.18</v>
      </c>
      <c r="H19" s="42">
        <v>0.6</v>
      </c>
      <c r="I19" s="77">
        <v>0.15</v>
      </c>
      <c r="J19" s="39">
        <v>0.15</v>
      </c>
      <c r="K19" s="39">
        <v>150</v>
      </c>
      <c r="L19" s="39">
        <v>150</v>
      </c>
      <c r="M19" s="39">
        <v>0.04</v>
      </c>
      <c r="N19" s="39">
        <v>0.03</v>
      </c>
      <c r="O19" s="83" t="s">
        <v>172</v>
      </c>
    </row>
    <row r="21" spans="1:15" x14ac:dyDescent="0.25">
      <c r="B21" s="39" t="s">
        <v>227</v>
      </c>
    </row>
  </sheetData>
  <conditionalFormatting sqref="M16:N16">
    <cfRule type="cellIs" dxfId="1" priority="1" stopIfTrue="1" operator="equal">
      <formula>"N/A"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CF71-5478-4A35-9ED7-E6ED7C6BA6D8}">
  <dimension ref="A1:Y68"/>
  <sheetViews>
    <sheetView showGridLines="0" zoomScale="70" zoomScaleNormal="70" workbookViewId="0">
      <pane xSplit="1" ySplit="2" topLeftCell="B3" activePane="bottomRight" state="frozen"/>
      <selection activeCell="E15" sqref="E15:F15"/>
      <selection pane="topRight" activeCell="E15" sqref="E15:F15"/>
      <selection pane="bottomLeft" activeCell="E15" sqref="E15:F15"/>
      <selection pane="bottomRight" activeCell="J45" sqref="J45"/>
    </sheetView>
  </sheetViews>
  <sheetFormatPr defaultColWidth="8.3984375" defaultRowHeight="13.2" outlineLevelCol="1" x14ac:dyDescent="0.25"/>
  <cols>
    <col min="1" max="1" width="50.8984375" style="95" customWidth="1"/>
    <col min="2" max="2" width="12.8984375" style="95" customWidth="1"/>
    <col min="3" max="3" width="9.296875" style="95" customWidth="1"/>
    <col min="4" max="4" width="12.8984375" style="95" customWidth="1"/>
    <col min="5" max="5" width="11.69921875" style="95" customWidth="1"/>
    <col min="6" max="6" width="11.296875" style="95" customWidth="1"/>
    <col min="7" max="7" width="13.796875" style="95" customWidth="1"/>
    <col min="8" max="8" width="9.5" style="95" customWidth="1"/>
    <col min="9" max="10" width="13.09765625" style="95" customWidth="1"/>
    <col min="11" max="12" width="9.296875" style="95" customWidth="1"/>
    <col min="13" max="13" width="11.09765625" style="95" customWidth="1"/>
    <col min="14" max="14" width="8.3984375" style="95" customWidth="1"/>
    <col min="15" max="16" width="11.296875" style="95" customWidth="1"/>
    <col min="17" max="18" width="13.09765625" style="95" customWidth="1"/>
    <col min="19" max="19" width="19.19921875" style="104" customWidth="1"/>
    <col min="20" max="20" width="48" style="107" customWidth="1"/>
    <col min="21" max="21" width="19.19921875" style="95" hidden="1" customWidth="1" outlineLevel="1"/>
    <col min="22" max="22" width="4.09765625" style="95" hidden="1" customWidth="1" outlineLevel="1"/>
    <col min="23" max="23" width="19.19921875" style="95" hidden="1" customWidth="1" outlineLevel="1"/>
    <col min="24" max="24" width="5.69921875" style="95" hidden="1" customWidth="1" outlineLevel="1"/>
    <col min="25" max="25" width="8.3984375" style="95" collapsed="1"/>
    <col min="26" max="16384" width="8.3984375" style="95"/>
  </cols>
  <sheetData>
    <row r="1" spans="1:24" ht="79.2" x14ac:dyDescent="0.25">
      <c r="A1" s="91" t="s">
        <v>228</v>
      </c>
      <c r="B1" s="86" t="s">
        <v>131</v>
      </c>
      <c r="C1" s="86" t="s">
        <v>192</v>
      </c>
      <c r="D1" s="86" t="s">
        <v>193</v>
      </c>
      <c r="E1" s="86" t="s">
        <v>194</v>
      </c>
      <c r="F1" s="86" t="s">
        <v>195</v>
      </c>
      <c r="G1" s="86" t="s">
        <v>132</v>
      </c>
      <c r="H1" s="86" t="s">
        <v>196</v>
      </c>
      <c r="I1" s="86" t="s">
        <v>229</v>
      </c>
      <c r="J1" s="86" t="s">
        <v>230</v>
      </c>
      <c r="K1" s="86" t="s">
        <v>199</v>
      </c>
      <c r="L1" s="86" t="s">
        <v>200</v>
      </c>
      <c r="M1" s="86" t="s">
        <v>231</v>
      </c>
      <c r="N1" s="86" t="s">
        <v>202</v>
      </c>
      <c r="O1" s="92" t="s">
        <v>232</v>
      </c>
      <c r="P1" s="92"/>
      <c r="Q1" s="86" t="s">
        <v>233</v>
      </c>
      <c r="R1" s="86" t="s">
        <v>234</v>
      </c>
      <c r="S1" s="86" t="s">
        <v>28</v>
      </c>
      <c r="T1" s="86" t="s">
        <v>3</v>
      </c>
      <c r="U1" s="93" t="s">
        <v>235</v>
      </c>
      <c r="V1" s="94" t="s">
        <v>236</v>
      </c>
      <c r="W1" s="93" t="s">
        <v>237</v>
      </c>
      <c r="X1" s="94" t="s">
        <v>236</v>
      </c>
    </row>
    <row r="2" spans="1:24" x14ac:dyDescent="0.25">
      <c r="A2" s="95" t="s">
        <v>238</v>
      </c>
      <c r="B2" s="86" t="s">
        <v>139</v>
      </c>
      <c r="C2" s="86"/>
      <c r="D2" s="86" t="s">
        <v>239</v>
      </c>
      <c r="E2" s="86" t="s">
        <v>239</v>
      </c>
      <c r="F2" s="86" t="s">
        <v>204</v>
      </c>
      <c r="G2" s="86" t="s">
        <v>141</v>
      </c>
      <c r="H2" s="86" t="s">
        <v>205</v>
      </c>
      <c r="I2" s="86" t="s">
        <v>206</v>
      </c>
      <c r="J2" s="86" t="s">
        <v>206</v>
      </c>
      <c r="K2" s="86" t="s">
        <v>207</v>
      </c>
      <c r="L2" s="86" t="s">
        <v>207</v>
      </c>
      <c r="M2" s="86" t="s">
        <v>208</v>
      </c>
      <c r="N2" s="86" t="s">
        <v>209</v>
      </c>
      <c r="O2" s="86" t="s">
        <v>240</v>
      </c>
      <c r="P2" s="86" t="s">
        <v>241</v>
      </c>
      <c r="Q2" s="86"/>
      <c r="R2" s="86"/>
      <c r="S2" s="96"/>
      <c r="T2" s="93"/>
      <c r="U2" s="86" t="s">
        <v>242</v>
      </c>
    </row>
    <row r="3" spans="1:24" ht="13.8" x14ac:dyDescent="0.25">
      <c r="A3" s="95" t="s">
        <v>243</v>
      </c>
      <c r="B3" s="95">
        <v>142.85714285714286</v>
      </c>
      <c r="C3" s="95">
        <v>1</v>
      </c>
      <c r="D3" s="95">
        <v>245</v>
      </c>
      <c r="E3" s="95">
        <v>105</v>
      </c>
      <c r="F3" s="97">
        <v>1</v>
      </c>
      <c r="G3" s="98">
        <v>0.09</v>
      </c>
      <c r="H3" s="97">
        <v>1.5</v>
      </c>
      <c r="I3" s="99">
        <v>0.15</v>
      </c>
      <c r="J3" s="99">
        <f>MAX(I3, ((B3/1000)*15*C3),0.15)</f>
        <v>2.1428571428571428</v>
      </c>
      <c r="K3" s="100">
        <v>150</v>
      </c>
      <c r="L3" s="100">
        <v>150</v>
      </c>
      <c r="M3" s="101">
        <v>0</v>
      </c>
      <c r="N3" s="101">
        <v>0</v>
      </c>
      <c r="O3" s="102">
        <v>50</v>
      </c>
      <c r="P3" s="103">
        <v>1000</v>
      </c>
      <c r="Q3" s="104">
        <v>1.5</v>
      </c>
      <c r="R3" s="104">
        <v>2</v>
      </c>
      <c r="S3" s="104" t="s">
        <v>190</v>
      </c>
      <c r="T3" s="95"/>
      <c r="U3" s="95">
        <v>143</v>
      </c>
      <c r="V3" s="105">
        <f>B3-U3</f>
        <v>-0.1428571428571388</v>
      </c>
      <c r="W3" s="95">
        <v>1.07</v>
      </c>
      <c r="X3" s="106">
        <f>J3-W3</f>
        <v>1.0728571428571427</v>
      </c>
    </row>
    <row r="4" spans="1:24" ht="13.8" x14ac:dyDescent="0.25">
      <c r="A4" s="95" t="s">
        <v>244</v>
      </c>
      <c r="B4" s="95">
        <v>10</v>
      </c>
      <c r="C4" s="95">
        <v>0.5</v>
      </c>
      <c r="D4" s="95">
        <v>275</v>
      </c>
      <c r="E4" s="95">
        <v>475</v>
      </c>
      <c r="F4" s="97">
        <v>1</v>
      </c>
      <c r="G4" s="98">
        <v>0.18</v>
      </c>
      <c r="H4" s="97">
        <v>0.9</v>
      </c>
      <c r="I4" s="99">
        <v>1.5</v>
      </c>
      <c r="J4" s="99">
        <f>MAX(I4, ((B4/1000)*15*C4),0.15)</f>
        <v>1.5</v>
      </c>
      <c r="K4" s="100">
        <v>150</v>
      </c>
      <c r="L4" s="100">
        <v>150</v>
      </c>
      <c r="M4" s="101">
        <v>0.75063999999999997</v>
      </c>
      <c r="N4" s="101">
        <v>0</v>
      </c>
      <c r="O4" s="102">
        <v>200</v>
      </c>
      <c r="P4" s="103">
        <v>1500</v>
      </c>
      <c r="Q4" s="104">
        <v>1.5</v>
      </c>
      <c r="R4" s="104">
        <v>2</v>
      </c>
      <c r="S4" s="104" t="s">
        <v>186</v>
      </c>
      <c r="T4" s="95"/>
      <c r="U4" s="95">
        <v>10</v>
      </c>
      <c r="V4" s="105">
        <f t="shared" ref="V4:V59" si="0">B4-U4</f>
        <v>0</v>
      </c>
      <c r="W4" s="95">
        <v>1.5</v>
      </c>
      <c r="X4" s="106">
        <f t="shared" ref="X4:X59" si="1">J4-W4</f>
        <v>0</v>
      </c>
    </row>
    <row r="5" spans="1:24" ht="13.8" x14ac:dyDescent="0.25">
      <c r="A5" s="95" t="s">
        <v>245</v>
      </c>
      <c r="B5" s="95">
        <v>66.666666666666671</v>
      </c>
      <c r="C5" s="95">
        <v>0.5</v>
      </c>
      <c r="D5" s="95">
        <v>275</v>
      </c>
      <c r="E5" s="95">
        <v>275</v>
      </c>
      <c r="F5" s="97">
        <v>1</v>
      </c>
      <c r="G5" s="98">
        <v>0.18</v>
      </c>
      <c r="H5" s="97">
        <v>1.1000000000000001</v>
      </c>
      <c r="I5" s="99">
        <v>0.2</v>
      </c>
      <c r="J5" s="99">
        <f t="shared" ref="J5:J31" si="2">MAX(I5, ((B5/1000)*15*C5),0.15)</f>
        <v>0.5</v>
      </c>
      <c r="K5" s="100">
        <v>150</v>
      </c>
      <c r="L5" s="100">
        <v>150</v>
      </c>
      <c r="M5" s="101">
        <v>0</v>
      </c>
      <c r="N5" s="101">
        <v>1.1200000000000001</v>
      </c>
      <c r="O5" s="102">
        <v>50</v>
      </c>
      <c r="P5" s="103">
        <v>200</v>
      </c>
      <c r="Q5" s="104">
        <v>1.5</v>
      </c>
      <c r="R5" s="104">
        <v>2</v>
      </c>
      <c r="S5" s="104" t="s">
        <v>182</v>
      </c>
      <c r="T5" s="95"/>
      <c r="U5" s="95">
        <v>67</v>
      </c>
      <c r="V5" s="105">
        <f t="shared" si="0"/>
        <v>-0.3333333333333286</v>
      </c>
      <c r="W5" s="95">
        <v>0.2</v>
      </c>
      <c r="X5" s="106">
        <f t="shared" si="1"/>
        <v>0.3</v>
      </c>
    </row>
    <row r="6" spans="1:24" ht="13.8" x14ac:dyDescent="0.25">
      <c r="A6" s="95" t="s">
        <v>246</v>
      </c>
      <c r="B6" s="95">
        <v>10</v>
      </c>
      <c r="C6" s="95">
        <v>0.5</v>
      </c>
      <c r="D6" s="95">
        <v>250</v>
      </c>
      <c r="E6" s="95">
        <v>200</v>
      </c>
      <c r="F6" s="97">
        <v>2</v>
      </c>
      <c r="G6" s="98">
        <v>0.18</v>
      </c>
      <c r="H6" s="97">
        <v>1.7</v>
      </c>
      <c r="I6" s="99">
        <v>0.4</v>
      </c>
      <c r="J6" s="99">
        <f t="shared" si="2"/>
        <v>0.4</v>
      </c>
      <c r="K6" s="100">
        <v>150</v>
      </c>
      <c r="L6" s="100">
        <v>150</v>
      </c>
      <c r="M6" s="101">
        <v>0</v>
      </c>
      <c r="N6" s="101">
        <v>0</v>
      </c>
      <c r="O6" s="102">
        <v>500</v>
      </c>
      <c r="P6" s="103">
        <v>500</v>
      </c>
      <c r="Q6" s="104">
        <v>1.5</v>
      </c>
      <c r="R6" s="104">
        <v>2</v>
      </c>
      <c r="S6" s="104" t="s">
        <v>181</v>
      </c>
      <c r="T6" s="95"/>
      <c r="U6" s="95">
        <v>10</v>
      </c>
      <c r="V6" s="105">
        <f t="shared" si="0"/>
        <v>0</v>
      </c>
      <c r="W6" s="95">
        <v>0.4</v>
      </c>
      <c r="X6" s="106">
        <f t="shared" si="1"/>
        <v>0</v>
      </c>
    </row>
    <row r="7" spans="1:24" ht="13.8" x14ac:dyDescent="0.25">
      <c r="A7" s="95" t="s">
        <v>247</v>
      </c>
      <c r="B7" s="95">
        <v>50</v>
      </c>
      <c r="C7" s="95">
        <v>0.5</v>
      </c>
      <c r="D7" s="95">
        <v>245</v>
      </c>
      <c r="E7" s="95">
        <v>155</v>
      </c>
      <c r="F7" s="97">
        <v>1</v>
      </c>
      <c r="G7" s="98">
        <v>0.18</v>
      </c>
      <c r="H7" s="97">
        <v>1.2</v>
      </c>
      <c r="I7" s="99">
        <v>0.15</v>
      </c>
      <c r="J7" s="99">
        <f t="shared" si="2"/>
        <v>0.375</v>
      </c>
      <c r="K7" s="100">
        <v>150</v>
      </c>
      <c r="L7" s="100">
        <v>150</v>
      </c>
      <c r="M7" s="101">
        <v>0</v>
      </c>
      <c r="N7" s="101">
        <v>0</v>
      </c>
      <c r="O7" s="102">
        <v>50</v>
      </c>
      <c r="P7" s="103">
        <v>500</v>
      </c>
      <c r="Q7" s="104">
        <v>1.5</v>
      </c>
      <c r="R7" s="104">
        <v>2</v>
      </c>
      <c r="S7" s="104" t="s">
        <v>180</v>
      </c>
      <c r="T7" s="95"/>
      <c r="U7" s="95">
        <v>50</v>
      </c>
      <c r="V7" s="105">
        <f t="shared" si="0"/>
        <v>0</v>
      </c>
      <c r="W7" s="95">
        <v>0.38</v>
      </c>
      <c r="X7" s="106">
        <f t="shared" si="1"/>
        <v>-5.0000000000000044E-3</v>
      </c>
    </row>
    <row r="8" spans="1:24" ht="13.8" x14ac:dyDescent="0.25">
      <c r="A8" s="95" t="s">
        <v>248</v>
      </c>
      <c r="B8" s="95">
        <v>66.666666666666671</v>
      </c>
      <c r="C8" s="95">
        <v>0.5</v>
      </c>
      <c r="D8" s="95">
        <v>250</v>
      </c>
      <c r="E8" s="95">
        <v>200</v>
      </c>
      <c r="F8" s="97">
        <v>1.5</v>
      </c>
      <c r="G8" s="98">
        <v>0.18</v>
      </c>
      <c r="H8" s="97">
        <v>1.3</v>
      </c>
      <c r="I8" s="99">
        <v>0.15</v>
      </c>
      <c r="J8" s="99">
        <f t="shared" si="2"/>
        <v>0.5</v>
      </c>
      <c r="K8" s="100">
        <v>150</v>
      </c>
      <c r="L8" s="100">
        <v>150</v>
      </c>
      <c r="M8" s="101">
        <v>0</v>
      </c>
      <c r="N8" s="101">
        <v>0</v>
      </c>
      <c r="O8" s="102">
        <v>30</v>
      </c>
      <c r="P8" s="103">
        <v>300</v>
      </c>
      <c r="Q8" s="104">
        <v>1.5</v>
      </c>
      <c r="R8" s="104">
        <v>2</v>
      </c>
      <c r="S8" s="104" t="s">
        <v>190</v>
      </c>
      <c r="T8" s="95" t="s">
        <v>249</v>
      </c>
      <c r="U8" s="95">
        <v>25</v>
      </c>
      <c r="V8" s="105">
        <f t="shared" si="0"/>
        <v>41.666666666666671</v>
      </c>
      <c r="W8" s="95">
        <v>0.19</v>
      </c>
      <c r="X8" s="106">
        <f t="shared" si="1"/>
        <v>0.31</v>
      </c>
    </row>
    <row r="9" spans="1:24" ht="26.4" x14ac:dyDescent="0.25">
      <c r="A9" s="95" t="s">
        <v>250</v>
      </c>
      <c r="B9" s="95">
        <v>2</v>
      </c>
      <c r="C9" s="95">
        <v>0.5</v>
      </c>
      <c r="D9" s="95">
        <v>275</v>
      </c>
      <c r="E9" s="95">
        <v>475</v>
      </c>
      <c r="F9" s="97">
        <v>0.2</v>
      </c>
      <c r="G9" s="98">
        <v>0.18</v>
      </c>
      <c r="H9" s="97">
        <v>0.6</v>
      </c>
      <c r="I9" s="99">
        <v>0.15</v>
      </c>
      <c r="J9" s="99">
        <f t="shared" si="2"/>
        <v>0.15</v>
      </c>
      <c r="K9" s="100">
        <v>8760</v>
      </c>
      <c r="L9" s="100">
        <v>8760</v>
      </c>
      <c r="M9" s="101">
        <v>0</v>
      </c>
      <c r="N9" s="101">
        <v>0</v>
      </c>
      <c r="O9" s="102">
        <v>50</v>
      </c>
      <c r="P9" s="103">
        <v>300</v>
      </c>
      <c r="Q9" s="104">
        <v>1.5</v>
      </c>
      <c r="R9" s="104">
        <v>2</v>
      </c>
      <c r="S9" s="104" t="s">
        <v>176</v>
      </c>
      <c r="T9" s="107" t="s">
        <v>251</v>
      </c>
      <c r="U9" s="95">
        <v>3</v>
      </c>
      <c r="V9" s="105">
        <f t="shared" si="0"/>
        <v>-1</v>
      </c>
      <c r="W9" s="95">
        <v>0.15</v>
      </c>
      <c r="X9" s="106">
        <f t="shared" si="1"/>
        <v>0</v>
      </c>
    </row>
    <row r="10" spans="1:24" ht="13.8" x14ac:dyDescent="0.25">
      <c r="A10" s="95" t="s">
        <v>252</v>
      </c>
      <c r="B10" s="95">
        <v>0</v>
      </c>
      <c r="C10" s="95">
        <v>0.5</v>
      </c>
      <c r="D10" s="95">
        <v>275</v>
      </c>
      <c r="E10" s="95">
        <v>475</v>
      </c>
      <c r="F10" s="97">
        <v>0.2</v>
      </c>
      <c r="G10" s="98">
        <v>0.18</v>
      </c>
      <c r="H10" s="97">
        <v>0.7</v>
      </c>
      <c r="I10" s="99">
        <v>0.15</v>
      </c>
      <c r="J10" s="99">
        <f t="shared" si="2"/>
        <v>0.15</v>
      </c>
      <c r="K10" s="100">
        <v>8760</v>
      </c>
      <c r="L10" s="100">
        <v>8760</v>
      </c>
      <c r="M10" s="101">
        <v>0</v>
      </c>
      <c r="N10" s="101">
        <v>10</v>
      </c>
      <c r="O10" s="102">
        <v>50</v>
      </c>
      <c r="P10" s="103">
        <v>300</v>
      </c>
      <c r="Q10" s="104">
        <v>1.5</v>
      </c>
      <c r="R10" s="104">
        <v>2</v>
      </c>
      <c r="S10" s="104" t="s">
        <v>176</v>
      </c>
      <c r="T10" s="95" t="s">
        <v>253</v>
      </c>
      <c r="U10" s="95">
        <v>0</v>
      </c>
      <c r="V10" s="105">
        <f t="shared" si="0"/>
        <v>0</v>
      </c>
      <c r="W10" s="95">
        <v>0</v>
      </c>
      <c r="X10" s="106">
        <f t="shared" si="1"/>
        <v>0.15</v>
      </c>
    </row>
    <row r="11" spans="1:24" ht="13.8" x14ac:dyDescent="0.25">
      <c r="A11" s="95" t="s">
        <v>254</v>
      </c>
      <c r="B11" s="95">
        <v>3</v>
      </c>
      <c r="C11" s="95">
        <v>0.5</v>
      </c>
      <c r="D11" s="95">
        <v>275</v>
      </c>
      <c r="E11" s="95">
        <v>475</v>
      </c>
      <c r="F11" s="108">
        <v>0</v>
      </c>
      <c r="G11" s="98">
        <v>0.18</v>
      </c>
      <c r="H11" s="97">
        <v>0.8</v>
      </c>
      <c r="I11" s="99">
        <v>0.15</v>
      </c>
      <c r="J11" s="99">
        <f t="shared" si="2"/>
        <v>0.15</v>
      </c>
      <c r="K11" s="100">
        <v>150</v>
      </c>
      <c r="L11" s="100">
        <v>150</v>
      </c>
      <c r="M11" s="101">
        <v>0</v>
      </c>
      <c r="N11" s="101">
        <v>0</v>
      </c>
      <c r="O11" s="102">
        <v>75</v>
      </c>
      <c r="P11" s="103">
        <v>300</v>
      </c>
      <c r="Q11" s="104">
        <v>1</v>
      </c>
      <c r="R11" s="104">
        <v>4</v>
      </c>
      <c r="S11" s="104" t="s">
        <v>189</v>
      </c>
      <c r="T11" s="95" t="s">
        <v>255</v>
      </c>
      <c r="U11" s="95">
        <v>3</v>
      </c>
      <c r="V11" s="105">
        <f t="shared" si="0"/>
        <v>0</v>
      </c>
      <c r="W11" s="95">
        <v>0.15</v>
      </c>
      <c r="X11" s="106">
        <f t="shared" si="1"/>
        <v>0</v>
      </c>
    </row>
    <row r="12" spans="1:24" ht="13.8" x14ac:dyDescent="0.25">
      <c r="A12" s="95" t="s">
        <v>154</v>
      </c>
      <c r="B12" s="95">
        <v>66.666666666666671</v>
      </c>
      <c r="C12" s="95">
        <v>0.5</v>
      </c>
      <c r="D12" s="95">
        <v>245</v>
      </c>
      <c r="E12" s="95">
        <v>155</v>
      </c>
      <c r="F12" s="97">
        <v>1</v>
      </c>
      <c r="G12" s="98">
        <v>0.09</v>
      </c>
      <c r="H12" s="97">
        <v>1.4</v>
      </c>
      <c r="I12" s="99">
        <v>0.15</v>
      </c>
      <c r="J12" s="99">
        <f t="shared" si="2"/>
        <v>0.5</v>
      </c>
      <c r="K12" s="100">
        <v>150</v>
      </c>
      <c r="L12" s="100">
        <v>150</v>
      </c>
      <c r="M12" s="101">
        <v>0</v>
      </c>
      <c r="N12" s="101">
        <v>0</v>
      </c>
      <c r="O12" s="102">
        <v>30</v>
      </c>
      <c r="P12" s="103">
        <v>300</v>
      </c>
      <c r="Q12" s="104">
        <v>1.5</v>
      </c>
      <c r="R12" s="104">
        <v>2</v>
      </c>
      <c r="S12" s="104" t="s">
        <v>190</v>
      </c>
      <c r="T12" s="95"/>
      <c r="U12" s="95">
        <v>67</v>
      </c>
      <c r="V12" s="105">
        <f t="shared" si="0"/>
        <v>-0.3333333333333286</v>
      </c>
      <c r="W12" s="95">
        <v>0.5</v>
      </c>
      <c r="X12" s="106">
        <f t="shared" si="1"/>
        <v>0</v>
      </c>
    </row>
    <row r="13" spans="1:24" ht="52.8" x14ac:dyDescent="0.25">
      <c r="A13" s="95" t="s">
        <v>156</v>
      </c>
      <c r="B13" s="95">
        <v>10</v>
      </c>
      <c r="C13" s="95">
        <v>0.5</v>
      </c>
      <c r="D13" s="95">
        <v>250</v>
      </c>
      <c r="E13" s="95">
        <v>250</v>
      </c>
      <c r="F13" s="97">
        <v>0.2</v>
      </c>
      <c r="G13" s="98">
        <v>0</v>
      </c>
      <c r="H13" s="97">
        <v>0.6</v>
      </c>
      <c r="I13" s="99">
        <v>0.15</v>
      </c>
      <c r="J13" s="99">
        <f t="shared" si="2"/>
        <v>0.15</v>
      </c>
      <c r="K13" s="100">
        <v>8760</v>
      </c>
      <c r="L13" s="100">
        <v>8760</v>
      </c>
      <c r="M13" s="101">
        <v>0</v>
      </c>
      <c r="N13" s="101">
        <v>0</v>
      </c>
      <c r="O13" s="102">
        <v>50</v>
      </c>
      <c r="P13" s="103">
        <v>100</v>
      </c>
      <c r="Q13" s="104">
        <v>1.5</v>
      </c>
      <c r="R13" s="104">
        <v>2</v>
      </c>
      <c r="S13" s="104" t="s">
        <v>172</v>
      </c>
      <c r="T13" s="107" t="s">
        <v>256</v>
      </c>
      <c r="U13" s="95">
        <v>10</v>
      </c>
      <c r="V13" s="105">
        <f t="shared" si="0"/>
        <v>0</v>
      </c>
      <c r="W13" s="95">
        <v>0.15</v>
      </c>
      <c r="X13" s="106">
        <f t="shared" si="1"/>
        <v>0</v>
      </c>
    </row>
    <row r="14" spans="1:24" ht="13.8" x14ac:dyDescent="0.25">
      <c r="A14" s="95" t="s">
        <v>257</v>
      </c>
      <c r="B14" s="95">
        <v>66.666666666666671</v>
      </c>
      <c r="C14" s="95">
        <v>0.5</v>
      </c>
      <c r="D14" s="95">
        <v>275</v>
      </c>
      <c r="E14" s="95">
        <v>275</v>
      </c>
      <c r="F14" s="97">
        <v>0.5</v>
      </c>
      <c r="G14" s="98">
        <v>0.57799999999999996</v>
      </c>
      <c r="H14" s="97">
        <v>1.1000000000000001</v>
      </c>
      <c r="I14" s="99">
        <v>0.15</v>
      </c>
      <c r="J14" s="99">
        <f t="shared" si="2"/>
        <v>0.5</v>
      </c>
      <c r="K14" s="100">
        <v>150</v>
      </c>
      <c r="L14" s="100">
        <v>150</v>
      </c>
      <c r="M14" s="101">
        <v>0</v>
      </c>
      <c r="N14" s="101">
        <v>0</v>
      </c>
      <c r="O14" s="102">
        <v>50</v>
      </c>
      <c r="P14" s="103">
        <v>200</v>
      </c>
      <c r="Q14" s="104">
        <v>1.5</v>
      </c>
      <c r="R14" s="104">
        <v>2</v>
      </c>
      <c r="S14" s="104" t="s">
        <v>182</v>
      </c>
      <c r="T14" s="95"/>
      <c r="U14" s="95">
        <v>67</v>
      </c>
      <c r="V14" s="105">
        <f t="shared" si="0"/>
        <v>-0.3333333333333286</v>
      </c>
      <c r="W14" s="95">
        <v>0.5</v>
      </c>
      <c r="X14" s="106">
        <f t="shared" si="1"/>
        <v>0</v>
      </c>
    </row>
    <row r="15" spans="1:24" ht="13.8" x14ac:dyDescent="0.25">
      <c r="A15" s="95" t="s">
        <v>258</v>
      </c>
      <c r="B15" s="95">
        <v>10</v>
      </c>
      <c r="C15" s="95">
        <v>0.5</v>
      </c>
      <c r="D15" s="95">
        <v>250</v>
      </c>
      <c r="E15" s="95">
        <v>250</v>
      </c>
      <c r="F15" s="97">
        <v>3</v>
      </c>
      <c r="G15" s="98">
        <v>0.18</v>
      </c>
      <c r="H15" s="97">
        <v>0.9</v>
      </c>
      <c r="I15" s="99">
        <v>0.3</v>
      </c>
      <c r="J15" s="99">
        <f t="shared" si="2"/>
        <v>0.3</v>
      </c>
      <c r="K15" s="100">
        <v>150</v>
      </c>
      <c r="L15" s="100">
        <v>150</v>
      </c>
      <c r="M15" s="101">
        <v>0.75063999999999997</v>
      </c>
      <c r="N15" s="101">
        <v>0</v>
      </c>
      <c r="O15" s="102">
        <v>300</v>
      </c>
      <c r="P15" s="103">
        <v>300</v>
      </c>
      <c r="Q15" s="104">
        <v>1.5</v>
      </c>
      <c r="R15" s="104">
        <v>2</v>
      </c>
      <c r="S15" s="104" t="s">
        <v>186</v>
      </c>
      <c r="T15" s="95"/>
      <c r="U15" s="95">
        <v>10</v>
      </c>
      <c r="V15" s="105">
        <f t="shared" si="0"/>
        <v>0</v>
      </c>
      <c r="W15" s="95">
        <v>0.3</v>
      </c>
      <c r="X15" s="106">
        <f t="shared" si="1"/>
        <v>0</v>
      </c>
    </row>
    <row r="16" spans="1:24" ht="13.8" x14ac:dyDescent="0.25">
      <c r="A16" s="95" t="s">
        <v>259</v>
      </c>
      <c r="B16" s="95">
        <v>10</v>
      </c>
      <c r="C16" s="95">
        <v>0.5</v>
      </c>
      <c r="D16" s="95">
        <v>250</v>
      </c>
      <c r="E16" s="95">
        <v>250</v>
      </c>
      <c r="F16" s="97">
        <v>3</v>
      </c>
      <c r="G16" s="98">
        <v>0.18</v>
      </c>
      <c r="H16" s="97">
        <v>0.9</v>
      </c>
      <c r="I16" s="99">
        <v>0.45</v>
      </c>
      <c r="J16" s="99">
        <f t="shared" si="2"/>
        <v>0.45</v>
      </c>
      <c r="K16" s="100">
        <v>150</v>
      </c>
      <c r="L16" s="100">
        <v>150</v>
      </c>
      <c r="M16" s="101">
        <v>0.75063999999999997</v>
      </c>
      <c r="N16" s="101">
        <v>0</v>
      </c>
      <c r="O16" s="102">
        <v>300</v>
      </c>
      <c r="P16" s="103">
        <v>300</v>
      </c>
      <c r="Q16" s="104">
        <v>1.5</v>
      </c>
      <c r="R16" s="104">
        <v>2</v>
      </c>
      <c r="S16" s="104" t="s">
        <v>186</v>
      </c>
      <c r="T16" s="95"/>
      <c r="U16" s="95">
        <v>10</v>
      </c>
      <c r="V16" s="105">
        <f t="shared" si="0"/>
        <v>0</v>
      </c>
      <c r="W16" s="95">
        <v>0.45</v>
      </c>
      <c r="X16" s="106">
        <f t="shared" si="1"/>
        <v>0</v>
      </c>
    </row>
    <row r="17" spans="1:24" ht="13.8" x14ac:dyDescent="0.25">
      <c r="A17" s="95" t="s">
        <v>260</v>
      </c>
      <c r="B17" s="95">
        <v>3</v>
      </c>
      <c r="C17" s="95">
        <v>0.5</v>
      </c>
      <c r="D17" s="95">
        <v>250</v>
      </c>
      <c r="E17" s="95">
        <v>250</v>
      </c>
      <c r="F17" s="97">
        <v>3</v>
      </c>
      <c r="G17" s="98">
        <v>0.18</v>
      </c>
      <c r="H17" s="97">
        <v>0.7</v>
      </c>
      <c r="I17" s="99">
        <v>0.15</v>
      </c>
      <c r="J17" s="99">
        <f t="shared" si="2"/>
        <v>0.15</v>
      </c>
      <c r="K17" s="100">
        <v>8760</v>
      </c>
      <c r="L17" s="100">
        <v>8760</v>
      </c>
      <c r="M17" s="109">
        <v>0</v>
      </c>
      <c r="N17" s="101">
        <v>0</v>
      </c>
      <c r="O17" s="102">
        <v>200</v>
      </c>
      <c r="P17" s="103">
        <v>200</v>
      </c>
      <c r="Q17" s="104">
        <v>1</v>
      </c>
      <c r="R17" s="104">
        <v>4</v>
      </c>
      <c r="S17" s="104" t="s">
        <v>176</v>
      </c>
      <c r="T17" s="95" t="s">
        <v>253</v>
      </c>
      <c r="U17" s="95">
        <v>3</v>
      </c>
      <c r="V17" s="105">
        <f t="shared" si="0"/>
        <v>0</v>
      </c>
      <c r="W17" s="95">
        <v>0.15</v>
      </c>
      <c r="X17" s="106">
        <f t="shared" si="1"/>
        <v>0</v>
      </c>
    </row>
    <row r="18" spans="1:24" ht="13.8" x14ac:dyDescent="0.25">
      <c r="A18" s="95" t="s">
        <v>261</v>
      </c>
      <c r="B18" s="95">
        <v>66.666666666666671</v>
      </c>
      <c r="C18" s="95">
        <v>0.5</v>
      </c>
      <c r="D18" s="95">
        <v>255</v>
      </c>
      <c r="E18" s="95">
        <v>875</v>
      </c>
      <c r="F18" s="97">
        <v>0.5</v>
      </c>
      <c r="G18" s="98">
        <v>0.18</v>
      </c>
      <c r="H18" s="97">
        <v>1</v>
      </c>
      <c r="I18" s="99">
        <v>0.15</v>
      </c>
      <c r="J18" s="99">
        <f t="shared" si="2"/>
        <v>0.5</v>
      </c>
      <c r="K18" s="100">
        <v>150</v>
      </c>
      <c r="L18" s="100">
        <v>150</v>
      </c>
      <c r="M18" s="101">
        <v>0</v>
      </c>
      <c r="N18" s="101">
        <v>0</v>
      </c>
      <c r="O18" s="102">
        <v>150</v>
      </c>
      <c r="P18" s="103">
        <v>400</v>
      </c>
      <c r="Q18" s="104">
        <v>1.5</v>
      </c>
      <c r="R18" s="104">
        <v>2</v>
      </c>
      <c r="S18" s="104" t="s">
        <v>181</v>
      </c>
      <c r="T18" s="95"/>
      <c r="U18" s="95">
        <v>67</v>
      </c>
      <c r="V18" s="105">
        <f t="shared" si="0"/>
        <v>-0.3333333333333286</v>
      </c>
      <c r="W18" s="95">
        <v>0.5</v>
      </c>
      <c r="X18" s="106">
        <f t="shared" si="1"/>
        <v>0</v>
      </c>
    </row>
    <row r="19" spans="1:24" ht="13.8" x14ac:dyDescent="0.25">
      <c r="A19" s="95" t="s">
        <v>262</v>
      </c>
      <c r="B19" s="95">
        <v>66.666666666666671</v>
      </c>
      <c r="C19" s="95">
        <v>0.5</v>
      </c>
      <c r="D19" s="95">
        <v>250</v>
      </c>
      <c r="E19" s="95">
        <v>250</v>
      </c>
      <c r="F19" s="97">
        <v>1.5</v>
      </c>
      <c r="G19" s="98">
        <v>0.09</v>
      </c>
      <c r="H19" s="97">
        <v>2</v>
      </c>
      <c r="I19" s="99">
        <v>0.15</v>
      </c>
      <c r="J19" s="99">
        <f t="shared" si="2"/>
        <v>0.5</v>
      </c>
      <c r="K19" s="100">
        <v>150</v>
      </c>
      <c r="L19" s="100">
        <v>150</v>
      </c>
      <c r="M19" s="101">
        <v>0</v>
      </c>
      <c r="N19" s="101">
        <v>0</v>
      </c>
      <c r="O19" s="102">
        <v>150</v>
      </c>
      <c r="P19" s="103">
        <v>500</v>
      </c>
      <c r="Q19" s="104">
        <v>1.5</v>
      </c>
      <c r="R19" s="104">
        <v>2</v>
      </c>
      <c r="S19" s="104" t="s">
        <v>190</v>
      </c>
      <c r="T19" s="95"/>
      <c r="U19" s="95">
        <v>67</v>
      </c>
      <c r="V19" s="105">
        <f t="shared" si="0"/>
        <v>-0.3333333333333286</v>
      </c>
      <c r="W19" s="95">
        <v>0.5</v>
      </c>
      <c r="X19" s="106">
        <f t="shared" si="1"/>
        <v>0</v>
      </c>
    </row>
    <row r="20" spans="1:24" ht="13.8" x14ac:dyDescent="0.25">
      <c r="A20" s="95" t="s">
        <v>263</v>
      </c>
      <c r="B20" s="95">
        <v>10</v>
      </c>
      <c r="C20" s="95">
        <v>0.5</v>
      </c>
      <c r="D20" s="95">
        <v>250</v>
      </c>
      <c r="E20" s="95">
        <v>250</v>
      </c>
      <c r="F20" s="97">
        <v>1.5</v>
      </c>
      <c r="G20" s="98">
        <v>0.18</v>
      </c>
      <c r="H20" s="97">
        <v>1.2</v>
      </c>
      <c r="I20" s="99">
        <v>0.15</v>
      </c>
      <c r="J20" s="99">
        <f t="shared" si="2"/>
        <v>0.15</v>
      </c>
      <c r="K20" s="100">
        <v>150</v>
      </c>
      <c r="L20" s="100">
        <v>150</v>
      </c>
      <c r="M20" s="101">
        <v>0</v>
      </c>
      <c r="N20" s="101">
        <v>0</v>
      </c>
      <c r="O20" s="102">
        <v>100</v>
      </c>
      <c r="P20" s="103">
        <v>300</v>
      </c>
      <c r="Q20" s="104">
        <v>1.5</v>
      </c>
      <c r="R20" s="104">
        <v>2</v>
      </c>
      <c r="S20" s="104" t="s">
        <v>172</v>
      </c>
      <c r="T20" s="95"/>
      <c r="U20" s="95">
        <v>10</v>
      </c>
      <c r="V20" s="105">
        <f t="shared" si="0"/>
        <v>0</v>
      </c>
      <c r="W20" s="95">
        <v>0.15</v>
      </c>
      <c r="X20" s="106">
        <f t="shared" si="1"/>
        <v>0</v>
      </c>
    </row>
    <row r="21" spans="1:24" ht="13.8" x14ac:dyDescent="0.25">
      <c r="A21" s="95" t="s">
        <v>264</v>
      </c>
      <c r="B21" s="95">
        <v>10</v>
      </c>
      <c r="C21" s="95">
        <v>0.5</v>
      </c>
      <c r="D21" s="95">
        <v>275</v>
      </c>
      <c r="E21" s="95">
        <v>475</v>
      </c>
      <c r="F21" s="97">
        <v>1</v>
      </c>
      <c r="G21" s="98">
        <v>0.18</v>
      </c>
      <c r="H21" s="97">
        <v>1</v>
      </c>
      <c r="I21" s="99">
        <v>0.15</v>
      </c>
      <c r="J21" s="99">
        <f t="shared" si="2"/>
        <v>0.15</v>
      </c>
      <c r="K21" s="100">
        <v>150</v>
      </c>
      <c r="L21" s="100">
        <v>150</v>
      </c>
      <c r="M21" s="109">
        <v>0</v>
      </c>
      <c r="N21" s="101">
        <v>0</v>
      </c>
      <c r="O21" s="102">
        <v>300</v>
      </c>
      <c r="P21" s="103">
        <v>1000</v>
      </c>
      <c r="Q21" s="104">
        <v>1.5</v>
      </c>
      <c r="R21" s="104">
        <v>2</v>
      </c>
      <c r="S21" s="104" t="s">
        <v>186</v>
      </c>
      <c r="T21" s="95"/>
      <c r="U21" s="95">
        <v>10</v>
      </c>
      <c r="V21" s="105">
        <f t="shared" si="0"/>
        <v>0</v>
      </c>
      <c r="W21" s="95">
        <v>0.15</v>
      </c>
      <c r="X21" s="106">
        <f t="shared" si="1"/>
        <v>0</v>
      </c>
    </row>
    <row r="22" spans="1:24" ht="13.8" x14ac:dyDescent="0.25">
      <c r="A22" s="95" t="s">
        <v>265</v>
      </c>
      <c r="B22" s="95">
        <v>10</v>
      </c>
      <c r="C22" s="95">
        <v>0.5</v>
      </c>
      <c r="D22" s="95">
        <v>275</v>
      </c>
      <c r="E22" s="95">
        <v>475</v>
      </c>
      <c r="F22" s="97">
        <v>1</v>
      </c>
      <c r="G22" s="98">
        <v>0.18</v>
      </c>
      <c r="H22" s="97">
        <v>0.9</v>
      </c>
      <c r="I22" s="99">
        <v>0.15</v>
      </c>
      <c r="J22" s="99">
        <f t="shared" si="2"/>
        <v>0.15</v>
      </c>
      <c r="K22" s="100">
        <v>150</v>
      </c>
      <c r="L22" s="100">
        <v>150</v>
      </c>
      <c r="M22" s="109">
        <v>0</v>
      </c>
      <c r="N22" s="101">
        <v>0</v>
      </c>
      <c r="O22" s="102">
        <v>300</v>
      </c>
      <c r="P22" s="103">
        <v>1000</v>
      </c>
      <c r="Q22" s="104">
        <v>1.5</v>
      </c>
      <c r="R22" s="104">
        <v>2</v>
      </c>
      <c r="S22" s="104" t="s">
        <v>186</v>
      </c>
      <c r="T22" s="95"/>
      <c r="U22" s="95">
        <v>10</v>
      </c>
      <c r="V22" s="105">
        <f t="shared" si="0"/>
        <v>0</v>
      </c>
      <c r="W22" s="95">
        <v>0.15</v>
      </c>
      <c r="X22" s="106">
        <f t="shared" si="1"/>
        <v>0</v>
      </c>
    </row>
    <row r="23" spans="1:24" ht="13.8" x14ac:dyDescent="0.25">
      <c r="A23" s="95" t="s">
        <v>266</v>
      </c>
      <c r="B23" s="95">
        <v>10</v>
      </c>
      <c r="C23" s="95">
        <v>0.5</v>
      </c>
      <c r="D23" s="95">
        <v>250</v>
      </c>
      <c r="E23" s="95">
        <v>200</v>
      </c>
      <c r="F23" s="97">
        <v>1</v>
      </c>
      <c r="G23" s="98">
        <v>0.18</v>
      </c>
      <c r="H23" s="97">
        <v>1.2</v>
      </c>
      <c r="I23" s="99">
        <v>0.15</v>
      </c>
      <c r="J23" s="99">
        <f t="shared" si="2"/>
        <v>0.15</v>
      </c>
      <c r="K23" s="100">
        <v>150</v>
      </c>
      <c r="L23" s="100">
        <v>150</v>
      </c>
      <c r="M23" s="109">
        <v>0</v>
      </c>
      <c r="N23" s="101">
        <v>0</v>
      </c>
      <c r="O23" s="102">
        <v>1000</v>
      </c>
      <c r="P23" s="103">
        <v>3000</v>
      </c>
      <c r="Q23" s="104">
        <v>1.5</v>
      </c>
      <c r="R23" s="104">
        <v>2</v>
      </c>
      <c r="S23" s="104" t="s">
        <v>186</v>
      </c>
      <c r="T23" s="95"/>
      <c r="U23" s="95">
        <v>10</v>
      </c>
      <c r="V23" s="105">
        <f t="shared" si="0"/>
        <v>0</v>
      </c>
      <c r="W23" s="95">
        <v>0.15</v>
      </c>
      <c r="X23" s="106">
        <f t="shared" si="1"/>
        <v>0</v>
      </c>
    </row>
    <row r="24" spans="1:24" ht="13.8" x14ac:dyDescent="0.25">
      <c r="A24" s="95" t="s">
        <v>267</v>
      </c>
      <c r="B24" s="95">
        <v>33.333333333333336</v>
      </c>
      <c r="C24" s="95">
        <v>0.5</v>
      </c>
      <c r="D24" s="95">
        <v>250</v>
      </c>
      <c r="E24" s="95">
        <v>200</v>
      </c>
      <c r="F24" s="97">
        <v>1</v>
      </c>
      <c r="G24" s="98">
        <v>0.18</v>
      </c>
      <c r="H24" s="97">
        <v>1.2</v>
      </c>
      <c r="I24" s="99">
        <v>0.15</v>
      </c>
      <c r="J24" s="99">
        <f t="shared" si="2"/>
        <v>0.25</v>
      </c>
      <c r="K24" s="100">
        <v>150</v>
      </c>
      <c r="L24" s="100">
        <v>150</v>
      </c>
      <c r="M24" s="101">
        <v>1.1941999999999999</v>
      </c>
      <c r="N24" s="101">
        <v>2.6</v>
      </c>
      <c r="O24" s="102">
        <v>500</v>
      </c>
      <c r="P24" s="103">
        <v>500</v>
      </c>
      <c r="Q24" s="104">
        <v>1.5</v>
      </c>
      <c r="R24" s="104">
        <v>2</v>
      </c>
      <c r="S24" s="104" t="s">
        <v>181</v>
      </c>
      <c r="T24" s="95"/>
      <c r="U24" s="95">
        <v>33</v>
      </c>
      <c r="V24" s="105">
        <f t="shared" si="0"/>
        <v>0.3333333333333357</v>
      </c>
      <c r="W24" s="95">
        <v>0.25</v>
      </c>
      <c r="X24" s="106">
        <f t="shared" si="1"/>
        <v>0</v>
      </c>
    </row>
    <row r="25" spans="1:24" ht="13.8" x14ac:dyDescent="0.25">
      <c r="A25" s="95" t="s">
        <v>152</v>
      </c>
      <c r="B25" s="95">
        <v>5</v>
      </c>
      <c r="C25" s="95">
        <v>0.5</v>
      </c>
      <c r="D25" s="95">
        <v>245</v>
      </c>
      <c r="E25" s="95">
        <v>155</v>
      </c>
      <c r="F25" s="97">
        <v>0.5</v>
      </c>
      <c r="G25" s="110" t="s">
        <v>268</v>
      </c>
      <c r="H25" s="97">
        <v>0.5</v>
      </c>
      <c r="I25" s="99">
        <v>0.15</v>
      </c>
      <c r="J25" s="99">
        <f t="shared" si="2"/>
        <v>0.15</v>
      </c>
      <c r="K25" s="100">
        <v>150</v>
      </c>
      <c r="L25" s="100">
        <v>150</v>
      </c>
      <c r="M25" s="101">
        <v>0.68240000000000001</v>
      </c>
      <c r="N25" s="101">
        <v>0</v>
      </c>
      <c r="O25" s="102">
        <v>20</v>
      </c>
      <c r="P25" s="103">
        <v>200</v>
      </c>
      <c r="Q25" s="104">
        <v>1.5</v>
      </c>
      <c r="R25" s="104">
        <v>2</v>
      </c>
      <c r="S25" s="104" t="s">
        <v>183</v>
      </c>
      <c r="T25" s="95"/>
      <c r="U25" s="95">
        <v>5</v>
      </c>
      <c r="V25" s="105">
        <f t="shared" si="0"/>
        <v>0</v>
      </c>
      <c r="W25" s="95">
        <v>0.15</v>
      </c>
      <c r="X25" s="106">
        <f t="shared" si="1"/>
        <v>0</v>
      </c>
    </row>
    <row r="26" spans="1:24" ht="13.8" x14ac:dyDescent="0.25">
      <c r="A26" s="95" t="s">
        <v>269</v>
      </c>
      <c r="B26" s="95">
        <v>142.85714285714286</v>
      </c>
      <c r="C26" s="95">
        <v>0.5</v>
      </c>
      <c r="D26" s="95">
        <v>250</v>
      </c>
      <c r="E26" s="95">
        <v>200</v>
      </c>
      <c r="F26" s="97">
        <v>0.5</v>
      </c>
      <c r="G26" s="98">
        <v>9.6000000000000002E-2</v>
      </c>
      <c r="H26" s="97">
        <v>1.5</v>
      </c>
      <c r="I26" s="99">
        <v>0.15</v>
      </c>
      <c r="J26" s="99">
        <f t="shared" si="2"/>
        <v>1.0714285714285714</v>
      </c>
      <c r="K26" s="100">
        <v>150</v>
      </c>
      <c r="L26" s="100">
        <v>150</v>
      </c>
      <c r="M26" s="101">
        <v>0</v>
      </c>
      <c r="N26" s="101">
        <v>0</v>
      </c>
      <c r="O26" s="102">
        <v>50</v>
      </c>
      <c r="P26" s="103">
        <v>300</v>
      </c>
      <c r="Q26" s="104">
        <v>1.5</v>
      </c>
      <c r="R26" s="104">
        <v>2</v>
      </c>
      <c r="S26" s="104" t="s">
        <v>190</v>
      </c>
      <c r="T26" s="95" t="s">
        <v>270</v>
      </c>
      <c r="U26" s="95">
        <v>67</v>
      </c>
      <c r="V26" s="105">
        <f t="shared" si="0"/>
        <v>75.857142857142861</v>
      </c>
      <c r="W26" s="95">
        <v>0.5</v>
      </c>
      <c r="X26" s="106">
        <f t="shared" si="1"/>
        <v>0.5714285714285714</v>
      </c>
    </row>
    <row r="27" spans="1:24" ht="13.8" x14ac:dyDescent="0.25">
      <c r="A27" s="95" t="s">
        <v>271</v>
      </c>
      <c r="B27" s="95">
        <v>5</v>
      </c>
      <c r="C27" s="95">
        <v>0.5</v>
      </c>
      <c r="D27" s="95">
        <v>245</v>
      </c>
      <c r="E27" s="95">
        <v>155</v>
      </c>
      <c r="F27" s="97">
        <v>0.5</v>
      </c>
      <c r="G27" s="98">
        <v>4.4800000000000004</v>
      </c>
      <c r="H27" s="97">
        <v>0.5</v>
      </c>
      <c r="I27" s="99">
        <v>0.15</v>
      </c>
      <c r="J27" s="99">
        <f t="shared" si="2"/>
        <v>0.15</v>
      </c>
      <c r="K27" s="100">
        <v>150</v>
      </c>
      <c r="L27" s="100">
        <v>150</v>
      </c>
      <c r="M27" s="101">
        <v>0</v>
      </c>
      <c r="N27" s="101">
        <v>0</v>
      </c>
      <c r="O27" s="102">
        <v>20</v>
      </c>
      <c r="P27" s="103">
        <v>200</v>
      </c>
      <c r="Q27" s="104">
        <v>1.5</v>
      </c>
      <c r="R27" s="104">
        <v>2</v>
      </c>
      <c r="S27" s="104" t="s">
        <v>183</v>
      </c>
      <c r="T27" s="95"/>
      <c r="U27" s="95">
        <v>5</v>
      </c>
      <c r="V27" s="105">
        <f t="shared" si="0"/>
        <v>0</v>
      </c>
      <c r="W27" s="95">
        <v>0.15</v>
      </c>
      <c r="X27" s="106">
        <f t="shared" si="1"/>
        <v>0</v>
      </c>
    </row>
    <row r="28" spans="1:24" ht="13.8" x14ac:dyDescent="0.25">
      <c r="A28" s="95" t="s">
        <v>272</v>
      </c>
      <c r="B28" s="95">
        <v>20</v>
      </c>
      <c r="C28" s="95">
        <v>0.5</v>
      </c>
      <c r="D28" s="95">
        <v>250</v>
      </c>
      <c r="E28" s="95">
        <v>250</v>
      </c>
      <c r="F28" s="97">
        <v>0.5</v>
      </c>
      <c r="G28" s="98">
        <v>0.192</v>
      </c>
      <c r="H28" s="97">
        <v>1</v>
      </c>
      <c r="I28" s="99">
        <v>0.15</v>
      </c>
      <c r="J28" s="99">
        <f t="shared" si="2"/>
        <v>0.15</v>
      </c>
      <c r="K28" s="100">
        <v>150</v>
      </c>
      <c r="L28" s="100">
        <v>150</v>
      </c>
      <c r="M28" s="101">
        <v>0</v>
      </c>
      <c r="N28" s="101">
        <v>0</v>
      </c>
      <c r="O28" s="102">
        <v>200</v>
      </c>
      <c r="P28" s="103">
        <v>500</v>
      </c>
      <c r="Q28" s="104">
        <v>1.5</v>
      </c>
      <c r="R28" s="104">
        <v>2</v>
      </c>
      <c r="S28" s="104" t="s">
        <v>184</v>
      </c>
      <c r="T28" s="95" t="s">
        <v>273</v>
      </c>
      <c r="U28" s="95">
        <v>10</v>
      </c>
      <c r="V28" s="105">
        <f t="shared" si="0"/>
        <v>10</v>
      </c>
      <c r="W28" s="95">
        <v>0.15</v>
      </c>
      <c r="X28" s="106">
        <f t="shared" si="1"/>
        <v>0</v>
      </c>
    </row>
    <row r="29" spans="1:24" ht="13.8" x14ac:dyDescent="0.25">
      <c r="A29" s="95" t="s">
        <v>274</v>
      </c>
      <c r="B29" s="95">
        <v>10</v>
      </c>
      <c r="C29" s="95">
        <v>0.5</v>
      </c>
      <c r="D29" s="95">
        <v>250</v>
      </c>
      <c r="E29" s="95">
        <v>250</v>
      </c>
      <c r="F29" s="97">
        <v>0.5</v>
      </c>
      <c r="G29" s="98">
        <v>0.192</v>
      </c>
      <c r="H29" s="97">
        <v>1.5</v>
      </c>
      <c r="I29" s="99">
        <v>0.15</v>
      </c>
      <c r="J29" s="99">
        <f t="shared" si="2"/>
        <v>0.15</v>
      </c>
      <c r="K29" s="100">
        <v>150</v>
      </c>
      <c r="L29" s="100">
        <v>150</v>
      </c>
      <c r="M29" s="101">
        <v>0</v>
      </c>
      <c r="N29" s="101">
        <v>0</v>
      </c>
      <c r="O29" s="102">
        <v>400</v>
      </c>
      <c r="P29" s="103">
        <v>1000</v>
      </c>
      <c r="Q29" s="104">
        <v>1.5</v>
      </c>
      <c r="R29" s="104">
        <v>2</v>
      </c>
      <c r="S29" s="104" t="s">
        <v>184</v>
      </c>
      <c r="T29" s="95"/>
      <c r="U29" s="95">
        <v>10</v>
      </c>
      <c r="V29" s="105">
        <f t="shared" si="0"/>
        <v>0</v>
      </c>
      <c r="W29" s="95">
        <v>0.15</v>
      </c>
      <c r="X29" s="106">
        <f t="shared" si="1"/>
        <v>0</v>
      </c>
    </row>
    <row r="30" spans="1:24" ht="13.8" x14ac:dyDescent="0.25">
      <c r="A30" s="95" t="s">
        <v>275</v>
      </c>
      <c r="B30" s="95">
        <v>5</v>
      </c>
      <c r="C30" s="95">
        <v>0.5</v>
      </c>
      <c r="D30" s="95">
        <v>275</v>
      </c>
      <c r="E30" s="95">
        <v>475</v>
      </c>
      <c r="F30" s="97">
        <v>1.5</v>
      </c>
      <c r="G30" s="98">
        <v>0.57799999999999996</v>
      </c>
      <c r="H30" s="97">
        <v>1.6</v>
      </c>
      <c r="I30" s="99">
        <v>0.15</v>
      </c>
      <c r="J30" s="99">
        <f t="shared" si="2"/>
        <v>0.15</v>
      </c>
      <c r="K30" s="100">
        <v>150</v>
      </c>
      <c r="L30" s="100">
        <v>150</v>
      </c>
      <c r="M30" s="101">
        <v>17.537679999999998</v>
      </c>
      <c r="N30" s="101">
        <v>1.1200000000000001</v>
      </c>
      <c r="O30" s="102">
        <v>100</v>
      </c>
      <c r="P30" s="103">
        <v>500</v>
      </c>
      <c r="Q30" s="104">
        <v>1.5</v>
      </c>
      <c r="R30" s="104">
        <v>2</v>
      </c>
      <c r="S30" s="104" t="s">
        <v>182</v>
      </c>
      <c r="T30" s="95" t="s">
        <v>276</v>
      </c>
      <c r="U30" s="95">
        <v>5</v>
      </c>
      <c r="V30" s="105">
        <f t="shared" si="0"/>
        <v>0</v>
      </c>
      <c r="W30" s="95">
        <v>0.15</v>
      </c>
      <c r="X30" s="106">
        <f t="shared" si="1"/>
        <v>0</v>
      </c>
    </row>
    <row r="31" spans="1:24" ht="13.8" x14ac:dyDescent="0.25">
      <c r="A31" s="95" t="s">
        <v>277</v>
      </c>
      <c r="B31" s="95">
        <v>5</v>
      </c>
      <c r="C31" s="95">
        <v>0.5</v>
      </c>
      <c r="D31" s="95">
        <v>275</v>
      </c>
      <c r="E31" s="95">
        <v>475</v>
      </c>
      <c r="F31" s="97">
        <v>1</v>
      </c>
      <c r="G31" s="98">
        <v>0.36</v>
      </c>
      <c r="H31" s="97">
        <v>1.6</v>
      </c>
      <c r="I31" s="99">
        <v>0.15</v>
      </c>
      <c r="J31" s="99">
        <f t="shared" si="2"/>
        <v>0.15</v>
      </c>
      <c r="K31" s="100">
        <v>150</v>
      </c>
      <c r="L31" s="100">
        <v>150</v>
      </c>
      <c r="M31" s="101">
        <v>3</v>
      </c>
      <c r="N31" s="101">
        <v>0.5</v>
      </c>
      <c r="O31" s="102">
        <v>100</v>
      </c>
      <c r="P31" s="103">
        <v>500</v>
      </c>
      <c r="Q31" s="104">
        <v>1.5</v>
      </c>
      <c r="R31" s="104">
        <v>2</v>
      </c>
      <c r="S31" s="104" t="s">
        <v>172</v>
      </c>
      <c r="T31" s="95"/>
      <c r="U31" s="95">
        <v>5</v>
      </c>
      <c r="V31" s="105">
        <f t="shared" si="0"/>
        <v>0</v>
      </c>
      <c r="W31" s="95">
        <v>0.15</v>
      </c>
      <c r="X31" s="106">
        <f t="shared" si="1"/>
        <v>0</v>
      </c>
    </row>
    <row r="32" spans="1:24" ht="13.8" x14ac:dyDescent="0.25">
      <c r="A32" s="95" t="s">
        <v>278</v>
      </c>
      <c r="B32" s="95">
        <v>10</v>
      </c>
      <c r="C32" s="95">
        <v>0.5</v>
      </c>
      <c r="D32" s="95">
        <v>250</v>
      </c>
      <c r="E32" s="95">
        <v>200</v>
      </c>
      <c r="F32" s="97">
        <v>2</v>
      </c>
      <c r="G32" s="98">
        <v>0.18</v>
      </c>
      <c r="H32" s="97">
        <v>1.4</v>
      </c>
      <c r="I32" s="99">
        <v>0.15</v>
      </c>
      <c r="J32" s="111" t="s">
        <v>279</v>
      </c>
      <c r="K32" s="100">
        <v>150</v>
      </c>
      <c r="L32" s="100">
        <v>150</v>
      </c>
      <c r="M32" s="101">
        <v>12.692640000000001</v>
      </c>
      <c r="N32" s="101">
        <v>0.28000000000000003</v>
      </c>
      <c r="O32" s="102">
        <v>500</v>
      </c>
      <c r="P32" s="103">
        <v>1000</v>
      </c>
      <c r="Q32" s="104">
        <v>1.5</v>
      </c>
      <c r="R32" s="104">
        <v>2</v>
      </c>
      <c r="S32" s="104" t="s">
        <v>280</v>
      </c>
      <c r="T32" s="95"/>
      <c r="U32" s="95">
        <v>10</v>
      </c>
      <c r="V32" s="105">
        <f t="shared" si="0"/>
        <v>0</v>
      </c>
      <c r="X32" s="106"/>
    </row>
    <row r="33" spans="1:24" ht="13.8" x14ac:dyDescent="0.25">
      <c r="A33" s="95" t="s">
        <v>281</v>
      </c>
      <c r="B33" s="95">
        <v>5</v>
      </c>
      <c r="C33" s="95">
        <v>0.5</v>
      </c>
      <c r="D33" s="95">
        <v>250</v>
      </c>
      <c r="E33" s="95">
        <v>200</v>
      </c>
      <c r="F33" s="97">
        <v>10</v>
      </c>
      <c r="G33" s="98">
        <v>0.18</v>
      </c>
      <c r="H33" s="97">
        <v>1.4</v>
      </c>
      <c r="I33" s="99">
        <v>0.15</v>
      </c>
      <c r="J33" s="111" t="s">
        <v>279</v>
      </c>
      <c r="K33" s="100">
        <v>150</v>
      </c>
      <c r="L33" s="100">
        <v>150</v>
      </c>
      <c r="M33" s="101">
        <v>12.692640000000001</v>
      </c>
      <c r="N33" s="101">
        <v>0</v>
      </c>
      <c r="O33" s="102">
        <v>500</v>
      </c>
      <c r="P33" s="103">
        <v>1000</v>
      </c>
      <c r="Q33" s="104">
        <v>1.5</v>
      </c>
      <c r="R33" s="104">
        <v>2</v>
      </c>
      <c r="S33" s="104" t="s">
        <v>280</v>
      </c>
      <c r="T33" s="95"/>
      <c r="U33" s="95">
        <v>5</v>
      </c>
      <c r="V33" s="105">
        <f t="shared" si="0"/>
        <v>0</v>
      </c>
      <c r="X33" s="106"/>
    </row>
    <row r="34" spans="1:24" ht="13.8" x14ac:dyDescent="0.25">
      <c r="A34" s="95" t="s">
        <v>282</v>
      </c>
      <c r="B34" s="95">
        <v>10</v>
      </c>
      <c r="C34" s="95">
        <v>0.5</v>
      </c>
      <c r="D34" s="95">
        <v>250</v>
      </c>
      <c r="E34" s="95">
        <v>250</v>
      </c>
      <c r="F34" s="97">
        <v>3</v>
      </c>
      <c r="G34" s="98">
        <v>0.57799999999999996</v>
      </c>
      <c r="H34" s="97">
        <v>0.9</v>
      </c>
      <c r="I34" s="99">
        <v>0.15</v>
      </c>
      <c r="J34" s="99">
        <f t="shared" ref="J34:J59" si="3">MAX(I34, ((B34/1000)*15*C34),0.15)</f>
        <v>0.15</v>
      </c>
      <c r="K34" s="100">
        <v>8760</v>
      </c>
      <c r="L34" s="100">
        <v>8760</v>
      </c>
      <c r="M34" s="101">
        <v>0.75063999999999997</v>
      </c>
      <c r="N34" s="101">
        <v>0</v>
      </c>
      <c r="O34" s="102">
        <v>100</v>
      </c>
      <c r="P34" s="103">
        <v>300</v>
      </c>
      <c r="Q34" s="104">
        <v>1.5</v>
      </c>
      <c r="R34" s="104">
        <v>2</v>
      </c>
      <c r="S34" s="104" t="s">
        <v>186</v>
      </c>
      <c r="T34" s="95"/>
      <c r="U34" s="95">
        <v>10</v>
      </c>
      <c r="V34" s="105">
        <f t="shared" si="0"/>
        <v>0</v>
      </c>
      <c r="W34" s="95">
        <v>0.15</v>
      </c>
      <c r="X34" s="106">
        <f t="shared" si="1"/>
        <v>0</v>
      </c>
    </row>
    <row r="35" spans="1:24" ht="13.8" x14ac:dyDescent="0.25">
      <c r="A35" s="95" t="s">
        <v>283</v>
      </c>
      <c r="B35" s="95">
        <v>20</v>
      </c>
      <c r="C35" s="95">
        <v>0.5</v>
      </c>
      <c r="D35" s="95">
        <v>250</v>
      </c>
      <c r="E35" s="95">
        <v>200</v>
      </c>
      <c r="F35" s="97">
        <v>1.5</v>
      </c>
      <c r="G35" s="98">
        <v>0.18</v>
      </c>
      <c r="H35" s="97">
        <v>1.2</v>
      </c>
      <c r="I35" s="99">
        <v>0.15</v>
      </c>
      <c r="J35" s="99">
        <f t="shared" si="3"/>
        <v>0.15</v>
      </c>
      <c r="K35" s="100">
        <v>150</v>
      </c>
      <c r="L35" s="100">
        <v>150</v>
      </c>
      <c r="M35" s="101">
        <v>0</v>
      </c>
      <c r="N35" s="101">
        <v>0</v>
      </c>
      <c r="O35" s="102">
        <v>150</v>
      </c>
      <c r="P35" s="103">
        <v>500</v>
      </c>
      <c r="Q35" s="104">
        <v>1.5</v>
      </c>
      <c r="R35" s="104">
        <v>2</v>
      </c>
      <c r="S35" s="104" t="s">
        <v>172</v>
      </c>
      <c r="T35" s="95"/>
      <c r="U35" s="95">
        <v>20</v>
      </c>
      <c r="V35" s="105">
        <f t="shared" si="0"/>
        <v>0</v>
      </c>
      <c r="W35" s="95">
        <v>0.15</v>
      </c>
      <c r="X35" s="106">
        <f t="shared" si="1"/>
        <v>0</v>
      </c>
    </row>
    <row r="36" spans="1:24" ht="13.8" x14ac:dyDescent="0.25">
      <c r="A36" s="95" t="s">
        <v>284</v>
      </c>
      <c r="B36" s="95">
        <v>10</v>
      </c>
      <c r="C36" s="95">
        <v>0.5</v>
      </c>
      <c r="D36" s="95">
        <v>250</v>
      </c>
      <c r="E36" s="95">
        <v>200</v>
      </c>
      <c r="F36" s="97">
        <v>1.5</v>
      </c>
      <c r="G36" s="98">
        <v>0.18</v>
      </c>
      <c r="H36" s="97">
        <v>1.5</v>
      </c>
      <c r="I36" s="99">
        <v>0.15</v>
      </c>
      <c r="J36" s="99">
        <f t="shared" si="3"/>
        <v>0.15</v>
      </c>
      <c r="K36" s="100">
        <v>150</v>
      </c>
      <c r="L36" s="100">
        <v>150</v>
      </c>
      <c r="M36" s="101">
        <v>0</v>
      </c>
      <c r="N36" s="101">
        <v>0</v>
      </c>
      <c r="O36" s="102">
        <v>200</v>
      </c>
      <c r="P36" s="103">
        <v>300</v>
      </c>
      <c r="Q36" s="104">
        <v>1</v>
      </c>
      <c r="R36" s="104">
        <v>4</v>
      </c>
      <c r="S36" s="104" t="s">
        <v>172</v>
      </c>
      <c r="T36" s="95"/>
      <c r="U36" s="95">
        <v>10</v>
      </c>
      <c r="V36" s="105">
        <f t="shared" si="0"/>
        <v>0</v>
      </c>
      <c r="W36" s="95">
        <v>0.15</v>
      </c>
      <c r="X36" s="106">
        <f t="shared" si="1"/>
        <v>0</v>
      </c>
    </row>
    <row r="37" spans="1:24" ht="13.8" x14ac:dyDescent="0.25">
      <c r="A37" s="95" t="s">
        <v>285</v>
      </c>
      <c r="B37" s="95">
        <v>10</v>
      </c>
      <c r="C37" s="95">
        <v>0.5</v>
      </c>
      <c r="D37" s="95">
        <v>250</v>
      </c>
      <c r="E37" s="95">
        <v>250</v>
      </c>
      <c r="F37" s="97">
        <v>0.5</v>
      </c>
      <c r="G37" s="98">
        <v>0.18</v>
      </c>
      <c r="H37" s="97">
        <v>1.1000000000000001</v>
      </c>
      <c r="I37" s="99">
        <v>0.15</v>
      </c>
      <c r="J37" s="99">
        <f t="shared" si="3"/>
        <v>0.15</v>
      </c>
      <c r="K37" s="100">
        <v>150</v>
      </c>
      <c r="L37" s="100">
        <v>150</v>
      </c>
      <c r="M37" s="101">
        <v>0</v>
      </c>
      <c r="N37" s="101">
        <v>0</v>
      </c>
      <c r="O37" s="102">
        <v>50</v>
      </c>
      <c r="P37" s="103">
        <v>200</v>
      </c>
      <c r="Q37" s="104">
        <v>1.5</v>
      </c>
      <c r="R37" s="104">
        <v>2</v>
      </c>
      <c r="S37" s="104" t="s">
        <v>190</v>
      </c>
      <c r="T37" s="95" t="s">
        <v>286</v>
      </c>
      <c r="U37" s="95">
        <v>10</v>
      </c>
      <c r="V37" s="105">
        <f t="shared" si="0"/>
        <v>0</v>
      </c>
      <c r="W37" s="95">
        <v>0.15</v>
      </c>
      <c r="X37" s="106">
        <f t="shared" si="1"/>
        <v>0</v>
      </c>
    </row>
    <row r="38" spans="1:24" ht="13.8" x14ac:dyDescent="0.25">
      <c r="A38" s="95" t="s">
        <v>163</v>
      </c>
      <c r="B38" s="95">
        <v>66.666666666666671</v>
      </c>
      <c r="C38" s="95">
        <v>0.5</v>
      </c>
      <c r="D38" s="95">
        <v>250</v>
      </c>
      <c r="E38" s="95">
        <v>250</v>
      </c>
      <c r="F38" s="97">
        <v>0.5</v>
      </c>
      <c r="G38" s="98">
        <v>0.09</v>
      </c>
      <c r="H38" s="97">
        <v>1.5</v>
      </c>
      <c r="I38" s="99">
        <v>0.15</v>
      </c>
      <c r="J38" s="99">
        <f t="shared" si="3"/>
        <v>0.5</v>
      </c>
      <c r="K38" s="100">
        <v>150</v>
      </c>
      <c r="L38" s="100">
        <v>150</v>
      </c>
      <c r="M38" s="109">
        <v>0</v>
      </c>
      <c r="N38" s="101">
        <v>0</v>
      </c>
      <c r="O38" s="102">
        <v>50</v>
      </c>
      <c r="P38" s="103">
        <v>200</v>
      </c>
      <c r="Q38" s="104">
        <v>1.5</v>
      </c>
      <c r="R38" s="104">
        <v>2</v>
      </c>
      <c r="S38" s="104" t="s">
        <v>190</v>
      </c>
      <c r="T38" s="95" t="s">
        <v>287</v>
      </c>
      <c r="U38" s="95">
        <v>10</v>
      </c>
      <c r="V38" s="105">
        <f t="shared" si="0"/>
        <v>56.666666666666671</v>
      </c>
      <c r="W38" s="95">
        <v>0.15</v>
      </c>
      <c r="X38" s="106">
        <f t="shared" si="1"/>
        <v>0.35</v>
      </c>
    </row>
    <row r="39" spans="1:24" ht="13.8" x14ac:dyDescent="0.25">
      <c r="A39" s="95" t="s">
        <v>288</v>
      </c>
      <c r="B39" s="95">
        <v>20</v>
      </c>
      <c r="C39" s="95">
        <v>0.5</v>
      </c>
      <c r="D39" s="95">
        <v>255</v>
      </c>
      <c r="E39" s="95">
        <v>475</v>
      </c>
      <c r="F39" s="97">
        <v>0.5</v>
      </c>
      <c r="G39" s="98">
        <v>0.57799999999999996</v>
      </c>
      <c r="H39" s="97">
        <v>0.8</v>
      </c>
      <c r="I39" s="99">
        <v>0.15</v>
      </c>
      <c r="J39" s="99">
        <f t="shared" si="3"/>
        <v>0.15</v>
      </c>
      <c r="K39" s="100">
        <v>8760</v>
      </c>
      <c r="L39" s="100">
        <v>8760</v>
      </c>
      <c r="M39" s="109">
        <v>0</v>
      </c>
      <c r="N39" s="101">
        <v>0</v>
      </c>
      <c r="O39" s="102">
        <v>20</v>
      </c>
      <c r="P39" s="103">
        <v>200</v>
      </c>
      <c r="Q39" s="104">
        <v>1</v>
      </c>
      <c r="R39" s="104">
        <v>4</v>
      </c>
      <c r="S39" s="104" t="s">
        <v>190</v>
      </c>
      <c r="T39" s="95"/>
      <c r="U39" s="95">
        <v>20</v>
      </c>
      <c r="V39" s="105">
        <f t="shared" si="0"/>
        <v>0</v>
      </c>
      <c r="W39" s="95">
        <v>0.15</v>
      </c>
      <c r="X39" s="106">
        <f t="shared" si="1"/>
        <v>0</v>
      </c>
    </row>
    <row r="40" spans="1:24" ht="13.8" x14ac:dyDescent="0.25">
      <c r="A40" s="95" t="s">
        <v>289</v>
      </c>
      <c r="B40" s="95">
        <v>66.666666666666671</v>
      </c>
      <c r="C40" s="95">
        <v>0.5</v>
      </c>
      <c r="D40" s="95">
        <v>275</v>
      </c>
      <c r="E40" s="95">
        <v>275</v>
      </c>
      <c r="F40" s="97">
        <v>1</v>
      </c>
      <c r="G40" s="98">
        <v>0.09</v>
      </c>
      <c r="H40" s="97">
        <v>1.1000000000000001</v>
      </c>
      <c r="I40" s="99">
        <v>0.15</v>
      </c>
      <c r="J40" s="99">
        <f t="shared" si="3"/>
        <v>0.5</v>
      </c>
      <c r="K40" s="100">
        <v>150</v>
      </c>
      <c r="L40" s="100">
        <v>150</v>
      </c>
      <c r="M40" s="101">
        <v>0</v>
      </c>
      <c r="N40" s="101">
        <v>0</v>
      </c>
      <c r="O40" s="102">
        <v>40</v>
      </c>
      <c r="P40" s="103">
        <v>300</v>
      </c>
      <c r="Q40" s="104">
        <v>1.5</v>
      </c>
      <c r="R40" s="104">
        <v>2</v>
      </c>
      <c r="S40" s="104" t="s">
        <v>190</v>
      </c>
      <c r="T40" s="95"/>
      <c r="U40" s="95">
        <v>67</v>
      </c>
      <c r="V40" s="105">
        <f t="shared" si="0"/>
        <v>-0.3333333333333286</v>
      </c>
      <c r="W40" s="95">
        <v>0.5</v>
      </c>
      <c r="X40" s="106">
        <f t="shared" si="1"/>
        <v>0</v>
      </c>
    </row>
    <row r="41" spans="1:24" ht="13.8" x14ac:dyDescent="0.25">
      <c r="A41" s="95" t="s">
        <v>290</v>
      </c>
      <c r="B41" s="100">
        <v>33.333333333333336</v>
      </c>
      <c r="C41" s="95">
        <v>0.5</v>
      </c>
      <c r="D41" s="95">
        <v>250</v>
      </c>
      <c r="E41" s="95">
        <v>250</v>
      </c>
      <c r="F41" s="97">
        <v>0.5</v>
      </c>
      <c r="G41" s="98">
        <v>0.18</v>
      </c>
      <c r="H41" s="97">
        <v>1.2</v>
      </c>
      <c r="I41" s="99">
        <v>0.15</v>
      </c>
      <c r="J41" s="99">
        <f t="shared" si="3"/>
        <v>0.25</v>
      </c>
      <c r="K41" s="100">
        <v>150</v>
      </c>
      <c r="L41" s="100">
        <v>150</v>
      </c>
      <c r="M41" s="101">
        <v>0</v>
      </c>
      <c r="N41" s="101">
        <v>0</v>
      </c>
      <c r="O41" s="102">
        <v>100</v>
      </c>
      <c r="P41" s="103">
        <v>300</v>
      </c>
      <c r="Q41" s="104">
        <v>1.5</v>
      </c>
      <c r="R41" s="104">
        <v>2</v>
      </c>
      <c r="S41" s="104" t="s">
        <v>181</v>
      </c>
      <c r="T41" s="95" t="s">
        <v>291</v>
      </c>
      <c r="U41" s="95">
        <v>33</v>
      </c>
      <c r="V41" s="105">
        <f t="shared" si="0"/>
        <v>0.3333333333333357</v>
      </c>
      <c r="W41" s="95">
        <v>0.25</v>
      </c>
      <c r="X41" s="106">
        <f t="shared" si="1"/>
        <v>0</v>
      </c>
    </row>
    <row r="42" spans="1:24" ht="13.8" x14ac:dyDescent="0.25">
      <c r="A42" s="95" t="s">
        <v>292</v>
      </c>
      <c r="B42" s="95">
        <v>10</v>
      </c>
      <c r="C42" s="95">
        <v>0.5</v>
      </c>
      <c r="D42" s="95">
        <v>250</v>
      </c>
      <c r="E42" s="95">
        <v>200</v>
      </c>
      <c r="F42" s="97">
        <v>1.5</v>
      </c>
      <c r="G42" s="98">
        <v>0.24</v>
      </c>
      <c r="H42" s="97">
        <v>1.2</v>
      </c>
      <c r="I42" s="99">
        <v>0.15</v>
      </c>
      <c r="J42" s="99">
        <f t="shared" si="3"/>
        <v>0.15</v>
      </c>
      <c r="K42" s="100">
        <v>150</v>
      </c>
      <c r="L42" s="100">
        <v>150</v>
      </c>
      <c r="M42" s="101">
        <v>1.1259600000000001</v>
      </c>
      <c r="N42" s="101">
        <v>0</v>
      </c>
      <c r="O42" s="102">
        <v>300</v>
      </c>
      <c r="P42" s="103">
        <v>3000</v>
      </c>
      <c r="Q42" s="104">
        <v>1.5</v>
      </c>
      <c r="R42" s="104">
        <v>2</v>
      </c>
      <c r="S42" s="104" t="s">
        <v>188</v>
      </c>
      <c r="T42" s="95"/>
      <c r="U42" s="95">
        <v>10</v>
      </c>
      <c r="V42" s="105">
        <f t="shared" si="0"/>
        <v>0</v>
      </c>
      <c r="W42" s="95">
        <v>0.15</v>
      </c>
      <c r="X42" s="106">
        <f t="shared" si="1"/>
        <v>0</v>
      </c>
    </row>
    <row r="43" spans="1:24" ht="13.8" x14ac:dyDescent="0.25">
      <c r="A43" s="95" t="s">
        <v>166</v>
      </c>
      <c r="B43" s="95">
        <v>10</v>
      </c>
      <c r="C43" s="95">
        <v>0.5</v>
      </c>
      <c r="D43" s="95">
        <v>250</v>
      </c>
      <c r="E43" s="95">
        <v>200</v>
      </c>
      <c r="F43" s="97">
        <v>1.5</v>
      </c>
      <c r="G43" s="98">
        <v>0.18</v>
      </c>
      <c r="H43" s="99">
        <v>0.75</v>
      </c>
      <c r="I43" s="99">
        <v>0.15</v>
      </c>
      <c r="J43" s="99">
        <f t="shared" si="3"/>
        <v>0.15</v>
      </c>
      <c r="K43" s="100">
        <v>150</v>
      </c>
      <c r="L43" s="100">
        <v>150</v>
      </c>
      <c r="M43" s="101">
        <v>0</v>
      </c>
      <c r="N43" s="101">
        <v>0</v>
      </c>
      <c r="O43" s="102">
        <v>75</v>
      </c>
      <c r="P43" s="103">
        <v>500</v>
      </c>
      <c r="Q43" s="104">
        <v>1</v>
      </c>
      <c r="R43" s="104">
        <v>4</v>
      </c>
      <c r="S43" s="104" t="s">
        <v>172</v>
      </c>
      <c r="T43" s="95"/>
      <c r="U43" s="95">
        <v>10</v>
      </c>
      <c r="V43" s="105">
        <f t="shared" si="0"/>
        <v>0</v>
      </c>
      <c r="W43" s="95">
        <v>0.15</v>
      </c>
      <c r="X43" s="106">
        <f t="shared" si="1"/>
        <v>0</v>
      </c>
    </row>
    <row r="44" spans="1:24" ht="13.8" x14ac:dyDescent="0.25">
      <c r="A44" s="95" t="s">
        <v>158</v>
      </c>
      <c r="B44" s="95">
        <v>10</v>
      </c>
      <c r="C44" s="95">
        <v>0.5</v>
      </c>
      <c r="D44" s="95">
        <v>250</v>
      </c>
      <c r="E44" s="95">
        <v>200</v>
      </c>
      <c r="F44" s="97">
        <v>1.5</v>
      </c>
      <c r="G44" s="98">
        <v>0.18</v>
      </c>
      <c r="H44" s="97">
        <v>1</v>
      </c>
      <c r="I44" s="99">
        <v>0.15</v>
      </c>
      <c r="J44" s="99">
        <f t="shared" si="3"/>
        <v>0.15</v>
      </c>
      <c r="K44" s="100">
        <v>150</v>
      </c>
      <c r="L44" s="100">
        <v>150</v>
      </c>
      <c r="M44" s="101">
        <v>0</v>
      </c>
      <c r="N44" s="101">
        <v>0</v>
      </c>
      <c r="O44" s="102">
        <v>75</v>
      </c>
      <c r="P44" s="103">
        <v>500</v>
      </c>
      <c r="Q44" s="104">
        <v>1.5</v>
      </c>
      <c r="R44" s="104">
        <v>2</v>
      </c>
      <c r="S44" s="104" t="s">
        <v>172</v>
      </c>
      <c r="T44" s="95"/>
      <c r="U44" s="95">
        <v>10</v>
      </c>
      <c r="V44" s="105">
        <f t="shared" si="0"/>
        <v>0</v>
      </c>
      <c r="W44" s="95">
        <v>0.15</v>
      </c>
      <c r="X44" s="106">
        <f t="shared" si="1"/>
        <v>0</v>
      </c>
    </row>
    <row r="45" spans="1:24" ht="39.6" x14ac:dyDescent="0.25">
      <c r="A45" s="95" t="s">
        <v>293</v>
      </c>
      <c r="B45" s="95">
        <v>5</v>
      </c>
      <c r="C45" s="95">
        <v>0.5</v>
      </c>
      <c r="D45" s="95">
        <v>250</v>
      </c>
      <c r="E45" s="95">
        <v>200</v>
      </c>
      <c r="F45" s="95">
        <v>0</v>
      </c>
      <c r="G45" s="98">
        <v>0</v>
      </c>
      <c r="H45" s="99">
        <v>0.14000000000000001</v>
      </c>
      <c r="I45" s="99">
        <v>0.75</v>
      </c>
      <c r="J45" s="99">
        <v>0.75</v>
      </c>
      <c r="K45" s="100">
        <v>8760</v>
      </c>
      <c r="L45" s="100">
        <v>8760</v>
      </c>
      <c r="M45" s="101">
        <v>0</v>
      </c>
      <c r="N45" s="101">
        <v>0</v>
      </c>
      <c r="O45" s="102">
        <v>10</v>
      </c>
      <c r="P45" s="103">
        <v>40</v>
      </c>
      <c r="Q45" s="104">
        <v>1.5</v>
      </c>
      <c r="R45" s="104">
        <v>2</v>
      </c>
      <c r="S45" s="104" t="s">
        <v>185</v>
      </c>
      <c r="T45" s="107" t="s">
        <v>294</v>
      </c>
      <c r="U45" s="95">
        <v>10</v>
      </c>
      <c r="V45" s="105">
        <f t="shared" si="0"/>
        <v>-5</v>
      </c>
      <c r="W45" s="95">
        <v>0.75</v>
      </c>
      <c r="X45" s="106">
        <f t="shared" si="1"/>
        <v>0</v>
      </c>
    </row>
    <row r="46" spans="1:24" ht="39.6" x14ac:dyDescent="0.25">
      <c r="A46" s="95" t="s">
        <v>295</v>
      </c>
      <c r="B46" s="95">
        <v>5</v>
      </c>
      <c r="C46" s="95">
        <v>0.5</v>
      </c>
      <c r="D46" s="95">
        <v>250</v>
      </c>
      <c r="E46" s="95">
        <v>200</v>
      </c>
      <c r="F46" s="95">
        <v>0</v>
      </c>
      <c r="G46" s="98">
        <v>0</v>
      </c>
      <c r="H46" s="97">
        <v>0.3</v>
      </c>
      <c r="I46" s="99">
        <v>0.75</v>
      </c>
      <c r="J46" s="99">
        <v>0.75</v>
      </c>
      <c r="K46" s="100">
        <v>8760</v>
      </c>
      <c r="L46" s="100">
        <v>8760</v>
      </c>
      <c r="M46" s="101">
        <v>0</v>
      </c>
      <c r="N46" s="101">
        <v>0</v>
      </c>
      <c r="O46" s="102">
        <v>10</v>
      </c>
      <c r="P46" s="103">
        <v>40</v>
      </c>
      <c r="Q46" s="104">
        <v>1.5</v>
      </c>
      <c r="R46" s="104">
        <v>2</v>
      </c>
      <c r="S46" s="104" t="s">
        <v>185</v>
      </c>
      <c r="T46" s="107" t="s">
        <v>296</v>
      </c>
      <c r="U46" s="95">
        <v>10</v>
      </c>
      <c r="V46" s="105">
        <f t="shared" si="0"/>
        <v>-5</v>
      </c>
      <c r="W46" s="95">
        <v>0.75</v>
      </c>
      <c r="X46" s="106">
        <f t="shared" si="1"/>
        <v>0</v>
      </c>
    </row>
    <row r="47" spans="1:24" ht="39.6" x14ac:dyDescent="0.25">
      <c r="A47" s="95" t="s">
        <v>297</v>
      </c>
      <c r="B47" s="95">
        <v>5</v>
      </c>
      <c r="C47" s="95">
        <v>0.5</v>
      </c>
      <c r="D47" s="95">
        <v>250</v>
      </c>
      <c r="E47" s="95">
        <v>200</v>
      </c>
      <c r="F47" s="95">
        <v>0</v>
      </c>
      <c r="G47" s="98">
        <v>0</v>
      </c>
      <c r="H47" s="97">
        <v>0.6</v>
      </c>
      <c r="I47" s="99">
        <v>0.75</v>
      </c>
      <c r="J47" s="99">
        <v>0.75</v>
      </c>
      <c r="K47" s="100">
        <v>8760</v>
      </c>
      <c r="L47" s="100">
        <v>8760</v>
      </c>
      <c r="M47" s="101">
        <v>0</v>
      </c>
      <c r="N47" s="101">
        <v>0</v>
      </c>
      <c r="O47" s="102">
        <v>10</v>
      </c>
      <c r="P47" s="103">
        <v>40</v>
      </c>
      <c r="Q47" s="104">
        <v>1.5</v>
      </c>
      <c r="R47" s="104">
        <v>2</v>
      </c>
      <c r="S47" s="104" t="s">
        <v>185</v>
      </c>
      <c r="T47" s="107" t="s">
        <v>296</v>
      </c>
      <c r="U47" s="95">
        <v>10</v>
      </c>
      <c r="V47" s="105">
        <f t="shared" si="0"/>
        <v>-5</v>
      </c>
      <c r="W47" s="95">
        <v>0.75</v>
      </c>
      <c r="X47" s="106">
        <f t="shared" si="1"/>
        <v>0</v>
      </c>
    </row>
    <row r="48" spans="1:24" ht="13.8" x14ac:dyDescent="0.25">
      <c r="A48" s="95" t="s">
        <v>298</v>
      </c>
      <c r="B48" s="95">
        <v>10</v>
      </c>
      <c r="C48" s="95">
        <v>0.5</v>
      </c>
      <c r="D48" s="95">
        <v>250</v>
      </c>
      <c r="E48" s="95">
        <v>200</v>
      </c>
      <c r="F48" s="97">
        <v>1.5</v>
      </c>
      <c r="G48" s="98">
        <v>0.18</v>
      </c>
      <c r="H48" s="97">
        <v>0.9</v>
      </c>
      <c r="I48" s="99">
        <v>0.15</v>
      </c>
      <c r="J48" s="99">
        <f t="shared" si="3"/>
        <v>0.15</v>
      </c>
      <c r="K48" s="100">
        <v>150</v>
      </c>
      <c r="L48" s="100">
        <v>150</v>
      </c>
      <c r="M48" s="109">
        <v>0</v>
      </c>
      <c r="N48" s="101">
        <v>0</v>
      </c>
      <c r="O48" s="102">
        <v>50</v>
      </c>
      <c r="P48" s="103">
        <v>300</v>
      </c>
      <c r="Q48" s="104">
        <v>1.5</v>
      </c>
      <c r="R48" s="104">
        <v>2</v>
      </c>
      <c r="S48" s="104" t="s">
        <v>184</v>
      </c>
      <c r="T48" s="95"/>
      <c r="U48" s="95">
        <v>10</v>
      </c>
      <c r="V48" s="105">
        <f t="shared" si="0"/>
        <v>0</v>
      </c>
      <c r="W48" s="95">
        <v>0.15</v>
      </c>
      <c r="X48" s="106">
        <f t="shared" si="1"/>
        <v>0</v>
      </c>
    </row>
    <row r="49" spans="1:24" ht="13.8" x14ac:dyDescent="0.25">
      <c r="A49" s="95" t="s">
        <v>299</v>
      </c>
      <c r="B49" s="95">
        <v>142.85714285714286</v>
      </c>
      <c r="C49" s="95">
        <v>0.5</v>
      </c>
      <c r="D49" s="95">
        <v>245</v>
      </c>
      <c r="E49" s="95">
        <v>105</v>
      </c>
      <c r="F49" s="97">
        <v>0.5</v>
      </c>
      <c r="G49" s="98">
        <v>0.09</v>
      </c>
      <c r="H49" s="97">
        <v>1.5</v>
      </c>
      <c r="I49" s="99">
        <v>0.15</v>
      </c>
      <c r="J49" s="99">
        <f t="shared" si="3"/>
        <v>1.0714285714285714</v>
      </c>
      <c r="K49" s="100">
        <v>150</v>
      </c>
      <c r="L49" s="100">
        <v>150</v>
      </c>
      <c r="M49" s="101">
        <v>0</v>
      </c>
      <c r="N49" s="101">
        <v>0</v>
      </c>
      <c r="O49" s="102">
        <v>200</v>
      </c>
      <c r="P49" s="103">
        <v>1500</v>
      </c>
      <c r="Q49" s="104">
        <v>1.5</v>
      </c>
      <c r="R49" s="104">
        <v>2</v>
      </c>
      <c r="S49" s="104" t="s">
        <v>190</v>
      </c>
      <c r="T49" s="95"/>
      <c r="U49" s="95">
        <v>143</v>
      </c>
      <c r="V49" s="105">
        <f t="shared" si="0"/>
        <v>-0.1428571428571388</v>
      </c>
      <c r="W49" s="95">
        <v>1.07</v>
      </c>
      <c r="X49" s="106">
        <f t="shared" si="1"/>
        <v>1.4285714285713347E-3</v>
      </c>
    </row>
    <row r="50" spans="1:24" ht="13.8" x14ac:dyDescent="0.25">
      <c r="A50" s="95" t="s">
        <v>150</v>
      </c>
      <c r="B50" s="95">
        <v>33.333333333333336</v>
      </c>
      <c r="C50" s="95">
        <v>0.5</v>
      </c>
      <c r="D50" s="95">
        <v>250</v>
      </c>
      <c r="E50" s="95">
        <v>200</v>
      </c>
      <c r="F50" s="97">
        <v>1</v>
      </c>
      <c r="G50" s="98">
        <v>0.18</v>
      </c>
      <c r="H50" s="97">
        <v>1.2</v>
      </c>
      <c r="I50" s="99">
        <v>0.2</v>
      </c>
      <c r="J50" s="99">
        <f t="shared" si="3"/>
        <v>0.25</v>
      </c>
      <c r="K50" s="100">
        <v>150</v>
      </c>
      <c r="L50" s="100">
        <v>150</v>
      </c>
      <c r="M50" s="109">
        <v>0</v>
      </c>
      <c r="N50" s="101">
        <v>0</v>
      </c>
      <c r="O50" s="102">
        <v>100</v>
      </c>
      <c r="P50" s="103">
        <v>1000</v>
      </c>
      <c r="Q50" s="104">
        <v>1.5</v>
      </c>
      <c r="R50" s="104">
        <v>2</v>
      </c>
      <c r="S50" s="104" t="s">
        <v>181</v>
      </c>
      <c r="T50" s="95"/>
      <c r="U50" s="95">
        <v>33</v>
      </c>
      <c r="V50" s="105">
        <f t="shared" si="0"/>
        <v>0.3333333333333357</v>
      </c>
      <c r="W50" s="95">
        <v>0.2</v>
      </c>
      <c r="X50" s="106">
        <f t="shared" si="1"/>
        <v>4.9999999999999989E-2</v>
      </c>
    </row>
    <row r="51" spans="1:24" ht="13.8" x14ac:dyDescent="0.25">
      <c r="A51" s="95" t="s">
        <v>300</v>
      </c>
      <c r="B51" s="95">
        <v>66.666666666666671</v>
      </c>
      <c r="C51" s="95">
        <v>0.5</v>
      </c>
      <c r="D51" s="95">
        <v>245</v>
      </c>
      <c r="E51" s="95">
        <v>105</v>
      </c>
      <c r="F51" s="97">
        <v>1</v>
      </c>
      <c r="G51" s="98">
        <v>0.09</v>
      </c>
      <c r="H51" s="97">
        <v>2.2999999999999998</v>
      </c>
      <c r="I51" s="99">
        <v>0.15</v>
      </c>
      <c r="J51" s="99">
        <f t="shared" si="3"/>
        <v>0.5</v>
      </c>
      <c r="K51" s="100">
        <v>150</v>
      </c>
      <c r="L51" s="100">
        <v>150</v>
      </c>
      <c r="M51" s="101">
        <v>0</v>
      </c>
      <c r="N51" s="101">
        <v>0</v>
      </c>
      <c r="O51" s="102">
        <v>200</v>
      </c>
      <c r="P51" s="103">
        <v>750</v>
      </c>
      <c r="Q51" s="104">
        <v>1.5</v>
      </c>
      <c r="R51" s="104">
        <v>2</v>
      </c>
      <c r="S51" s="104" t="s">
        <v>190</v>
      </c>
      <c r="T51" s="95" t="s">
        <v>301</v>
      </c>
      <c r="U51" s="95">
        <v>143</v>
      </c>
      <c r="V51" s="105">
        <f t="shared" si="0"/>
        <v>-76.333333333333329</v>
      </c>
      <c r="W51" s="95">
        <v>1.07</v>
      </c>
      <c r="X51" s="106">
        <f t="shared" si="1"/>
        <v>-0.57000000000000006</v>
      </c>
    </row>
    <row r="52" spans="1:24" ht="13.8" x14ac:dyDescent="0.25">
      <c r="A52" s="95" t="s">
        <v>302</v>
      </c>
      <c r="B52" s="95">
        <v>142.85714285714286</v>
      </c>
      <c r="C52" s="95">
        <v>1</v>
      </c>
      <c r="D52" s="95">
        <v>245</v>
      </c>
      <c r="E52" s="95">
        <v>105</v>
      </c>
      <c r="F52" s="97">
        <v>0.5</v>
      </c>
      <c r="G52" s="98">
        <v>0.09</v>
      </c>
      <c r="H52" s="97">
        <v>0.9</v>
      </c>
      <c r="I52" s="99">
        <v>0.15</v>
      </c>
      <c r="J52" s="99">
        <f t="shared" si="3"/>
        <v>2.1428571428571428</v>
      </c>
      <c r="K52" s="100">
        <v>150</v>
      </c>
      <c r="L52" s="100">
        <v>150</v>
      </c>
      <c r="M52" s="101">
        <v>0</v>
      </c>
      <c r="N52" s="101">
        <v>0</v>
      </c>
      <c r="O52" s="102">
        <v>2</v>
      </c>
      <c r="P52" s="103">
        <v>50</v>
      </c>
      <c r="Q52" s="104">
        <v>1.5</v>
      </c>
      <c r="R52" s="104">
        <v>2</v>
      </c>
      <c r="S52" s="104" t="s">
        <v>190</v>
      </c>
      <c r="T52" s="95"/>
      <c r="U52" s="95">
        <v>143</v>
      </c>
      <c r="V52" s="105">
        <f t="shared" si="0"/>
        <v>-0.1428571428571388</v>
      </c>
      <c r="W52" s="95">
        <v>1.07</v>
      </c>
      <c r="X52" s="106">
        <f t="shared" si="1"/>
        <v>1.0728571428571427</v>
      </c>
    </row>
    <row r="53" spans="1:24" ht="13.8" x14ac:dyDescent="0.25">
      <c r="A53" s="95" t="s">
        <v>303</v>
      </c>
      <c r="B53" s="95">
        <v>142.85714285714286</v>
      </c>
      <c r="C53" s="95">
        <v>1</v>
      </c>
      <c r="D53" s="95">
        <v>245</v>
      </c>
      <c r="E53" s="95">
        <v>105</v>
      </c>
      <c r="F53" s="97">
        <v>0.5</v>
      </c>
      <c r="G53" s="98">
        <v>0.09</v>
      </c>
      <c r="H53" s="97">
        <v>1.4</v>
      </c>
      <c r="I53" s="99">
        <v>0.15</v>
      </c>
      <c r="J53" s="99">
        <f t="shared" si="3"/>
        <v>2.1428571428571428</v>
      </c>
      <c r="K53" s="100">
        <v>150</v>
      </c>
      <c r="L53" s="100">
        <v>150</v>
      </c>
      <c r="M53" s="101">
        <v>0</v>
      </c>
      <c r="N53" s="101">
        <v>0</v>
      </c>
      <c r="O53" s="102">
        <v>2</v>
      </c>
      <c r="P53" s="103">
        <v>200</v>
      </c>
      <c r="Q53" s="104">
        <v>1.5</v>
      </c>
      <c r="R53" s="104">
        <v>2</v>
      </c>
      <c r="S53" s="104" t="s">
        <v>190</v>
      </c>
      <c r="T53" s="95"/>
      <c r="U53" s="95">
        <v>143</v>
      </c>
      <c r="V53" s="105">
        <f t="shared" si="0"/>
        <v>-0.1428571428571388</v>
      </c>
      <c r="W53" s="95">
        <v>1.07</v>
      </c>
      <c r="X53" s="106">
        <f t="shared" si="1"/>
        <v>1.0728571428571427</v>
      </c>
    </row>
    <row r="54" spans="1:24" ht="13.8" x14ac:dyDescent="0.25">
      <c r="A54" s="95" t="s">
        <v>304</v>
      </c>
      <c r="B54" s="95">
        <v>33.333333333333336</v>
      </c>
      <c r="C54" s="95">
        <v>0.5</v>
      </c>
      <c r="D54" s="95">
        <v>250</v>
      </c>
      <c r="E54" s="95">
        <v>250</v>
      </c>
      <c r="F54" s="97">
        <v>0.5</v>
      </c>
      <c r="G54" s="98">
        <v>0.18</v>
      </c>
      <c r="H54" s="97">
        <v>1.2</v>
      </c>
      <c r="I54" s="99">
        <v>0.15</v>
      </c>
      <c r="J54" s="99">
        <f t="shared" si="3"/>
        <v>0.25</v>
      </c>
      <c r="K54" s="100">
        <v>150</v>
      </c>
      <c r="L54" s="100">
        <v>150</v>
      </c>
      <c r="M54" s="101">
        <v>0</v>
      </c>
      <c r="N54" s="101">
        <v>0</v>
      </c>
      <c r="O54" s="102">
        <v>50</v>
      </c>
      <c r="P54" s="103">
        <v>500</v>
      </c>
      <c r="Q54" s="104">
        <v>1.5</v>
      </c>
      <c r="R54" s="104">
        <v>2</v>
      </c>
      <c r="S54" s="104" t="s">
        <v>190</v>
      </c>
      <c r="T54" s="95"/>
      <c r="U54" s="95">
        <v>33</v>
      </c>
      <c r="V54" s="105">
        <f t="shared" si="0"/>
        <v>0.3333333333333357</v>
      </c>
      <c r="W54" s="95">
        <v>0.25</v>
      </c>
      <c r="X54" s="106">
        <f t="shared" si="1"/>
        <v>0</v>
      </c>
    </row>
    <row r="55" spans="1:24" ht="13.8" x14ac:dyDescent="0.25">
      <c r="A55" s="95" t="s">
        <v>305</v>
      </c>
      <c r="B55" s="95">
        <v>0</v>
      </c>
      <c r="C55" s="95">
        <v>0.5</v>
      </c>
      <c r="D55" s="95">
        <v>250</v>
      </c>
      <c r="E55" s="95">
        <v>250</v>
      </c>
      <c r="F55" s="97">
        <v>0</v>
      </c>
      <c r="G55" s="98">
        <v>0</v>
      </c>
      <c r="H55" s="97">
        <v>0</v>
      </c>
      <c r="I55" s="99">
        <v>0</v>
      </c>
      <c r="J55" s="99">
        <v>0</v>
      </c>
      <c r="K55" s="100">
        <v>8760</v>
      </c>
      <c r="L55" s="100">
        <v>8760</v>
      </c>
      <c r="M55" s="101">
        <v>0</v>
      </c>
      <c r="N55" s="101">
        <v>0</v>
      </c>
      <c r="O55" s="102">
        <v>0</v>
      </c>
      <c r="P55" s="103">
        <v>0</v>
      </c>
      <c r="Q55" s="104">
        <v>0</v>
      </c>
      <c r="R55" s="104">
        <v>0</v>
      </c>
      <c r="S55" s="104" t="s">
        <v>306</v>
      </c>
      <c r="T55" s="95" t="s">
        <v>253</v>
      </c>
      <c r="U55" s="95">
        <v>0</v>
      </c>
      <c r="V55" s="105">
        <f t="shared" si="0"/>
        <v>0</v>
      </c>
      <c r="W55" s="95">
        <v>0</v>
      </c>
      <c r="X55" s="106">
        <f t="shared" si="1"/>
        <v>0</v>
      </c>
    </row>
    <row r="56" spans="1:24" ht="13.8" x14ac:dyDescent="0.25">
      <c r="A56" s="95" t="s">
        <v>307</v>
      </c>
      <c r="B56" s="95">
        <v>0</v>
      </c>
      <c r="C56" s="95">
        <v>0.5</v>
      </c>
      <c r="D56" s="95">
        <v>250</v>
      </c>
      <c r="E56" s="95">
        <v>250</v>
      </c>
      <c r="F56" s="97">
        <v>0</v>
      </c>
      <c r="G56" s="98">
        <v>0</v>
      </c>
      <c r="H56" s="97">
        <v>0</v>
      </c>
      <c r="I56" s="99">
        <v>0</v>
      </c>
      <c r="J56" s="99">
        <v>0</v>
      </c>
      <c r="K56" s="100">
        <v>8760</v>
      </c>
      <c r="L56" s="100">
        <v>8760</v>
      </c>
      <c r="M56" s="101">
        <v>0</v>
      </c>
      <c r="N56" s="101">
        <v>0</v>
      </c>
      <c r="O56" s="102">
        <v>0</v>
      </c>
      <c r="P56" s="103">
        <v>0</v>
      </c>
      <c r="Q56" s="104">
        <v>0</v>
      </c>
      <c r="R56" s="104">
        <v>0</v>
      </c>
      <c r="S56" s="104" t="s">
        <v>306</v>
      </c>
      <c r="T56" s="95" t="s">
        <v>253</v>
      </c>
      <c r="U56" s="95">
        <v>0</v>
      </c>
      <c r="V56" s="105">
        <f t="shared" si="0"/>
        <v>0</v>
      </c>
      <c r="W56" s="95">
        <v>0</v>
      </c>
      <c r="X56" s="106">
        <f t="shared" si="1"/>
        <v>0</v>
      </c>
    </row>
    <row r="57" spans="1:24" ht="13.8" x14ac:dyDescent="0.25">
      <c r="A57" s="95" t="s">
        <v>308</v>
      </c>
      <c r="B57" s="95">
        <v>10</v>
      </c>
      <c r="C57" s="95">
        <v>0.5</v>
      </c>
      <c r="D57" s="95">
        <v>250</v>
      </c>
      <c r="E57" s="95">
        <v>200</v>
      </c>
      <c r="F57" s="97">
        <v>1.5</v>
      </c>
      <c r="G57" s="98">
        <v>0.18</v>
      </c>
      <c r="H57" s="97">
        <v>1.2</v>
      </c>
      <c r="I57" s="99">
        <v>0.15</v>
      </c>
      <c r="J57" s="99">
        <f t="shared" si="3"/>
        <v>0.15</v>
      </c>
      <c r="K57" s="100">
        <v>150</v>
      </c>
      <c r="L57" s="100">
        <v>150</v>
      </c>
      <c r="M57" s="101">
        <v>0</v>
      </c>
      <c r="N57" s="101">
        <v>0</v>
      </c>
      <c r="O57" s="102">
        <v>300</v>
      </c>
      <c r="P57" s="103">
        <v>300</v>
      </c>
      <c r="Q57" s="104">
        <v>1.5</v>
      </c>
      <c r="R57" s="104">
        <v>2</v>
      </c>
      <c r="S57" s="104" t="s">
        <v>172</v>
      </c>
      <c r="T57" s="95"/>
      <c r="U57" s="95">
        <v>10</v>
      </c>
      <c r="V57" s="105">
        <f t="shared" si="0"/>
        <v>0</v>
      </c>
      <c r="W57" s="95">
        <v>0.15</v>
      </c>
      <c r="X57" s="106">
        <f t="shared" si="1"/>
        <v>0</v>
      </c>
    </row>
    <row r="58" spans="1:24" ht="13.8" x14ac:dyDescent="0.25">
      <c r="A58" s="95" t="s">
        <v>309</v>
      </c>
      <c r="B58" s="95">
        <v>66.666666666666671</v>
      </c>
      <c r="C58" s="95">
        <v>0.5</v>
      </c>
      <c r="D58" s="95">
        <v>250</v>
      </c>
      <c r="E58" s="95">
        <v>250</v>
      </c>
      <c r="F58" s="97">
        <v>0.5</v>
      </c>
      <c r="G58" s="98">
        <v>0.18</v>
      </c>
      <c r="H58" s="97">
        <v>1.1000000000000001</v>
      </c>
      <c r="I58" s="99">
        <v>0.15</v>
      </c>
      <c r="J58" s="99">
        <f t="shared" si="3"/>
        <v>0.5</v>
      </c>
      <c r="K58" s="100">
        <v>150</v>
      </c>
      <c r="L58" s="100">
        <v>150</v>
      </c>
      <c r="M58" s="101">
        <v>0</v>
      </c>
      <c r="N58" s="101">
        <v>0</v>
      </c>
      <c r="O58" s="102">
        <v>300</v>
      </c>
      <c r="P58" s="103">
        <v>300</v>
      </c>
      <c r="Q58" s="104">
        <v>1.5</v>
      </c>
      <c r="R58" s="104">
        <v>2</v>
      </c>
      <c r="S58" s="104" t="s">
        <v>172</v>
      </c>
      <c r="T58" s="95" t="s">
        <v>310</v>
      </c>
      <c r="U58" s="95">
        <v>10</v>
      </c>
      <c r="V58" s="105">
        <f t="shared" si="0"/>
        <v>56.666666666666671</v>
      </c>
      <c r="W58" s="95">
        <v>0.15</v>
      </c>
      <c r="X58" s="106">
        <f t="shared" si="1"/>
        <v>0.35</v>
      </c>
    </row>
    <row r="59" spans="1:24" ht="13.8" x14ac:dyDescent="0.25">
      <c r="A59" s="95" t="s">
        <v>311</v>
      </c>
      <c r="B59" s="95">
        <v>10</v>
      </c>
      <c r="C59" s="95">
        <v>0.5</v>
      </c>
      <c r="D59" s="95">
        <v>250</v>
      </c>
      <c r="E59" s="95">
        <v>200</v>
      </c>
      <c r="F59" s="97">
        <v>1</v>
      </c>
      <c r="G59" s="98">
        <v>0.18</v>
      </c>
      <c r="H59" s="97">
        <v>0.6</v>
      </c>
      <c r="I59" s="99">
        <v>0.15</v>
      </c>
      <c r="J59" s="99">
        <f t="shared" si="3"/>
        <v>0.15</v>
      </c>
      <c r="K59" s="100">
        <v>150</v>
      </c>
      <c r="L59" s="100">
        <v>150</v>
      </c>
      <c r="M59" s="101">
        <v>0</v>
      </c>
      <c r="N59" s="101">
        <v>0</v>
      </c>
      <c r="O59" s="102">
        <v>100</v>
      </c>
      <c r="P59" s="103">
        <v>300</v>
      </c>
      <c r="Q59" s="104">
        <v>1.5</v>
      </c>
      <c r="R59" s="104">
        <v>2</v>
      </c>
      <c r="S59" s="104" t="s">
        <v>172</v>
      </c>
      <c r="T59" s="95"/>
      <c r="U59" s="95">
        <v>10</v>
      </c>
      <c r="V59" s="105">
        <f t="shared" si="0"/>
        <v>0</v>
      </c>
      <c r="W59" s="95">
        <v>0.15</v>
      </c>
      <c r="X59" s="106">
        <f t="shared" si="1"/>
        <v>0</v>
      </c>
    </row>
    <row r="60" spans="1:24" x14ac:dyDescent="0.25">
      <c r="O60" s="104"/>
      <c r="P60" s="104"/>
      <c r="Q60" s="104"/>
      <c r="R60" s="104"/>
    </row>
    <row r="61" spans="1:24" x14ac:dyDescent="0.25">
      <c r="O61" s="95" t="s">
        <v>238</v>
      </c>
    </row>
    <row r="62" spans="1:24" x14ac:dyDescent="0.25">
      <c r="B62" s="95" t="s">
        <v>312</v>
      </c>
      <c r="D62" s="95" t="s">
        <v>313</v>
      </c>
    </row>
    <row r="64" spans="1:24" x14ac:dyDescent="0.25">
      <c r="B64" s="95" t="s">
        <v>314</v>
      </c>
      <c r="D64" s="95" t="s">
        <v>315</v>
      </c>
    </row>
    <row r="65" spans="2:4" x14ac:dyDescent="0.25">
      <c r="B65" s="95" t="s">
        <v>316</v>
      </c>
      <c r="D65" s="95" t="s">
        <v>317</v>
      </c>
    </row>
    <row r="66" spans="2:4" x14ac:dyDescent="0.25">
      <c r="B66" s="95" t="s">
        <v>238</v>
      </c>
    </row>
    <row r="67" spans="2:4" x14ac:dyDescent="0.25">
      <c r="B67" s="95" t="s">
        <v>238</v>
      </c>
    </row>
    <row r="68" spans="2:4" x14ac:dyDescent="0.25">
      <c r="B68" s="112"/>
      <c r="C68" s="112"/>
    </row>
  </sheetData>
  <autoFilter ref="A2:X2" xr:uid="{00000000-0009-0000-0000-000003000000}"/>
  <mergeCells count="1">
    <mergeCell ref="O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8ED0-7E60-41C6-93CE-3F235B175D1D}">
  <dimension ref="A1:AH86"/>
  <sheetViews>
    <sheetView zoomScale="70" zoomScaleNormal="70" workbookViewId="0">
      <pane xSplit="2" ySplit="4" topLeftCell="C5" activePane="bottomRight" state="frozen"/>
      <selection activeCell="E15" sqref="E15:F15"/>
      <selection pane="topRight" activeCell="E15" sqref="E15:F15"/>
      <selection pane="bottomLeft" activeCell="E15" sqref="E15:F15"/>
      <selection pane="bottomRight" activeCell="G57" sqref="G57"/>
    </sheetView>
  </sheetViews>
  <sheetFormatPr defaultColWidth="8.3984375" defaultRowHeight="13.8" x14ac:dyDescent="0.25"/>
  <cols>
    <col min="1" max="1" width="3" style="114" customWidth="1"/>
    <col min="2" max="2" width="64.3984375" style="114" customWidth="1"/>
    <col min="3" max="19" width="17.59765625" style="114" customWidth="1"/>
    <col min="20" max="20" width="23" style="114" customWidth="1"/>
    <col min="21" max="21" width="30.59765625" style="114" customWidth="1"/>
    <col min="22" max="22" width="30" style="114" customWidth="1"/>
    <col min="23" max="23" width="26.3984375" style="114" customWidth="1"/>
    <col min="24" max="24" width="23.69921875" style="114" customWidth="1"/>
    <col min="25" max="27" width="32.8984375" style="114" customWidth="1"/>
    <col min="28" max="28" width="28.19921875" style="114" customWidth="1"/>
    <col min="29" max="29" width="28.3984375" style="114" bestFit="1" customWidth="1"/>
    <col min="30" max="30" width="28.796875" style="114" bestFit="1" customWidth="1"/>
    <col min="31" max="31" width="30" style="114" customWidth="1"/>
    <col min="32" max="32" width="28.19921875" style="114" customWidth="1"/>
    <col min="33" max="33" width="50.8984375" style="114" customWidth="1"/>
    <col min="34" max="34" width="2.09765625" style="114" customWidth="1"/>
    <col min="35" max="16384" width="8.3984375" style="114"/>
  </cols>
  <sheetData>
    <row r="1" spans="1:34" x14ac:dyDescent="0.25">
      <c r="A1" s="113" t="s">
        <v>318</v>
      </c>
    </row>
    <row r="2" spans="1:34" x14ac:dyDescent="0.25">
      <c r="A2" s="114" t="s">
        <v>319</v>
      </c>
    </row>
    <row r="3" spans="1:34" s="115" customFormat="1" ht="15" customHeight="1" x14ac:dyDescent="0.25">
      <c r="B3" s="115" t="s">
        <v>320</v>
      </c>
      <c r="C3" s="115" t="s">
        <v>321</v>
      </c>
      <c r="D3" s="115" t="s">
        <v>322</v>
      </c>
      <c r="E3" s="115" t="s">
        <v>323</v>
      </c>
      <c r="F3" s="115" t="s">
        <v>324</v>
      </c>
      <c r="G3" s="115" t="s">
        <v>325</v>
      </c>
      <c r="H3" s="115" t="s">
        <v>326</v>
      </c>
      <c r="I3" s="115" t="s">
        <v>327</v>
      </c>
      <c r="J3" s="115" t="s">
        <v>328</v>
      </c>
      <c r="K3" s="115" t="s">
        <v>329</v>
      </c>
      <c r="L3" s="115" t="s">
        <v>330</v>
      </c>
      <c r="M3" s="115" t="s">
        <v>331</v>
      </c>
      <c r="N3" s="115" t="s">
        <v>332</v>
      </c>
      <c r="O3" s="115" t="s">
        <v>333</v>
      </c>
      <c r="P3" s="115" t="s">
        <v>334</v>
      </c>
      <c r="Q3" s="115" t="s">
        <v>335</v>
      </c>
      <c r="R3" s="115" t="s">
        <v>336</v>
      </c>
      <c r="S3" s="115" t="s">
        <v>337</v>
      </c>
      <c r="T3" s="115" t="s">
        <v>338</v>
      </c>
      <c r="U3" s="115" t="s">
        <v>339</v>
      </c>
      <c r="V3" s="115" t="s">
        <v>340</v>
      </c>
      <c r="W3" s="115" t="s">
        <v>341</v>
      </c>
      <c r="X3" s="115" t="s">
        <v>342</v>
      </c>
      <c r="Y3" s="116" t="s">
        <v>343</v>
      </c>
      <c r="Z3" s="116" t="s">
        <v>344</v>
      </c>
      <c r="AA3" s="117" t="s">
        <v>345</v>
      </c>
      <c r="AB3" s="117" t="s">
        <v>346</v>
      </c>
      <c r="AC3" s="117" t="s">
        <v>347</v>
      </c>
      <c r="AD3" s="117" t="s">
        <v>348</v>
      </c>
      <c r="AE3" s="116" t="s">
        <v>349</v>
      </c>
      <c r="AF3" s="116" t="s">
        <v>350</v>
      </c>
      <c r="AG3" s="115" t="s">
        <v>351</v>
      </c>
      <c r="AH3" s="114" t="s">
        <v>352</v>
      </c>
    </row>
    <row r="4" spans="1:34" s="118" customFormat="1" ht="15" customHeight="1" x14ac:dyDescent="0.25">
      <c r="B4" s="118" t="s">
        <v>353</v>
      </c>
      <c r="C4" s="118" t="s">
        <v>139</v>
      </c>
      <c r="E4" s="118" t="s">
        <v>354</v>
      </c>
      <c r="F4" s="118" t="s">
        <v>354</v>
      </c>
      <c r="G4" s="118" t="s">
        <v>204</v>
      </c>
      <c r="H4" s="118" t="s">
        <v>141</v>
      </c>
      <c r="I4" s="118" t="s">
        <v>205</v>
      </c>
      <c r="J4" s="118" t="s">
        <v>206</v>
      </c>
      <c r="K4" s="118" t="s">
        <v>206</v>
      </c>
      <c r="L4" s="118" t="s">
        <v>207</v>
      </c>
      <c r="M4" s="118" t="s">
        <v>207</v>
      </c>
      <c r="N4" s="118" t="s">
        <v>208</v>
      </c>
      <c r="O4" s="118" t="s">
        <v>209</v>
      </c>
      <c r="P4" s="118" t="s">
        <v>355</v>
      </c>
      <c r="Q4" s="118" t="s">
        <v>355</v>
      </c>
      <c r="U4" s="118" t="s">
        <v>356</v>
      </c>
      <c r="V4" s="118" t="s">
        <v>357</v>
      </c>
      <c r="W4" s="118" t="s">
        <v>358</v>
      </c>
      <c r="X4" s="118" t="s">
        <v>359</v>
      </c>
      <c r="Y4" s="118" t="s">
        <v>360</v>
      </c>
      <c r="Z4" s="118" t="s">
        <v>361</v>
      </c>
      <c r="AA4" s="118" t="s">
        <v>362</v>
      </c>
      <c r="AB4" s="118" t="s">
        <v>363</v>
      </c>
      <c r="AC4" s="118" t="s">
        <v>364</v>
      </c>
      <c r="AD4" s="118" t="s">
        <v>365</v>
      </c>
      <c r="AE4" s="118" t="s">
        <v>366</v>
      </c>
      <c r="AF4" s="118" t="s">
        <v>367</v>
      </c>
      <c r="AG4" s="118" t="s">
        <v>368</v>
      </c>
      <c r="AH4" s="114" t="s">
        <v>352</v>
      </c>
    </row>
    <row r="5" spans="1:34" x14ac:dyDescent="0.25">
      <c r="B5" s="114" t="str">
        <f>TRIM(LEFT('Area Category Method'!$A3,IF(ISNUMBER(FIND(" (Note",'Area Category Method'!$A3,1)),FIND(" (Note",'Area Category Method'!$A3,1),99)))</f>
        <v>Auditorium Area</v>
      </c>
      <c r="C5" s="114">
        <f>'Area Category Method'!B3</f>
        <v>142.85714285714286</v>
      </c>
      <c r="D5" s="114">
        <f>'Area Category Method'!C3</f>
        <v>1</v>
      </c>
      <c r="E5" s="114">
        <f>'Area Category Method'!D3</f>
        <v>245</v>
      </c>
      <c r="F5" s="114">
        <f>'Area Category Method'!E3</f>
        <v>105</v>
      </c>
      <c r="G5" s="114">
        <f>'Area Category Method'!F3</f>
        <v>1</v>
      </c>
      <c r="H5" s="114">
        <f>'Area Category Method'!G3</f>
        <v>0.09</v>
      </c>
      <c r="I5" s="114">
        <f>'Area Category Method'!H3</f>
        <v>1.5</v>
      </c>
      <c r="J5" s="114">
        <f>'Area Category Method'!I3</f>
        <v>0.15</v>
      </c>
      <c r="K5" s="114">
        <f>'Area Category Method'!J3</f>
        <v>2.1428571428571428</v>
      </c>
      <c r="L5" s="114">
        <f>'Area Category Method'!K3</f>
        <v>150</v>
      </c>
      <c r="M5" s="114">
        <f>'Area Category Method'!L3</f>
        <v>150</v>
      </c>
      <c r="N5" s="114">
        <f>'Area Category Method'!M3</f>
        <v>0</v>
      </c>
      <c r="O5" s="114">
        <f>'Area Category Method'!N3</f>
        <v>0</v>
      </c>
      <c r="P5" s="114">
        <f>'Area Category Method'!O3</f>
        <v>50</v>
      </c>
      <c r="Q5" s="114">
        <f>'Area Category Method'!P3</f>
        <v>1000</v>
      </c>
      <c r="R5" s="114">
        <f>'Area Category Method'!Q3</f>
        <v>1.5</v>
      </c>
      <c r="S5" s="114">
        <f>'Area Category Method'!R3</f>
        <v>2</v>
      </c>
      <c r="T5" s="114" t="str">
        <f>'Area Category Method'!S3</f>
        <v>Assembly</v>
      </c>
      <c r="U5" s="114" t="str">
        <f>'Area Category Method'!$S3&amp;U$86</f>
        <v>AssemblyOccupancy</v>
      </c>
      <c r="V5" s="114" t="str">
        <f>'Area Category Method'!$S3&amp;V$86</f>
        <v>AssemblyReceptacle</v>
      </c>
      <c r="W5" s="114" t="str">
        <f>'Area Category Method'!$S3&amp;W$86</f>
        <v>AssemblyServiceHotWater</v>
      </c>
      <c r="X5" s="114" t="str">
        <f>'Area Category Method'!$S3&amp;X$86</f>
        <v>AssemblyLights</v>
      </c>
      <c r="Y5" s="114" t="str">
        <f>'Area Category Method'!$S3&amp;Y$86</f>
        <v>AssemblyGasEquip</v>
      </c>
      <c r="Z5" s="114" t="str">
        <f>'Area Category Method'!$S3&amp;Z$86</f>
        <v>AssemblyRefrigeration</v>
      </c>
      <c r="AA5" s="114" t="str">
        <f>'Area Category Method'!$S3&amp;AA$86</f>
        <v>AssemblyInfiltration</v>
      </c>
      <c r="AB5" s="114" t="str">
        <f>'Area Category Method'!$S3&amp;AB$86</f>
        <v>AssemblyHVACAvail</v>
      </c>
      <c r="AC5" s="114" t="str">
        <f>'Area Category Method'!$S3&amp;AC$86</f>
        <v>AssemblyHtgSetpt</v>
      </c>
      <c r="AD5" s="114" t="str">
        <f>'Area Category Method'!$S3&amp;AD$86</f>
        <v>AssemblyClgSetpt</v>
      </c>
      <c r="AE5" s="114" t="str">
        <f>'Area Category Method'!$S3&amp;AE$86</f>
        <v>AssemblyElevator</v>
      </c>
      <c r="AF5" s="114" t="str">
        <f>'Area Category Method'!$S3&amp;AF$86</f>
        <v>AssemblyEscalator</v>
      </c>
      <c r="AG5" s="114" t="str">
        <f>'Area Category Method'!$S3&amp;AG$86</f>
        <v>AssemblyWtrHtrSetpt</v>
      </c>
      <c r="AH5" s="114" t="s">
        <v>352</v>
      </c>
    </row>
    <row r="6" spans="1:34" x14ac:dyDescent="0.25">
      <c r="B6" s="114" t="str">
        <f>TRIM(LEFT('Area Category Method'!$A4,IF(ISNUMBER(FIND(" (Note",'Area Category Method'!$A4,1)),FIND(" (Note",'Area Category Method'!$A4,1),99)))</f>
        <v>Auto Repair Area</v>
      </c>
      <c r="C6" s="114">
        <f>'Area Category Method'!B4</f>
        <v>10</v>
      </c>
      <c r="D6" s="114">
        <f>'Area Category Method'!C4</f>
        <v>0.5</v>
      </c>
      <c r="E6" s="114">
        <f>'Area Category Method'!D4</f>
        <v>275</v>
      </c>
      <c r="F6" s="114">
        <f>'Area Category Method'!E4</f>
        <v>475</v>
      </c>
      <c r="G6" s="114">
        <f>'Area Category Method'!F4</f>
        <v>1</v>
      </c>
      <c r="H6" s="114">
        <f>'Area Category Method'!G4</f>
        <v>0.18</v>
      </c>
      <c r="I6" s="114">
        <f>'Area Category Method'!H4</f>
        <v>0.9</v>
      </c>
      <c r="J6" s="114">
        <f>'Area Category Method'!I4</f>
        <v>1.5</v>
      </c>
      <c r="K6" s="114">
        <f>'Area Category Method'!J4</f>
        <v>1.5</v>
      </c>
      <c r="L6" s="114">
        <f>'Area Category Method'!K4</f>
        <v>150</v>
      </c>
      <c r="M6" s="114">
        <f>'Area Category Method'!L4</f>
        <v>150</v>
      </c>
      <c r="N6" s="114">
        <f>'Area Category Method'!M4</f>
        <v>0.75063999999999997</v>
      </c>
      <c r="O6" s="114">
        <f>'Area Category Method'!N4</f>
        <v>0</v>
      </c>
      <c r="P6" s="114">
        <f>'Area Category Method'!O4</f>
        <v>200</v>
      </c>
      <c r="Q6" s="114">
        <f>'Area Category Method'!P4</f>
        <v>1500</v>
      </c>
      <c r="R6" s="114">
        <f>'Area Category Method'!Q4</f>
        <v>1.5</v>
      </c>
      <c r="S6" s="114">
        <f>'Area Category Method'!R4</f>
        <v>2</v>
      </c>
      <c r="T6" s="114" t="str">
        <f>'Area Category Method'!S4</f>
        <v>Manufacturing</v>
      </c>
      <c r="U6" s="114" t="str">
        <f>'Area Category Method'!$S4&amp;U$86</f>
        <v>ManufacturingOccupancy</v>
      </c>
      <c r="V6" s="114" t="str">
        <f>'Area Category Method'!$S4&amp;V$86</f>
        <v>ManufacturingReceptacle</v>
      </c>
      <c r="W6" s="114" t="str">
        <f>'Area Category Method'!$S4&amp;W$86</f>
        <v>ManufacturingServiceHotWater</v>
      </c>
      <c r="X6" s="114" t="str">
        <f>'Area Category Method'!$S4&amp;X$86</f>
        <v>ManufacturingLights</v>
      </c>
      <c r="Y6" s="114" t="str">
        <f>'Area Category Method'!$S4&amp;Y$86</f>
        <v>ManufacturingGasEquip</v>
      </c>
      <c r="Z6" s="114" t="str">
        <f>'Area Category Method'!$S4&amp;Z$86</f>
        <v>ManufacturingRefrigeration</v>
      </c>
      <c r="AA6" s="114" t="str">
        <f>'Area Category Method'!$S4&amp;AA$86</f>
        <v>ManufacturingInfiltration</v>
      </c>
      <c r="AB6" s="114" t="str">
        <f>'Area Category Method'!$S4&amp;AB$86</f>
        <v>ManufacturingHVACAvail</v>
      </c>
      <c r="AC6" s="114" t="str">
        <f>'Area Category Method'!$S4&amp;AC$86</f>
        <v>ManufacturingHtgSetpt</v>
      </c>
      <c r="AD6" s="114" t="str">
        <f>'Area Category Method'!$S4&amp;AD$86</f>
        <v>ManufacturingClgSetpt</v>
      </c>
      <c r="AE6" s="114" t="str">
        <f>'Area Category Method'!$S4&amp;AE$86</f>
        <v>ManufacturingElevator</v>
      </c>
      <c r="AF6" s="114" t="str">
        <f>'Area Category Method'!$S4&amp;AF$86</f>
        <v>ManufacturingEscalator</v>
      </c>
      <c r="AG6" s="114" t="str">
        <f>'Area Category Method'!$S4&amp;AG$86</f>
        <v>ManufacturingWtrHtrSetpt</v>
      </c>
      <c r="AH6" s="114" t="s">
        <v>352</v>
      </c>
    </row>
    <row r="7" spans="1:34" x14ac:dyDescent="0.25">
      <c r="B7" s="114" t="str">
        <f>TRIM(LEFT('Area Category Method'!$A5,IF(ISNUMBER(FIND(" (Note",'Area Category Method'!$A5,1)),FIND(" (Note",'Area Category Method'!$A5,1),99)))</f>
        <v>Bar, Cocktail Lounge and Casino Areas</v>
      </c>
      <c r="C7" s="114">
        <f>'Area Category Method'!B5</f>
        <v>66.666666666666671</v>
      </c>
      <c r="D7" s="114">
        <f>'Area Category Method'!C5</f>
        <v>0.5</v>
      </c>
      <c r="E7" s="114">
        <f>'Area Category Method'!D5</f>
        <v>275</v>
      </c>
      <c r="F7" s="114">
        <f>'Area Category Method'!E5</f>
        <v>275</v>
      </c>
      <c r="G7" s="114">
        <f>'Area Category Method'!F5</f>
        <v>1</v>
      </c>
      <c r="H7" s="114">
        <f>'Area Category Method'!G5</f>
        <v>0.18</v>
      </c>
      <c r="I7" s="114">
        <f>'Area Category Method'!H5</f>
        <v>1.1000000000000001</v>
      </c>
      <c r="J7" s="114">
        <f>'Area Category Method'!I5</f>
        <v>0.2</v>
      </c>
      <c r="K7" s="114">
        <f>'Area Category Method'!J5</f>
        <v>0.5</v>
      </c>
      <c r="L7" s="114">
        <f>'Area Category Method'!K5</f>
        <v>150</v>
      </c>
      <c r="M7" s="114">
        <f>'Area Category Method'!L5</f>
        <v>150</v>
      </c>
      <c r="N7" s="114">
        <f>'Area Category Method'!M5</f>
        <v>0</v>
      </c>
      <c r="O7" s="114">
        <f>'Area Category Method'!N5</f>
        <v>1.1200000000000001</v>
      </c>
      <c r="P7" s="114">
        <f>'Area Category Method'!O5</f>
        <v>50</v>
      </c>
      <c r="Q7" s="114">
        <f>'Area Category Method'!P5</f>
        <v>200</v>
      </c>
      <c r="R7" s="114">
        <f>'Area Category Method'!Q5</f>
        <v>1.5</v>
      </c>
      <c r="S7" s="114">
        <f>'Area Category Method'!R5</f>
        <v>2</v>
      </c>
      <c r="T7" s="114" t="str">
        <f>'Area Category Method'!S5</f>
        <v>Restaurant</v>
      </c>
      <c r="U7" s="114" t="str">
        <f>'Area Category Method'!$S5&amp;U$86</f>
        <v>RestaurantOccupancy</v>
      </c>
      <c r="V7" s="114" t="str">
        <f>'Area Category Method'!$S5&amp;V$86</f>
        <v>RestaurantReceptacle</v>
      </c>
      <c r="W7" s="114" t="str">
        <f>'Area Category Method'!$S5&amp;W$86</f>
        <v>RestaurantServiceHotWater</v>
      </c>
      <c r="X7" s="114" t="str">
        <f>'Area Category Method'!$S5&amp;X$86</f>
        <v>RestaurantLights</v>
      </c>
      <c r="Y7" s="114" t="str">
        <f>'Area Category Method'!$S5&amp;Y$86</f>
        <v>RestaurantGasEquip</v>
      </c>
      <c r="Z7" s="114" t="str">
        <f>'Area Category Method'!$S5&amp;Z$86</f>
        <v>RestaurantRefrigeration</v>
      </c>
      <c r="AA7" s="114" t="str">
        <f>'Area Category Method'!$S5&amp;AA$86</f>
        <v>RestaurantInfiltration</v>
      </c>
      <c r="AB7" s="114" t="str">
        <f>'Area Category Method'!$S5&amp;AB$86</f>
        <v>RestaurantHVACAvail</v>
      </c>
      <c r="AC7" s="114" t="str">
        <f>'Area Category Method'!$S5&amp;AC$86</f>
        <v>RestaurantHtgSetpt</v>
      </c>
      <c r="AD7" s="114" t="str">
        <f>'Area Category Method'!$S5&amp;AD$86</f>
        <v>RestaurantClgSetpt</v>
      </c>
      <c r="AE7" s="114" t="str">
        <f>'Area Category Method'!$S5&amp;AE$86</f>
        <v>RestaurantElevator</v>
      </c>
      <c r="AF7" s="114" t="str">
        <f>'Area Category Method'!$S5&amp;AF$86</f>
        <v>RestaurantEscalator</v>
      </c>
      <c r="AG7" s="114" t="str">
        <f>'Area Category Method'!$S5&amp;AG$86</f>
        <v>RestaurantWtrHtrSetpt</v>
      </c>
      <c r="AH7" s="114" t="s">
        <v>352</v>
      </c>
    </row>
    <row r="8" spans="1:34" x14ac:dyDescent="0.25">
      <c r="B8" s="114" t="str">
        <f>TRIM(LEFT('Area Category Method'!$A6,IF(ISNUMBER(FIND(" (Note",'Area Category Method'!$A6,1)),FIND(" (Note",'Area Category Method'!$A6,1),99)))</f>
        <v>Beauty Salon Area</v>
      </c>
      <c r="C8" s="114">
        <f>'Area Category Method'!B6</f>
        <v>10</v>
      </c>
      <c r="D8" s="114">
        <f>'Area Category Method'!C6</f>
        <v>0.5</v>
      </c>
      <c r="E8" s="114">
        <f>'Area Category Method'!D6</f>
        <v>250</v>
      </c>
      <c r="F8" s="114">
        <f>'Area Category Method'!E6</f>
        <v>200</v>
      </c>
      <c r="G8" s="114">
        <f>'Area Category Method'!F6</f>
        <v>2</v>
      </c>
      <c r="H8" s="114">
        <f>'Area Category Method'!G6</f>
        <v>0.18</v>
      </c>
      <c r="I8" s="114">
        <f>'Area Category Method'!H6</f>
        <v>1.7</v>
      </c>
      <c r="J8" s="114">
        <f>'Area Category Method'!I6</f>
        <v>0.4</v>
      </c>
      <c r="K8" s="114">
        <f>'Area Category Method'!J6</f>
        <v>0.4</v>
      </c>
      <c r="L8" s="114">
        <f>'Area Category Method'!K6</f>
        <v>150</v>
      </c>
      <c r="M8" s="114">
        <f>'Area Category Method'!L6</f>
        <v>150</v>
      </c>
      <c r="N8" s="114">
        <f>'Area Category Method'!M6</f>
        <v>0</v>
      </c>
      <c r="O8" s="114">
        <f>'Area Category Method'!N6</f>
        <v>0</v>
      </c>
      <c r="P8" s="114">
        <f>'Area Category Method'!O6</f>
        <v>500</v>
      </c>
      <c r="Q8" s="114">
        <f>'Area Category Method'!P6</f>
        <v>500</v>
      </c>
      <c r="R8" s="114">
        <f>'Area Category Method'!Q6</f>
        <v>1.5</v>
      </c>
      <c r="S8" s="114">
        <f>'Area Category Method'!R6</f>
        <v>2</v>
      </c>
      <c r="T8" s="114" t="str">
        <f>'Area Category Method'!S6</f>
        <v>Retail</v>
      </c>
      <c r="U8" s="114" t="str">
        <f>'Area Category Method'!$S6&amp;U$86</f>
        <v>RetailOccupancy</v>
      </c>
      <c r="V8" s="114" t="str">
        <f>'Area Category Method'!$S6&amp;V$86</f>
        <v>RetailReceptacle</v>
      </c>
      <c r="W8" s="114" t="str">
        <f>'Area Category Method'!$S6&amp;W$86</f>
        <v>RetailServiceHotWater</v>
      </c>
      <c r="X8" s="114" t="str">
        <f>'Area Category Method'!$S6&amp;X$86</f>
        <v>RetailLights</v>
      </c>
      <c r="Y8" s="114" t="str">
        <f>'Area Category Method'!$S6&amp;Y$86</f>
        <v>RetailGasEquip</v>
      </c>
      <c r="Z8" s="114" t="str">
        <f>'Area Category Method'!$S6&amp;Z$86</f>
        <v>RetailRefrigeration</v>
      </c>
      <c r="AA8" s="114" t="str">
        <f>'Area Category Method'!$S6&amp;AA$86</f>
        <v>RetailInfiltration</v>
      </c>
      <c r="AB8" s="114" t="str">
        <f>'Area Category Method'!$S6&amp;AB$86</f>
        <v>RetailHVACAvail</v>
      </c>
      <c r="AC8" s="114" t="str">
        <f>'Area Category Method'!$S6&amp;AC$86</f>
        <v>RetailHtgSetpt</v>
      </c>
      <c r="AD8" s="114" t="str">
        <f>'Area Category Method'!$S6&amp;AD$86</f>
        <v>RetailClgSetpt</v>
      </c>
      <c r="AE8" s="114" t="str">
        <f>'Area Category Method'!$S6&amp;AE$86</f>
        <v>RetailElevator</v>
      </c>
      <c r="AF8" s="114" t="str">
        <f>'Area Category Method'!$S6&amp;AF$86</f>
        <v>RetailEscalator</v>
      </c>
      <c r="AG8" s="114" t="str">
        <f>'Area Category Method'!$S6&amp;AG$86</f>
        <v>RetailWtrHtrSetpt</v>
      </c>
      <c r="AH8" s="114" t="s">
        <v>352</v>
      </c>
    </row>
    <row r="9" spans="1:34" x14ac:dyDescent="0.25">
      <c r="B9" s="114" t="str">
        <f>TRIM(LEFT('Area Category Method'!$A7,IF(ISNUMBER(FIND(" (Note",'Area Category Method'!$A7,1)),FIND(" (Note",'Area Category Method'!$A7,1),99)))</f>
        <v>Classrooms, Lecture, Training, Vocational Areas</v>
      </c>
      <c r="C9" s="114">
        <f>'Area Category Method'!B7</f>
        <v>50</v>
      </c>
      <c r="D9" s="114">
        <f>'Area Category Method'!C7</f>
        <v>0.5</v>
      </c>
      <c r="E9" s="114">
        <f>'Area Category Method'!D7</f>
        <v>245</v>
      </c>
      <c r="F9" s="114">
        <f>'Area Category Method'!E7</f>
        <v>155</v>
      </c>
      <c r="G9" s="114">
        <f>'Area Category Method'!F7</f>
        <v>1</v>
      </c>
      <c r="H9" s="114">
        <f>'Area Category Method'!G7</f>
        <v>0.18</v>
      </c>
      <c r="I9" s="114">
        <f>'Area Category Method'!H7</f>
        <v>1.2</v>
      </c>
      <c r="J9" s="114">
        <f>'Area Category Method'!I7</f>
        <v>0.15</v>
      </c>
      <c r="K9" s="114">
        <f>'Area Category Method'!J7</f>
        <v>0.375</v>
      </c>
      <c r="L9" s="114">
        <f>'Area Category Method'!K7</f>
        <v>150</v>
      </c>
      <c r="M9" s="114">
        <f>'Area Category Method'!L7</f>
        <v>150</v>
      </c>
      <c r="N9" s="114">
        <f>'Area Category Method'!M7</f>
        <v>0</v>
      </c>
      <c r="O9" s="114">
        <f>'Area Category Method'!N7</f>
        <v>0</v>
      </c>
      <c r="P9" s="114">
        <f>'Area Category Method'!O7</f>
        <v>50</v>
      </c>
      <c r="Q9" s="114">
        <f>'Area Category Method'!P7</f>
        <v>500</v>
      </c>
      <c r="R9" s="114">
        <f>'Area Category Method'!Q7</f>
        <v>1.5</v>
      </c>
      <c r="S9" s="114">
        <f>'Area Category Method'!R7</f>
        <v>2</v>
      </c>
      <c r="T9" s="114" t="str">
        <f>'Area Category Method'!S7</f>
        <v>School</v>
      </c>
      <c r="U9" s="114" t="str">
        <f>'Area Category Method'!$S7&amp;U$86</f>
        <v>SchoolOccupancy</v>
      </c>
      <c r="V9" s="114" t="str">
        <f>'Area Category Method'!$S7&amp;V$86</f>
        <v>SchoolReceptacle</v>
      </c>
      <c r="W9" s="114" t="str">
        <f>'Area Category Method'!$S7&amp;W$86</f>
        <v>SchoolServiceHotWater</v>
      </c>
      <c r="X9" s="114" t="str">
        <f>'Area Category Method'!$S7&amp;X$86</f>
        <v>SchoolLights</v>
      </c>
      <c r="Y9" s="114" t="str">
        <f>'Area Category Method'!$S7&amp;Y$86</f>
        <v>SchoolGasEquip</v>
      </c>
      <c r="Z9" s="114" t="str">
        <f>'Area Category Method'!$S7&amp;Z$86</f>
        <v>SchoolRefrigeration</v>
      </c>
      <c r="AA9" s="114" t="str">
        <f>'Area Category Method'!$S7&amp;AA$86</f>
        <v>SchoolInfiltration</v>
      </c>
      <c r="AB9" s="114" t="str">
        <f>'Area Category Method'!$S7&amp;AB$86</f>
        <v>SchoolHVACAvail</v>
      </c>
      <c r="AC9" s="114" t="str">
        <f>'Area Category Method'!$S7&amp;AC$86</f>
        <v>SchoolHtgSetpt</v>
      </c>
      <c r="AD9" s="114" t="str">
        <f>'Area Category Method'!$S7&amp;AD$86</f>
        <v>SchoolClgSetpt</v>
      </c>
      <c r="AE9" s="114" t="str">
        <f>'Area Category Method'!$S7&amp;AE$86</f>
        <v>SchoolElevator</v>
      </c>
      <c r="AF9" s="114" t="str">
        <f>'Area Category Method'!$S7&amp;AF$86</f>
        <v>SchoolEscalator</v>
      </c>
      <c r="AG9" s="114" t="str">
        <f>'Area Category Method'!$S7&amp;AG$86</f>
        <v>SchoolWtrHtrSetpt</v>
      </c>
      <c r="AH9" s="114" t="s">
        <v>352</v>
      </c>
    </row>
    <row r="10" spans="1:34" x14ac:dyDescent="0.25">
      <c r="B10" s="114" t="str">
        <f>TRIM(LEFT('Area Category Method'!$A8,IF(ISNUMBER(FIND(" (Note",'Area Category Method'!$A8,1)),FIND(" (Note",'Area Category Method'!$A8,1),99)))</f>
        <v>Civic Meeting Place Area</v>
      </c>
      <c r="C10" s="114">
        <f>'Area Category Method'!B8</f>
        <v>66.666666666666671</v>
      </c>
      <c r="D10" s="114">
        <f>'Area Category Method'!C8</f>
        <v>0.5</v>
      </c>
      <c r="E10" s="114">
        <f>'Area Category Method'!D8</f>
        <v>250</v>
      </c>
      <c r="F10" s="114">
        <f>'Area Category Method'!E8</f>
        <v>200</v>
      </c>
      <c r="G10" s="114">
        <f>'Area Category Method'!F8</f>
        <v>1.5</v>
      </c>
      <c r="H10" s="114">
        <f>'Area Category Method'!G8</f>
        <v>0.18</v>
      </c>
      <c r="I10" s="114">
        <f>'Area Category Method'!H8</f>
        <v>1.3</v>
      </c>
      <c r="J10" s="114">
        <f>'Area Category Method'!I8</f>
        <v>0.15</v>
      </c>
      <c r="K10" s="114">
        <f>'Area Category Method'!J8</f>
        <v>0.5</v>
      </c>
      <c r="L10" s="114">
        <f>'Area Category Method'!K8</f>
        <v>150</v>
      </c>
      <c r="M10" s="114">
        <f>'Area Category Method'!L8</f>
        <v>150</v>
      </c>
      <c r="N10" s="114">
        <f>'Area Category Method'!M8</f>
        <v>0</v>
      </c>
      <c r="O10" s="114">
        <f>'Area Category Method'!N8</f>
        <v>0</v>
      </c>
      <c r="P10" s="114">
        <f>'Area Category Method'!O8</f>
        <v>30</v>
      </c>
      <c r="Q10" s="114">
        <f>'Area Category Method'!P8</f>
        <v>300</v>
      </c>
      <c r="R10" s="114">
        <f>'Area Category Method'!Q8</f>
        <v>1.5</v>
      </c>
      <c r="S10" s="114">
        <f>'Area Category Method'!R8</f>
        <v>2</v>
      </c>
      <c r="T10" s="114" t="str">
        <f>'Area Category Method'!S8</f>
        <v>Assembly</v>
      </c>
      <c r="U10" s="114" t="str">
        <f>'Area Category Method'!$S8&amp;U$86</f>
        <v>AssemblyOccupancy</v>
      </c>
      <c r="V10" s="114" t="str">
        <f>'Area Category Method'!$S8&amp;V$86</f>
        <v>AssemblyReceptacle</v>
      </c>
      <c r="W10" s="114" t="str">
        <f>'Area Category Method'!$S8&amp;W$86</f>
        <v>AssemblyServiceHotWater</v>
      </c>
      <c r="X10" s="114" t="str">
        <f>'Area Category Method'!$S8&amp;X$86</f>
        <v>AssemblyLights</v>
      </c>
      <c r="Y10" s="114" t="str">
        <f>'Area Category Method'!$S8&amp;Y$86</f>
        <v>AssemblyGasEquip</v>
      </c>
      <c r="Z10" s="114" t="str">
        <f>'Area Category Method'!$S8&amp;Z$86</f>
        <v>AssemblyRefrigeration</v>
      </c>
      <c r="AA10" s="114" t="str">
        <f>'Area Category Method'!$S8&amp;AA$86</f>
        <v>AssemblyInfiltration</v>
      </c>
      <c r="AB10" s="114" t="str">
        <f>'Area Category Method'!$S8&amp;AB$86</f>
        <v>AssemblyHVACAvail</v>
      </c>
      <c r="AC10" s="114" t="str">
        <f>'Area Category Method'!$S8&amp;AC$86</f>
        <v>AssemblyHtgSetpt</v>
      </c>
      <c r="AD10" s="114" t="str">
        <f>'Area Category Method'!$S8&amp;AD$86</f>
        <v>AssemblyClgSetpt</v>
      </c>
      <c r="AE10" s="114" t="str">
        <f>'Area Category Method'!$S8&amp;AE$86</f>
        <v>AssemblyElevator</v>
      </c>
      <c r="AF10" s="114" t="str">
        <f>'Area Category Method'!$S8&amp;AF$86</f>
        <v>AssemblyEscalator</v>
      </c>
      <c r="AG10" s="114" t="str">
        <f>'Area Category Method'!$S8&amp;AG$86</f>
        <v>AssemblyWtrHtrSetpt</v>
      </c>
      <c r="AH10" s="114" t="s">
        <v>352</v>
      </c>
    </row>
    <row r="11" spans="1:34" x14ac:dyDescent="0.25">
      <c r="B11" s="114" t="str">
        <f>TRIM(LEFT('Area Category Method'!$A9,IF(ISNUMBER(FIND(" (Note",'Area Category Method'!$A9,1)),FIND(" (Note",'Area Category Method'!$A9,1),99)))</f>
        <v>Commercial and Industrial Storage Areas (conditioned or unconditioned)</v>
      </c>
      <c r="C11" s="114">
        <f>'Area Category Method'!B9</f>
        <v>2</v>
      </c>
      <c r="D11" s="114">
        <f>'Area Category Method'!C9</f>
        <v>0.5</v>
      </c>
      <c r="E11" s="114">
        <f>'Area Category Method'!D9</f>
        <v>275</v>
      </c>
      <c r="F11" s="114">
        <f>'Area Category Method'!E9</f>
        <v>475</v>
      </c>
      <c r="G11" s="114">
        <f>'Area Category Method'!F9</f>
        <v>0.2</v>
      </c>
      <c r="H11" s="114">
        <f>'Area Category Method'!G9</f>
        <v>0.18</v>
      </c>
      <c r="I11" s="114">
        <f>'Area Category Method'!H9</f>
        <v>0.6</v>
      </c>
      <c r="J11" s="114">
        <f>'Area Category Method'!I9</f>
        <v>0.15</v>
      </c>
      <c r="K11" s="114">
        <f>'Area Category Method'!J9</f>
        <v>0.15</v>
      </c>
      <c r="L11" s="114">
        <f>'Area Category Method'!K9</f>
        <v>8760</v>
      </c>
      <c r="M11" s="114">
        <f>'Area Category Method'!L9</f>
        <v>8760</v>
      </c>
      <c r="N11" s="114">
        <f>'Area Category Method'!M9</f>
        <v>0</v>
      </c>
      <c r="O11" s="114">
        <f>'Area Category Method'!N9</f>
        <v>0</v>
      </c>
      <c r="P11" s="114">
        <f>'Area Category Method'!O9</f>
        <v>50</v>
      </c>
      <c r="Q11" s="114">
        <f>'Area Category Method'!P9</f>
        <v>300</v>
      </c>
      <c r="R11" s="114">
        <f>'Area Category Method'!Q9</f>
        <v>1.5</v>
      </c>
      <c r="S11" s="114">
        <f>'Area Category Method'!R9</f>
        <v>2</v>
      </c>
      <c r="T11" s="114" t="str">
        <f>'Area Category Method'!S9</f>
        <v>Warehouse</v>
      </c>
      <c r="U11" s="114" t="str">
        <f>'Area Category Method'!$S9&amp;U$86</f>
        <v>WarehouseOccupancy</v>
      </c>
      <c r="V11" s="114" t="str">
        <f>'Area Category Method'!$S9&amp;V$86</f>
        <v>WarehouseReceptacle</v>
      </c>
      <c r="W11" s="114" t="str">
        <f>'Area Category Method'!$S9&amp;W$86</f>
        <v>WarehouseServiceHotWater</v>
      </c>
      <c r="X11" s="114" t="str">
        <f>'Area Category Method'!$S9&amp;X$86</f>
        <v>WarehouseLights</v>
      </c>
      <c r="Y11" s="114" t="str">
        <f>'Area Category Method'!$S9&amp;Y$86</f>
        <v>WarehouseGasEquip</v>
      </c>
      <c r="Z11" s="114" t="str">
        <f>'Area Category Method'!$S9&amp;Z$86</f>
        <v>WarehouseRefrigeration</v>
      </c>
      <c r="AA11" s="114" t="str">
        <f>'Area Category Method'!$S9&amp;AA$86</f>
        <v>WarehouseInfiltration</v>
      </c>
      <c r="AB11" s="114" t="str">
        <f>'Area Category Method'!$S9&amp;AB$86</f>
        <v>WarehouseHVACAvail</v>
      </c>
      <c r="AC11" s="114" t="str">
        <f>'Area Category Method'!$S9&amp;AC$86</f>
        <v>WarehouseHtgSetpt</v>
      </c>
      <c r="AD11" s="114" t="str">
        <f>'Area Category Method'!$S9&amp;AD$86</f>
        <v>WarehouseClgSetpt</v>
      </c>
      <c r="AE11" s="114" t="str">
        <f>'Area Category Method'!$S9&amp;AE$86</f>
        <v>WarehouseElevator</v>
      </c>
      <c r="AF11" s="114" t="str">
        <f>'Area Category Method'!$S9&amp;AF$86</f>
        <v>WarehouseEscalator</v>
      </c>
      <c r="AG11" s="114" t="str">
        <f>'Area Category Method'!$S9&amp;AG$86</f>
        <v>WarehouseWtrHtrSetpt</v>
      </c>
      <c r="AH11" s="114" t="s">
        <v>352</v>
      </c>
    </row>
    <row r="12" spans="1:34" x14ac:dyDescent="0.25">
      <c r="B12" s="114" t="str">
        <f>TRIM(LEFT('Area Category Method'!$A10,IF(ISNUMBER(FIND(" (Note",'Area Category Method'!$A10,1)),FIND(" (Note",'Area Category Method'!$A10,1),99)))</f>
        <v>Commercial and Industrial Storage Areas (refrigerated)</v>
      </c>
      <c r="C12" s="114">
        <f>'Area Category Method'!B10</f>
        <v>0</v>
      </c>
      <c r="D12" s="114">
        <f>'Area Category Method'!C10</f>
        <v>0.5</v>
      </c>
      <c r="E12" s="114">
        <f>'Area Category Method'!D10</f>
        <v>275</v>
      </c>
      <c r="F12" s="114">
        <f>'Area Category Method'!E10</f>
        <v>475</v>
      </c>
      <c r="G12" s="114">
        <f>'Area Category Method'!F10</f>
        <v>0.2</v>
      </c>
      <c r="H12" s="114">
        <f>'Area Category Method'!G10</f>
        <v>0.18</v>
      </c>
      <c r="I12" s="114">
        <f>'Area Category Method'!H10</f>
        <v>0.7</v>
      </c>
      <c r="J12" s="114">
        <f>'Area Category Method'!I10</f>
        <v>0.15</v>
      </c>
      <c r="K12" s="114">
        <f>'Area Category Method'!J10</f>
        <v>0.15</v>
      </c>
      <c r="L12" s="114">
        <f>'Area Category Method'!K10</f>
        <v>8760</v>
      </c>
      <c r="M12" s="114">
        <f>'Area Category Method'!L10</f>
        <v>8760</v>
      </c>
      <c r="N12" s="114">
        <f>'Area Category Method'!M10</f>
        <v>0</v>
      </c>
      <c r="O12" s="114">
        <f>'Area Category Method'!N10</f>
        <v>10</v>
      </c>
      <c r="P12" s="114">
        <f>'Area Category Method'!O10</f>
        <v>50</v>
      </c>
      <c r="Q12" s="114">
        <f>'Area Category Method'!P10</f>
        <v>300</v>
      </c>
      <c r="R12" s="114">
        <f>'Area Category Method'!Q10</f>
        <v>1.5</v>
      </c>
      <c r="S12" s="114">
        <f>'Area Category Method'!R10</f>
        <v>2</v>
      </c>
      <c r="T12" s="114" t="str">
        <f>'Area Category Method'!S10</f>
        <v>Warehouse</v>
      </c>
      <c r="U12" s="114" t="str">
        <f>'Area Category Method'!$S10&amp;U$86</f>
        <v>WarehouseOccupancy</v>
      </c>
      <c r="V12" s="114" t="str">
        <f>'Area Category Method'!$S10&amp;V$86</f>
        <v>WarehouseReceptacle</v>
      </c>
      <c r="W12" s="114" t="str">
        <f>'Area Category Method'!$S10&amp;W$86</f>
        <v>WarehouseServiceHotWater</v>
      </c>
      <c r="X12" s="114" t="str">
        <f>'Area Category Method'!$S10&amp;X$86</f>
        <v>WarehouseLights</v>
      </c>
      <c r="Y12" s="114" t="str">
        <f>'Area Category Method'!$S10&amp;Y$86</f>
        <v>WarehouseGasEquip</v>
      </c>
      <c r="Z12" s="114" t="str">
        <f>'Area Category Method'!$S10&amp;Z$86</f>
        <v>WarehouseRefrigeration</v>
      </c>
      <c r="AA12" s="114" t="str">
        <f>'Area Category Method'!$S10&amp;AA$86</f>
        <v>WarehouseInfiltration</v>
      </c>
      <c r="AB12" s="114" t="str">
        <f>'Area Category Method'!$S10&amp;AB$86</f>
        <v>WarehouseHVACAvail</v>
      </c>
      <c r="AC12" s="114" t="str">
        <f>'Area Category Method'!$S10&amp;AC$86</f>
        <v>WarehouseHtgSetpt</v>
      </c>
      <c r="AD12" s="114" t="str">
        <f>'Area Category Method'!$S10&amp;AD$86</f>
        <v>WarehouseClgSetpt</v>
      </c>
      <c r="AE12" s="114" t="str">
        <f>'Area Category Method'!$S10&amp;AE$86</f>
        <v>WarehouseElevator</v>
      </c>
      <c r="AF12" s="114" t="str">
        <f>'Area Category Method'!$S10&amp;AF$86</f>
        <v>WarehouseEscalator</v>
      </c>
      <c r="AG12" s="114" t="str">
        <f>'Area Category Method'!$S10&amp;AG$86</f>
        <v>WarehouseWtrHtrSetpt</v>
      </c>
      <c r="AH12" s="114" t="s">
        <v>352</v>
      </c>
    </row>
    <row r="13" spans="1:34" x14ac:dyDescent="0.25">
      <c r="B13" s="114" t="str">
        <f>TRIM(LEFT('Area Category Method'!$A11,IF(ISNUMBER(FIND(" (Note",'Area Category Method'!$A11,1)),FIND(" (Note",'Area Category Method'!$A11,1),99)))</f>
        <v>Computer Room</v>
      </c>
      <c r="C13" s="114">
        <f>'Area Category Method'!B11</f>
        <v>3</v>
      </c>
      <c r="D13" s="114">
        <f>'Area Category Method'!C11</f>
        <v>0.5</v>
      </c>
      <c r="E13" s="114">
        <f>'Area Category Method'!D11</f>
        <v>275</v>
      </c>
      <c r="F13" s="114">
        <f>'Area Category Method'!E11</f>
        <v>475</v>
      </c>
      <c r="G13" s="114">
        <v>20</v>
      </c>
      <c r="H13" s="114">
        <f>'Area Category Method'!G11</f>
        <v>0.18</v>
      </c>
      <c r="I13" s="114">
        <f>'Area Category Method'!H11</f>
        <v>0.8</v>
      </c>
      <c r="J13" s="114">
        <f>'Area Category Method'!I11</f>
        <v>0.15</v>
      </c>
      <c r="K13" s="114">
        <f>'Area Category Method'!J11</f>
        <v>0.15</v>
      </c>
      <c r="L13" s="114">
        <f>'Area Category Method'!K11</f>
        <v>150</v>
      </c>
      <c r="M13" s="114">
        <f>'Area Category Method'!L11</f>
        <v>150</v>
      </c>
      <c r="N13" s="114">
        <f>'Area Category Method'!M11</f>
        <v>0</v>
      </c>
      <c r="O13" s="114">
        <f>'Area Category Method'!N11</f>
        <v>0</v>
      </c>
      <c r="P13" s="114">
        <f>'Area Category Method'!O11</f>
        <v>75</v>
      </c>
      <c r="Q13" s="114">
        <f>'Area Category Method'!P11</f>
        <v>300</v>
      </c>
      <c r="R13" s="114">
        <f>'Area Category Method'!Q11</f>
        <v>1</v>
      </c>
      <c r="S13" s="114">
        <f>'Area Category Method'!R11</f>
        <v>4</v>
      </c>
      <c r="T13" s="114" t="str">
        <f>'Area Category Method'!S11</f>
        <v>Data</v>
      </c>
      <c r="U13" s="114" t="str">
        <f>'Area Category Method'!$S11&amp;U$86</f>
        <v>DataOccupancy</v>
      </c>
      <c r="V13" s="114" t="str">
        <f>'Area Category Method'!$S11&amp;V$86</f>
        <v>DataReceptacle</v>
      </c>
      <c r="W13" s="114" t="str">
        <f>'Area Category Method'!$S11&amp;W$86</f>
        <v>DataServiceHotWater</v>
      </c>
      <c r="X13" s="114" t="str">
        <f>'Area Category Method'!$S11&amp;X$86</f>
        <v>DataLights</v>
      </c>
      <c r="Y13" s="114" t="str">
        <f>'Area Category Method'!$S11&amp;Y$86</f>
        <v>DataGasEquip</v>
      </c>
      <c r="Z13" s="114" t="str">
        <f>'Area Category Method'!$S11&amp;Z$86</f>
        <v>DataRefrigeration</v>
      </c>
      <c r="AA13" s="114" t="str">
        <f>'Area Category Method'!$S11&amp;AA$86</f>
        <v>DataInfiltration</v>
      </c>
      <c r="AB13" s="114" t="str">
        <f>'Area Category Method'!$S11&amp;AB$86</f>
        <v>DataHVACAvail</v>
      </c>
      <c r="AC13" s="114" t="str">
        <f>'Area Category Method'!$S11&amp;AC$86</f>
        <v>DataHtgSetpt</v>
      </c>
      <c r="AD13" s="114" t="str">
        <f>'Area Category Method'!$S11&amp;AD$86</f>
        <v>DataClgSetpt</v>
      </c>
      <c r="AE13" s="114" t="str">
        <f>'Area Category Method'!$S11&amp;AE$86</f>
        <v>DataElevator</v>
      </c>
      <c r="AF13" s="114" t="str">
        <f>'Area Category Method'!$S11&amp;AF$86</f>
        <v>DataEscalator</v>
      </c>
      <c r="AG13" s="114" t="str">
        <f>'Area Category Method'!$S11&amp;AG$86</f>
        <v>DataWtrHtrSetpt</v>
      </c>
      <c r="AH13" s="114" t="s">
        <v>352</v>
      </c>
    </row>
    <row r="14" spans="1:34" x14ac:dyDescent="0.25">
      <c r="B14" s="114" t="str">
        <f>TRIM(LEFT('Area Category Method'!$A12,IF(ISNUMBER(FIND(" (Note",'Area Category Method'!$A12,1)),FIND(" (Note",'Area Category Method'!$A12,1),99)))</f>
        <v>Convention, Conference, Multipurpose and Meeting Center Areas</v>
      </c>
      <c r="C14" s="114">
        <f>'Area Category Method'!B12</f>
        <v>66.666666666666671</v>
      </c>
      <c r="D14" s="114">
        <f>'Area Category Method'!C12</f>
        <v>0.5</v>
      </c>
      <c r="E14" s="114">
        <f>'Area Category Method'!D12</f>
        <v>245</v>
      </c>
      <c r="F14" s="114">
        <f>'Area Category Method'!E12</f>
        <v>155</v>
      </c>
      <c r="G14" s="114">
        <f>'Area Category Method'!F12</f>
        <v>1</v>
      </c>
      <c r="H14" s="114">
        <f>'Area Category Method'!G12</f>
        <v>0.09</v>
      </c>
      <c r="I14" s="114">
        <f>'Area Category Method'!H12</f>
        <v>1.4</v>
      </c>
      <c r="J14" s="114">
        <f>'Area Category Method'!I12</f>
        <v>0.15</v>
      </c>
      <c r="K14" s="114">
        <f>'Area Category Method'!J12</f>
        <v>0.5</v>
      </c>
      <c r="L14" s="114">
        <f>'Area Category Method'!K12</f>
        <v>150</v>
      </c>
      <c r="M14" s="114">
        <f>'Area Category Method'!L12</f>
        <v>150</v>
      </c>
      <c r="N14" s="114">
        <f>'Area Category Method'!M12</f>
        <v>0</v>
      </c>
      <c r="O14" s="114">
        <f>'Area Category Method'!N12</f>
        <v>0</v>
      </c>
      <c r="P14" s="114">
        <f>'Area Category Method'!O12</f>
        <v>30</v>
      </c>
      <c r="Q14" s="114">
        <f>'Area Category Method'!P12</f>
        <v>300</v>
      </c>
      <c r="R14" s="114">
        <f>'Area Category Method'!Q12</f>
        <v>1.5</v>
      </c>
      <c r="S14" s="114">
        <f>'Area Category Method'!R12</f>
        <v>2</v>
      </c>
      <c r="T14" s="114" t="str">
        <f>'Area Category Method'!S12</f>
        <v>Assembly</v>
      </c>
      <c r="U14" s="114" t="str">
        <f>'Area Category Method'!$S12&amp;U$86</f>
        <v>AssemblyOccupancy</v>
      </c>
      <c r="V14" s="114" t="str">
        <f>'Area Category Method'!$S12&amp;V$86</f>
        <v>AssemblyReceptacle</v>
      </c>
      <c r="W14" s="114" t="str">
        <f>'Area Category Method'!$S12&amp;W$86</f>
        <v>AssemblyServiceHotWater</v>
      </c>
      <c r="X14" s="114" t="str">
        <f>'Area Category Method'!$S12&amp;X$86</f>
        <v>AssemblyLights</v>
      </c>
      <c r="Y14" s="114" t="str">
        <f>'Area Category Method'!$S12&amp;Y$86</f>
        <v>AssemblyGasEquip</v>
      </c>
      <c r="Z14" s="114" t="str">
        <f>'Area Category Method'!$S12&amp;Z$86</f>
        <v>AssemblyRefrigeration</v>
      </c>
      <c r="AA14" s="114" t="str">
        <f>'Area Category Method'!$S12&amp;AA$86</f>
        <v>AssemblyInfiltration</v>
      </c>
      <c r="AB14" s="114" t="str">
        <f>'Area Category Method'!$S12&amp;AB$86</f>
        <v>AssemblyHVACAvail</v>
      </c>
      <c r="AC14" s="114" t="str">
        <f>'Area Category Method'!$S12&amp;AC$86</f>
        <v>AssemblyHtgSetpt</v>
      </c>
      <c r="AD14" s="114" t="str">
        <f>'Area Category Method'!$S12&amp;AD$86</f>
        <v>AssemblyClgSetpt</v>
      </c>
      <c r="AE14" s="114" t="str">
        <f>'Area Category Method'!$S12&amp;AE$86</f>
        <v>AssemblyElevator</v>
      </c>
      <c r="AF14" s="114" t="str">
        <f>'Area Category Method'!$S12&amp;AF$86</f>
        <v>AssemblyEscalator</v>
      </c>
      <c r="AG14" s="114" t="str">
        <f>'Area Category Method'!$S12&amp;AG$86</f>
        <v>AssemblyWtrHtrSetpt</v>
      </c>
      <c r="AH14" s="114" t="s">
        <v>352</v>
      </c>
    </row>
    <row r="15" spans="1:34" x14ac:dyDescent="0.25">
      <c r="B15" s="114" t="str">
        <f>TRIM(LEFT('Area Category Method'!$A13,IF(ISNUMBER(FIND(" (Note",'Area Category Method'!$A13,1)),FIND(" (Note",'Area Category Method'!$A13,1),99)))</f>
        <v>Corridors, Restrooms, Stairs, and Support Areas</v>
      </c>
      <c r="C15" s="114">
        <f>'Area Category Method'!B13</f>
        <v>10</v>
      </c>
      <c r="D15" s="114">
        <f>'Area Category Method'!C13</f>
        <v>0.5</v>
      </c>
      <c r="E15" s="114">
        <f>'Area Category Method'!D13</f>
        <v>250</v>
      </c>
      <c r="F15" s="114">
        <f>'Area Category Method'!E13</f>
        <v>250</v>
      </c>
      <c r="G15" s="114">
        <f>'Area Category Method'!F13</f>
        <v>0.2</v>
      </c>
      <c r="H15" s="114">
        <f>'Area Category Method'!G13</f>
        <v>0</v>
      </c>
      <c r="I15" s="114">
        <f>'Area Category Method'!H13</f>
        <v>0.6</v>
      </c>
      <c r="J15" s="114">
        <f>'Area Category Method'!I13</f>
        <v>0.15</v>
      </c>
      <c r="K15" s="114">
        <f>'Area Category Method'!J13</f>
        <v>0.15</v>
      </c>
      <c r="L15" s="114">
        <f>'Area Category Method'!K13</f>
        <v>8760</v>
      </c>
      <c r="M15" s="114">
        <f>'Area Category Method'!L13</f>
        <v>8760</v>
      </c>
      <c r="N15" s="114">
        <f>'Area Category Method'!M13</f>
        <v>0</v>
      </c>
      <c r="O15" s="114">
        <f>'Area Category Method'!N13</f>
        <v>0</v>
      </c>
      <c r="P15" s="114">
        <f>'Area Category Method'!O13</f>
        <v>50</v>
      </c>
      <c r="Q15" s="114">
        <f>'Area Category Method'!P13</f>
        <v>100</v>
      </c>
      <c r="R15" s="114">
        <f>'Area Category Method'!Q13</f>
        <v>1.5</v>
      </c>
      <c r="S15" s="114">
        <f>'Area Category Method'!R13</f>
        <v>2</v>
      </c>
      <c r="T15" s="114" t="str">
        <f>'Area Category Method'!S13</f>
        <v>Office</v>
      </c>
      <c r="U15" s="114" t="str">
        <f>'Area Category Method'!$S13&amp;U$86</f>
        <v>OfficeOccupancy</v>
      </c>
      <c r="V15" s="114" t="str">
        <f>'Area Category Method'!$S13&amp;V$86</f>
        <v>OfficeReceptacle</v>
      </c>
      <c r="W15" s="114" t="str">
        <f>'Area Category Method'!$S13&amp;W$86</f>
        <v>OfficeServiceHotWater</v>
      </c>
      <c r="X15" s="114" t="str">
        <f>'Area Category Method'!$S13&amp;X$86</f>
        <v>OfficeLights</v>
      </c>
      <c r="Y15" s="114" t="str">
        <f>'Area Category Method'!$S13&amp;Y$86</f>
        <v>OfficeGasEquip</v>
      </c>
      <c r="Z15" s="114" t="str">
        <f>'Area Category Method'!$S13&amp;Z$86</f>
        <v>OfficeRefrigeration</v>
      </c>
      <c r="AA15" s="114" t="str">
        <f>'Area Category Method'!$S13&amp;AA$86</f>
        <v>OfficeInfiltration</v>
      </c>
      <c r="AB15" s="114" t="str">
        <f>'Area Category Method'!$S13&amp;AB$86</f>
        <v>OfficeHVACAvail</v>
      </c>
      <c r="AC15" s="114" t="str">
        <f>'Area Category Method'!$S13&amp;AC$86</f>
        <v>OfficeHtgSetpt</v>
      </c>
      <c r="AD15" s="114" t="str">
        <f>'Area Category Method'!$S13&amp;AD$86</f>
        <v>OfficeClgSetpt</v>
      </c>
      <c r="AE15" s="114" t="str">
        <f>'Area Category Method'!$S13&amp;AE$86</f>
        <v>OfficeElevator</v>
      </c>
      <c r="AF15" s="114" t="str">
        <f>'Area Category Method'!$S13&amp;AF$86</f>
        <v>OfficeEscalator</v>
      </c>
      <c r="AG15" s="114" t="str">
        <f>'Area Category Method'!$S13&amp;AG$86</f>
        <v>OfficeWtrHtrSetpt</v>
      </c>
      <c r="AH15" s="114" t="s">
        <v>352</v>
      </c>
    </row>
    <row r="16" spans="1:34" x14ac:dyDescent="0.25">
      <c r="B16" s="114" t="str">
        <f>TRIM(LEFT('Area Category Method'!$A14,IF(ISNUMBER(FIND(" (Note",'Area Category Method'!$A14,1)),FIND(" (Note",'Area Category Method'!$A14,1),99)))</f>
        <v>Dining Area</v>
      </c>
      <c r="C16" s="114">
        <f>'Area Category Method'!B14</f>
        <v>66.666666666666671</v>
      </c>
      <c r="D16" s="114">
        <f>'Area Category Method'!C14</f>
        <v>0.5</v>
      </c>
      <c r="E16" s="114">
        <f>'Area Category Method'!D14</f>
        <v>275</v>
      </c>
      <c r="F16" s="114">
        <f>'Area Category Method'!E14</f>
        <v>275</v>
      </c>
      <c r="G16" s="114">
        <f>'Area Category Method'!F14</f>
        <v>0.5</v>
      </c>
      <c r="H16" s="114">
        <f>'Area Category Method'!G14</f>
        <v>0.57799999999999996</v>
      </c>
      <c r="I16" s="114">
        <f>'Area Category Method'!H14</f>
        <v>1.1000000000000001</v>
      </c>
      <c r="J16" s="114">
        <f>'Area Category Method'!I14</f>
        <v>0.15</v>
      </c>
      <c r="K16" s="114">
        <f>'Area Category Method'!J14</f>
        <v>0.5</v>
      </c>
      <c r="L16" s="114">
        <f>'Area Category Method'!K14</f>
        <v>150</v>
      </c>
      <c r="M16" s="114">
        <f>'Area Category Method'!L14</f>
        <v>150</v>
      </c>
      <c r="N16" s="114">
        <f>'Area Category Method'!M14</f>
        <v>0</v>
      </c>
      <c r="O16" s="114">
        <f>'Area Category Method'!N14</f>
        <v>0</v>
      </c>
      <c r="P16" s="114">
        <f>'Area Category Method'!O14</f>
        <v>50</v>
      </c>
      <c r="Q16" s="114">
        <f>'Area Category Method'!P14</f>
        <v>200</v>
      </c>
      <c r="R16" s="114">
        <f>'Area Category Method'!Q14</f>
        <v>1.5</v>
      </c>
      <c r="S16" s="114">
        <f>'Area Category Method'!R14</f>
        <v>2</v>
      </c>
      <c r="T16" s="114" t="str">
        <f>'Area Category Method'!S14</f>
        <v>Restaurant</v>
      </c>
      <c r="U16" s="114" t="str">
        <f>'Area Category Method'!$S14&amp;U$86</f>
        <v>RestaurantOccupancy</v>
      </c>
      <c r="V16" s="114" t="str">
        <f>'Area Category Method'!$S14&amp;V$86</f>
        <v>RestaurantReceptacle</v>
      </c>
      <c r="W16" s="114" t="str">
        <f>'Area Category Method'!$S14&amp;W$86</f>
        <v>RestaurantServiceHotWater</v>
      </c>
      <c r="X16" s="114" t="str">
        <f>'Area Category Method'!$S14&amp;X$86</f>
        <v>RestaurantLights</v>
      </c>
      <c r="Y16" s="114" t="str">
        <f>'Area Category Method'!$S14&amp;Y$86</f>
        <v>RestaurantGasEquip</v>
      </c>
      <c r="Z16" s="114" t="str">
        <f>'Area Category Method'!$S14&amp;Z$86</f>
        <v>RestaurantRefrigeration</v>
      </c>
      <c r="AA16" s="114" t="str">
        <f>'Area Category Method'!$S14&amp;AA$86</f>
        <v>RestaurantInfiltration</v>
      </c>
      <c r="AB16" s="114" t="str">
        <f>'Area Category Method'!$S14&amp;AB$86</f>
        <v>RestaurantHVACAvail</v>
      </c>
      <c r="AC16" s="114" t="str">
        <f>'Area Category Method'!$S14&amp;AC$86</f>
        <v>RestaurantHtgSetpt</v>
      </c>
      <c r="AD16" s="114" t="str">
        <f>'Area Category Method'!$S14&amp;AD$86</f>
        <v>RestaurantClgSetpt</v>
      </c>
      <c r="AE16" s="114" t="str">
        <f>'Area Category Method'!$S14&amp;AE$86</f>
        <v>RestaurantElevator</v>
      </c>
      <c r="AF16" s="114" t="str">
        <f>'Area Category Method'!$S14&amp;AF$86</f>
        <v>RestaurantEscalator</v>
      </c>
      <c r="AG16" s="114" t="str">
        <f>'Area Category Method'!$S14&amp;AG$86</f>
        <v>RestaurantWtrHtrSetpt</v>
      </c>
      <c r="AH16" s="114" t="s">
        <v>352</v>
      </c>
    </row>
    <row r="17" spans="2:34" x14ac:dyDescent="0.25">
      <c r="B17" s="114" t="str">
        <f>TRIM(LEFT('Area Category Method'!$A15,IF(ISNUMBER(FIND(" (Note",'Area Category Method'!$A15,1)),FIND(" (Note",'Area Category Method'!$A15,1),99)))</f>
        <v>Dry Cleaning (Coin Operated)</v>
      </c>
      <c r="C17" s="114">
        <f>'Area Category Method'!B15</f>
        <v>10</v>
      </c>
      <c r="D17" s="114">
        <f>'Area Category Method'!C15</f>
        <v>0.5</v>
      </c>
      <c r="E17" s="114">
        <f>'Area Category Method'!D15</f>
        <v>250</v>
      </c>
      <c r="F17" s="114">
        <f>'Area Category Method'!E15</f>
        <v>250</v>
      </c>
      <c r="G17" s="114">
        <f>'Area Category Method'!F15</f>
        <v>3</v>
      </c>
      <c r="H17" s="114">
        <f>'Area Category Method'!G15</f>
        <v>0.18</v>
      </c>
      <c r="I17" s="114">
        <f>'Area Category Method'!H15</f>
        <v>0.9</v>
      </c>
      <c r="J17" s="114">
        <f>'Area Category Method'!I15</f>
        <v>0.3</v>
      </c>
      <c r="K17" s="114">
        <f>'Area Category Method'!J15</f>
        <v>0.3</v>
      </c>
      <c r="L17" s="114">
        <f>'Area Category Method'!K15</f>
        <v>150</v>
      </c>
      <c r="M17" s="114">
        <f>'Area Category Method'!L15</f>
        <v>150</v>
      </c>
      <c r="N17" s="114">
        <f>'Area Category Method'!M15</f>
        <v>0.75063999999999997</v>
      </c>
      <c r="O17" s="114">
        <f>'Area Category Method'!N15</f>
        <v>0</v>
      </c>
      <c r="P17" s="114">
        <f>'Area Category Method'!O15</f>
        <v>300</v>
      </c>
      <c r="Q17" s="114">
        <f>'Area Category Method'!P15</f>
        <v>300</v>
      </c>
      <c r="R17" s="114">
        <f>'Area Category Method'!Q15</f>
        <v>1.5</v>
      </c>
      <c r="S17" s="114">
        <f>'Area Category Method'!R15</f>
        <v>2</v>
      </c>
      <c r="T17" s="114" t="str">
        <f>'Area Category Method'!S15</f>
        <v>Manufacturing</v>
      </c>
      <c r="U17" s="114" t="str">
        <f>'Area Category Method'!$S15&amp;U$86</f>
        <v>ManufacturingOccupancy</v>
      </c>
      <c r="V17" s="114" t="str">
        <f>'Area Category Method'!$S15&amp;V$86</f>
        <v>ManufacturingReceptacle</v>
      </c>
      <c r="W17" s="114" t="str">
        <f>'Area Category Method'!$S15&amp;W$86</f>
        <v>ManufacturingServiceHotWater</v>
      </c>
      <c r="X17" s="114" t="str">
        <f>'Area Category Method'!$S15&amp;X$86</f>
        <v>ManufacturingLights</v>
      </c>
      <c r="Y17" s="114" t="str">
        <f>'Area Category Method'!$S15&amp;Y$86</f>
        <v>ManufacturingGasEquip</v>
      </c>
      <c r="Z17" s="114" t="str">
        <f>'Area Category Method'!$S15&amp;Z$86</f>
        <v>ManufacturingRefrigeration</v>
      </c>
      <c r="AA17" s="114" t="str">
        <f>'Area Category Method'!$S15&amp;AA$86</f>
        <v>ManufacturingInfiltration</v>
      </c>
      <c r="AB17" s="114" t="str">
        <f>'Area Category Method'!$S15&amp;AB$86</f>
        <v>ManufacturingHVACAvail</v>
      </c>
      <c r="AC17" s="114" t="str">
        <f>'Area Category Method'!$S15&amp;AC$86</f>
        <v>ManufacturingHtgSetpt</v>
      </c>
      <c r="AD17" s="114" t="str">
        <f>'Area Category Method'!$S15&amp;AD$86</f>
        <v>ManufacturingClgSetpt</v>
      </c>
      <c r="AE17" s="114" t="str">
        <f>'Area Category Method'!$S15&amp;AE$86</f>
        <v>ManufacturingElevator</v>
      </c>
      <c r="AF17" s="114" t="str">
        <f>'Area Category Method'!$S15&amp;AF$86</f>
        <v>ManufacturingEscalator</v>
      </c>
      <c r="AG17" s="114" t="str">
        <f>'Area Category Method'!$S15&amp;AG$86</f>
        <v>ManufacturingWtrHtrSetpt</v>
      </c>
      <c r="AH17" s="114" t="s">
        <v>352</v>
      </c>
    </row>
    <row r="18" spans="2:34" x14ac:dyDescent="0.25">
      <c r="B18" s="114" t="str">
        <f>TRIM(LEFT('Area Category Method'!$A16,IF(ISNUMBER(FIND(" (Note",'Area Category Method'!$A16,1)),FIND(" (Note",'Area Category Method'!$A16,1),99)))</f>
        <v>Dry Cleaning (Full Service Commercial)</v>
      </c>
      <c r="C18" s="114">
        <f>'Area Category Method'!B16</f>
        <v>10</v>
      </c>
      <c r="D18" s="114">
        <f>'Area Category Method'!C16</f>
        <v>0.5</v>
      </c>
      <c r="E18" s="114">
        <f>'Area Category Method'!D16</f>
        <v>250</v>
      </c>
      <c r="F18" s="114">
        <f>'Area Category Method'!E16</f>
        <v>250</v>
      </c>
      <c r="G18" s="114">
        <f>'Area Category Method'!F16</f>
        <v>3</v>
      </c>
      <c r="H18" s="114">
        <f>'Area Category Method'!G16</f>
        <v>0.18</v>
      </c>
      <c r="I18" s="114">
        <f>'Area Category Method'!H16</f>
        <v>0.9</v>
      </c>
      <c r="J18" s="114">
        <f>'Area Category Method'!I16</f>
        <v>0.45</v>
      </c>
      <c r="K18" s="114">
        <f>'Area Category Method'!J16</f>
        <v>0.45</v>
      </c>
      <c r="L18" s="114">
        <f>'Area Category Method'!K16</f>
        <v>150</v>
      </c>
      <c r="M18" s="114">
        <f>'Area Category Method'!L16</f>
        <v>150</v>
      </c>
      <c r="N18" s="114">
        <f>'Area Category Method'!M16</f>
        <v>0.75063999999999997</v>
      </c>
      <c r="O18" s="114">
        <f>'Area Category Method'!N16</f>
        <v>0</v>
      </c>
      <c r="P18" s="114">
        <f>'Area Category Method'!O16</f>
        <v>300</v>
      </c>
      <c r="Q18" s="114">
        <f>'Area Category Method'!P16</f>
        <v>300</v>
      </c>
      <c r="R18" s="114">
        <f>'Area Category Method'!Q16</f>
        <v>1.5</v>
      </c>
      <c r="S18" s="114">
        <f>'Area Category Method'!R16</f>
        <v>2</v>
      </c>
      <c r="T18" s="114" t="str">
        <f>'Area Category Method'!S16</f>
        <v>Manufacturing</v>
      </c>
      <c r="U18" s="114" t="str">
        <f>'Area Category Method'!$S16&amp;U$86</f>
        <v>ManufacturingOccupancy</v>
      </c>
      <c r="V18" s="114" t="str">
        <f>'Area Category Method'!$S16&amp;V$86</f>
        <v>ManufacturingReceptacle</v>
      </c>
      <c r="W18" s="114" t="str">
        <f>'Area Category Method'!$S16&amp;W$86</f>
        <v>ManufacturingServiceHotWater</v>
      </c>
      <c r="X18" s="114" t="str">
        <f>'Area Category Method'!$S16&amp;X$86</f>
        <v>ManufacturingLights</v>
      </c>
      <c r="Y18" s="114" t="str">
        <f>'Area Category Method'!$S16&amp;Y$86</f>
        <v>ManufacturingGasEquip</v>
      </c>
      <c r="Z18" s="114" t="str">
        <f>'Area Category Method'!$S16&amp;Z$86</f>
        <v>ManufacturingRefrigeration</v>
      </c>
      <c r="AA18" s="114" t="str">
        <f>'Area Category Method'!$S16&amp;AA$86</f>
        <v>ManufacturingInfiltration</v>
      </c>
      <c r="AB18" s="114" t="str">
        <f>'Area Category Method'!$S16&amp;AB$86</f>
        <v>ManufacturingHVACAvail</v>
      </c>
      <c r="AC18" s="114" t="str">
        <f>'Area Category Method'!$S16&amp;AC$86</f>
        <v>ManufacturingHtgSetpt</v>
      </c>
      <c r="AD18" s="114" t="str">
        <f>'Area Category Method'!$S16&amp;AD$86</f>
        <v>ManufacturingClgSetpt</v>
      </c>
      <c r="AE18" s="114" t="str">
        <f>'Area Category Method'!$S16&amp;AE$86</f>
        <v>ManufacturingElevator</v>
      </c>
      <c r="AF18" s="114" t="str">
        <f>'Area Category Method'!$S16&amp;AF$86</f>
        <v>ManufacturingEscalator</v>
      </c>
      <c r="AG18" s="114" t="str">
        <f>'Area Category Method'!$S16&amp;AG$86</f>
        <v>ManufacturingWtrHtrSetpt</v>
      </c>
      <c r="AH18" s="114" t="s">
        <v>352</v>
      </c>
    </row>
    <row r="19" spans="2:34" x14ac:dyDescent="0.25">
      <c r="B19" s="114" t="str">
        <f>TRIM(LEFT('Area Category Method'!$A17,IF(ISNUMBER(FIND(" (Note",'Area Category Method'!$A17,1)),FIND(" (Note",'Area Category Method'!$A17,1),99)))</f>
        <v>Electrical, Mechanical, Telephone Rooms</v>
      </c>
      <c r="C19" s="114">
        <f>'Area Category Method'!B17</f>
        <v>3</v>
      </c>
      <c r="D19" s="114">
        <f>'Area Category Method'!C17</f>
        <v>0.5</v>
      </c>
      <c r="E19" s="114">
        <f>'Area Category Method'!D17</f>
        <v>250</v>
      </c>
      <c r="F19" s="114">
        <f>'Area Category Method'!E17</f>
        <v>250</v>
      </c>
      <c r="G19" s="114">
        <f>'Area Category Method'!F17</f>
        <v>3</v>
      </c>
      <c r="H19" s="114">
        <f>'Area Category Method'!G17</f>
        <v>0.18</v>
      </c>
      <c r="I19" s="114">
        <f>'Area Category Method'!H17</f>
        <v>0.7</v>
      </c>
      <c r="J19" s="114">
        <f>'Area Category Method'!I17</f>
        <v>0.15</v>
      </c>
      <c r="K19" s="114">
        <f>'Area Category Method'!J17</f>
        <v>0.15</v>
      </c>
      <c r="L19" s="114">
        <f>'Area Category Method'!K17</f>
        <v>8760</v>
      </c>
      <c r="M19" s="114">
        <f>'Area Category Method'!L17</f>
        <v>8760</v>
      </c>
      <c r="N19" s="114">
        <f>'Area Category Method'!M17</f>
        <v>0</v>
      </c>
      <c r="O19" s="114">
        <f>'Area Category Method'!N17</f>
        <v>0</v>
      </c>
      <c r="P19" s="114">
        <f>'Area Category Method'!O17</f>
        <v>200</v>
      </c>
      <c r="Q19" s="114">
        <f>'Area Category Method'!P17</f>
        <v>200</v>
      </c>
      <c r="R19" s="114">
        <f>'Area Category Method'!Q17</f>
        <v>1</v>
      </c>
      <c r="S19" s="114">
        <f>'Area Category Method'!R17</f>
        <v>4</v>
      </c>
      <c r="T19" s="114" t="str">
        <f>'Area Category Method'!S17</f>
        <v>Warehouse</v>
      </c>
      <c r="U19" s="114" t="str">
        <f>'Area Category Method'!$S17&amp;U$86</f>
        <v>WarehouseOccupancy</v>
      </c>
      <c r="V19" s="114" t="str">
        <f>'Area Category Method'!$S17&amp;V$86</f>
        <v>WarehouseReceptacle</v>
      </c>
      <c r="W19" s="114" t="str">
        <f>'Area Category Method'!$S17&amp;W$86</f>
        <v>WarehouseServiceHotWater</v>
      </c>
      <c r="X19" s="114" t="str">
        <f>'Area Category Method'!$S17&amp;X$86</f>
        <v>WarehouseLights</v>
      </c>
      <c r="Y19" s="114" t="str">
        <f>'Area Category Method'!$S17&amp;Y$86</f>
        <v>WarehouseGasEquip</v>
      </c>
      <c r="Z19" s="114" t="str">
        <f>'Area Category Method'!$S17&amp;Z$86</f>
        <v>WarehouseRefrigeration</v>
      </c>
      <c r="AA19" s="114" t="str">
        <f>'Area Category Method'!$S17&amp;AA$86</f>
        <v>WarehouseInfiltration</v>
      </c>
      <c r="AB19" s="114" t="str">
        <f>'Area Category Method'!$S17&amp;AB$86</f>
        <v>WarehouseHVACAvail</v>
      </c>
      <c r="AC19" s="114" t="str">
        <f>'Area Category Method'!$S17&amp;AC$86</f>
        <v>WarehouseHtgSetpt</v>
      </c>
      <c r="AD19" s="114" t="str">
        <f>'Area Category Method'!$S17&amp;AD$86</f>
        <v>WarehouseClgSetpt</v>
      </c>
      <c r="AE19" s="114" t="str">
        <f>'Area Category Method'!$S17&amp;AE$86</f>
        <v>WarehouseElevator</v>
      </c>
      <c r="AF19" s="114" t="str">
        <f>'Area Category Method'!$S17&amp;AF$86</f>
        <v>WarehouseEscalator</v>
      </c>
      <c r="AG19" s="114" t="str">
        <f>'Area Category Method'!$S17&amp;AG$86</f>
        <v>WarehouseWtrHtrSetpt</v>
      </c>
      <c r="AH19" s="114" t="s">
        <v>352</v>
      </c>
    </row>
    <row r="20" spans="2:34" x14ac:dyDescent="0.25">
      <c r="B20" s="114" t="str">
        <f>TRIM(LEFT('Area Category Method'!$A18,IF(ISNUMBER(FIND(" (Note",'Area Category Method'!$A18,1)),FIND(" (Note",'Area Category Method'!$A18,1),99)))</f>
        <v>Exercise Center, Gymnasium Areas</v>
      </c>
      <c r="C20" s="114">
        <f>'Area Category Method'!B18</f>
        <v>66.666666666666671</v>
      </c>
      <c r="D20" s="114">
        <f>'Area Category Method'!C18</f>
        <v>0.5</v>
      </c>
      <c r="E20" s="114">
        <f>'Area Category Method'!D18</f>
        <v>255</v>
      </c>
      <c r="F20" s="114">
        <f>'Area Category Method'!E18</f>
        <v>875</v>
      </c>
      <c r="G20" s="114">
        <f>'Area Category Method'!F18</f>
        <v>0.5</v>
      </c>
      <c r="H20" s="114">
        <f>'Area Category Method'!G18</f>
        <v>0.18</v>
      </c>
      <c r="I20" s="114">
        <f>'Area Category Method'!H18</f>
        <v>1</v>
      </c>
      <c r="J20" s="114">
        <f>'Area Category Method'!I18</f>
        <v>0.15</v>
      </c>
      <c r="K20" s="114">
        <f>'Area Category Method'!J18</f>
        <v>0.5</v>
      </c>
      <c r="L20" s="114">
        <f>'Area Category Method'!K18</f>
        <v>150</v>
      </c>
      <c r="M20" s="114">
        <f>'Area Category Method'!L18</f>
        <v>150</v>
      </c>
      <c r="N20" s="114">
        <f>'Area Category Method'!M18</f>
        <v>0</v>
      </c>
      <c r="O20" s="114">
        <f>'Area Category Method'!N18</f>
        <v>0</v>
      </c>
      <c r="P20" s="114">
        <f>'Area Category Method'!O18</f>
        <v>150</v>
      </c>
      <c r="Q20" s="114">
        <f>'Area Category Method'!P18</f>
        <v>400</v>
      </c>
      <c r="R20" s="114">
        <f>'Area Category Method'!Q18</f>
        <v>1.5</v>
      </c>
      <c r="S20" s="114">
        <f>'Area Category Method'!R18</f>
        <v>2</v>
      </c>
      <c r="T20" s="114" t="str">
        <f>'Area Category Method'!S18</f>
        <v>Retail</v>
      </c>
      <c r="U20" s="114" t="str">
        <f>'Area Category Method'!$S18&amp;U$86</f>
        <v>RetailOccupancy</v>
      </c>
      <c r="V20" s="114" t="str">
        <f>'Area Category Method'!$S18&amp;V$86</f>
        <v>RetailReceptacle</v>
      </c>
      <c r="W20" s="114" t="str">
        <f>'Area Category Method'!$S18&amp;W$86</f>
        <v>RetailServiceHotWater</v>
      </c>
      <c r="X20" s="114" t="str">
        <f>'Area Category Method'!$S18&amp;X$86</f>
        <v>RetailLights</v>
      </c>
      <c r="Y20" s="114" t="str">
        <f>'Area Category Method'!$S18&amp;Y$86</f>
        <v>RetailGasEquip</v>
      </c>
      <c r="Z20" s="114" t="str">
        <f>'Area Category Method'!$S18&amp;Z$86</f>
        <v>RetailRefrigeration</v>
      </c>
      <c r="AA20" s="114" t="str">
        <f>'Area Category Method'!$S18&amp;AA$86</f>
        <v>RetailInfiltration</v>
      </c>
      <c r="AB20" s="114" t="str">
        <f>'Area Category Method'!$S18&amp;AB$86</f>
        <v>RetailHVACAvail</v>
      </c>
      <c r="AC20" s="114" t="str">
        <f>'Area Category Method'!$S18&amp;AC$86</f>
        <v>RetailHtgSetpt</v>
      </c>
      <c r="AD20" s="114" t="str">
        <f>'Area Category Method'!$S18&amp;AD$86</f>
        <v>RetailClgSetpt</v>
      </c>
      <c r="AE20" s="114" t="str">
        <f>'Area Category Method'!$S18&amp;AE$86</f>
        <v>RetailElevator</v>
      </c>
      <c r="AF20" s="114" t="str">
        <f>'Area Category Method'!$S18&amp;AF$86</f>
        <v>RetailEscalator</v>
      </c>
      <c r="AG20" s="114" t="str">
        <f>'Area Category Method'!$S18&amp;AG$86</f>
        <v>RetailWtrHtrSetpt</v>
      </c>
      <c r="AH20" s="114" t="s">
        <v>352</v>
      </c>
    </row>
    <row r="21" spans="2:34" x14ac:dyDescent="0.25">
      <c r="B21" s="114" t="str">
        <f>TRIM(LEFT('Area Category Method'!$A19,IF(ISNUMBER(FIND(" (Note",'Area Category Method'!$A19,1)),FIND(" (Note",'Area Category Method'!$A19,1),99)))</f>
        <v>Exhibit, Museum Areas</v>
      </c>
      <c r="C21" s="114">
        <f>'Area Category Method'!B19</f>
        <v>66.666666666666671</v>
      </c>
      <c r="D21" s="114">
        <f>'Area Category Method'!C19</f>
        <v>0.5</v>
      </c>
      <c r="E21" s="114">
        <f>'Area Category Method'!D19</f>
        <v>250</v>
      </c>
      <c r="F21" s="114">
        <f>'Area Category Method'!E19</f>
        <v>250</v>
      </c>
      <c r="G21" s="114">
        <f>'Area Category Method'!F19</f>
        <v>1.5</v>
      </c>
      <c r="H21" s="114">
        <f>'Area Category Method'!G19</f>
        <v>0.09</v>
      </c>
      <c r="I21" s="114">
        <f>'Area Category Method'!H19</f>
        <v>2</v>
      </c>
      <c r="J21" s="114">
        <f>'Area Category Method'!I19</f>
        <v>0.15</v>
      </c>
      <c r="K21" s="114">
        <f>'Area Category Method'!J19</f>
        <v>0.5</v>
      </c>
      <c r="L21" s="114">
        <f>'Area Category Method'!K19</f>
        <v>150</v>
      </c>
      <c r="M21" s="114">
        <f>'Area Category Method'!L19</f>
        <v>150</v>
      </c>
      <c r="N21" s="114">
        <f>'Area Category Method'!M19</f>
        <v>0</v>
      </c>
      <c r="O21" s="114">
        <f>'Area Category Method'!N19</f>
        <v>0</v>
      </c>
      <c r="P21" s="114">
        <f>'Area Category Method'!O19</f>
        <v>150</v>
      </c>
      <c r="Q21" s="114">
        <f>'Area Category Method'!P19</f>
        <v>500</v>
      </c>
      <c r="R21" s="114">
        <f>'Area Category Method'!Q19</f>
        <v>1.5</v>
      </c>
      <c r="S21" s="114">
        <f>'Area Category Method'!R19</f>
        <v>2</v>
      </c>
      <c r="T21" s="114" t="str">
        <f>'Area Category Method'!S19</f>
        <v>Assembly</v>
      </c>
      <c r="U21" s="114" t="str">
        <f>'Area Category Method'!$S19&amp;U$86</f>
        <v>AssemblyOccupancy</v>
      </c>
      <c r="V21" s="114" t="str">
        <f>'Area Category Method'!$S19&amp;V$86</f>
        <v>AssemblyReceptacle</v>
      </c>
      <c r="W21" s="114" t="str">
        <f>'Area Category Method'!$S19&amp;W$86</f>
        <v>AssemblyServiceHotWater</v>
      </c>
      <c r="X21" s="114" t="str">
        <f>'Area Category Method'!$S19&amp;X$86</f>
        <v>AssemblyLights</v>
      </c>
      <c r="Y21" s="114" t="str">
        <f>'Area Category Method'!$S19&amp;Y$86</f>
        <v>AssemblyGasEquip</v>
      </c>
      <c r="Z21" s="114" t="str">
        <f>'Area Category Method'!$S19&amp;Z$86</f>
        <v>AssemblyRefrigeration</v>
      </c>
      <c r="AA21" s="114" t="str">
        <f>'Area Category Method'!$S19&amp;AA$86</f>
        <v>AssemblyInfiltration</v>
      </c>
      <c r="AB21" s="114" t="str">
        <f>'Area Category Method'!$S19&amp;AB$86</f>
        <v>AssemblyHVACAvail</v>
      </c>
      <c r="AC21" s="114" t="str">
        <f>'Area Category Method'!$S19&amp;AC$86</f>
        <v>AssemblyHtgSetpt</v>
      </c>
      <c r="AD21" s="114" t="str">
        <f>'Area Category Method'!$S19&amp;AD$86</f>
        <v>AssemblyClgSetpt</v>
      </c>
      <c r="AE21" s="114" t="str">
        <f>'Area Category Method'!$S19&amp;AE$86</f>
        <v>AssemblyElevator</v>
      </c>
      <c r="AF21" s="114" t="str">
        <f>'Area Category Method'!$S19&amp;AF$86</f>
        <v>AssemblyEscalator</v>
      </c>
      <c r="AG21" s="114" t="str">
        <f>'Area Category Method'!$S19&amp;AG$86</f>
        <v>AssemblyWtrHtrSetpt</v>
      </c>
      <c r="AH21" s="114" t="s">
        <v>352</v>
      </c>
    </row>
    <row r="22" spans="2:34" x14ac:dyDescent="0.25">
      <c r="B22" s="114" t="str">
        <f>TRIM(LEFT('Area Category Method'!$A20,IF(ISNUMBER(FIND(" (Note",'Area Category Method'!$A20,1)),FIND(" (Note",'Area Category Method'!$A20,1),99)))</f>
        <v>Financial Transaction Area</v>
      </c>
      <c r="C22" s="114">
        <f>'Area Category Method'!B20</f>
        <v>10</v>
      </c>
      <c r="D22" s="114">
        <f>'Area Category Method'!C20</f>
        <v>0.5</v>
      </c>
      <c r="E22" s="114">
        <f>'Area Category Method'!D20</f>
        <v>250</v>
      </c>
      <c r="F22" s="114">
        <f>'Area Category Method'!E20</f>
        <v>250</v>
      </c>
      <c r="G22" s="114">
        <f>'Area Category Method'!F20</f>
        <v>1.5</v>
      </c>
      <c r="H22" s="114">
        <f>'Area Category Method'!G20</f>
        <v>0.18</v>
      </c>
      <c r="I22" s="114">
        <f>'Area Category Method'!H20</f>
        <v>1.2</v>
      </c>
      <c r="J22" s="114">
        <f>'Area Category Method'!I20</f>
        <v>0.15</v>
      </c>
      <c r="K22" s="114">
        <f>'Area Category Method'!J20</f>
        <v>0.15</v>
      </c>
      <c r="L22" s="114">
        <f>'Area Category Method'!K20</f>
        <v>150</v>
      </c>
      <c r="M22" s="114">
        <f>'Area Category Method'!L20</f>
        <v>150</v>
      </c>
      <c r="N22" s="114">
        <f>'Area Category Method'!M20</f>
        <v>0</v>
      </c>
      <c r="O22" s="114">
        <f>'Area Category Method'!N20</f>
        <v>0</v>
      </c>
      <c r="P22" s="114">
        <f>'Area Category Method'!O20</f>
        <v>100</v>
      </c>
      <c r="Q22" s="114">
        <f>'Area Category Method'!P20</f>
        <v>300</v>
      </c>
      <c r="R22" s="114">
        <f>'Area Category Method'!Q20</f>
        <v>1.5</v>
      </c>
      <c r="S22" s="114">
        <f>'Area Category Method'!R20</f>
        <v>2</v>
      </c>
      <c r="T22" s="114" t="str">
        <f>'Area Category Method'!S20</f>
        <v>Office</v>
      </c>
      <c r="U22" s="114" t="str">
        <f>'Area Category Method'!$S20&amp;U$86</f>
        <v>OfficeOccupancy</v>
      </c>
      <c r="V22" s="114" t="str">
        <f>'Area Category Method'!$S20&amp;V$86</f>
        <v>OfficeReceptacle</v>
      </c>
      <c r="W22" s="114" t="str">
        <f>'Area Category Method'!$S20&amp;W$86</f>
        <v>OfficeServiceHotWater</v>
      </c>
      <c r="X22" s="114" t="str">
        <f>'Area Category Method'!$S20&amp;X$86</f>
        <v>OfficeLights</v>
      </c>
      <c r="Y22" s="114" t="str">
        <f>'Area Category Method'!$S20&amp;Y$86</f>
        <v>OfficeGasEquip</v>
      </c>
      <c r="Z22" s="114" t="str">
        <f>'Area Category Method'!$S20&amp;Z$86</f>
        <v>OfficeRefrigeration</v>
      </c>
      <c r="AA22" s="114" t="str">
        <f>'Area Category Method'!$S20&amp;AA$86</f>
        <v>OfficeInfiltration</v>
      </c>
      <c r="AB22" s="114" t="str">
        <f>'Area Category Method'!$S20&amp;AB$86</f>
        <v>OfficeHVACAvail</v>
      </c>
      <c r="AC22" s="114" t="str">
        <f>'Area Category Method'!$S20&amp;AC$86</f>
        <v>OfficeHtgSetpt</v>
      </c>
      <c r="AD22" s="114" t="str">
        <f>'Area Category Method'!$S20&amp;AD$86</f>
        <v>OfficeClgSetpt</v>
      </c>
      <c r="AE22" s="114" t="str">
        <f>'Area Category Method'!$S20&amp;AE$86</f>
        <v>OfficeElevator</v>
      </c>
      <c r="AF22" s="114" t="str">
        <f>'Area Category Method'!$S20&amp;AF$86</f>
        <v>OfficeEscalator</v>
      </c>
      <c r="AG22" s="114" t="str">
        <f>'Area Category Method'!$S20&amp;AG$86</f>
        <v>OfficeWtrHtrSetpt</v>
      </c>
      <c r="AH22" s="114" t="s">
        <v>352</v>
      </c>
    </row>
    <row r="23" spans="2:34" x14ac:dyDescent="0.25">
      <c r="B23" s="114" t="str">
        <f>TRIM(LEFT('Area Category Method'!$A21,IF(ISNUMBER(FIND(" (Note",'Area Category Method'!$A21,1)),FIND(" (Note",'Area Category Method'!$A21,1),99)))</f>
        <v>General Commercial and Industrial Work Areas, High Bay</v>
      </c>
      <c r="C23" s="114">
        <f>'Area Category Method'!B21</f>
        <v>10</v>
      </c>
      <c r="D23" s="114">
        <f>'Area Category Method'!C21</f>
        <v>0.5</v>
      </c>
      <c r="E23" s="114">
        <f>'Area Category Method'!D21</f>
        <v>275</v>
      </c>
      <c r="F23" s="114">
        <f>'Area Category Method'!E21</f>
        <v>475</v>
      </c>
      <c r="G23" s="114">
        <f>'Area Category Method'!F21</f>
        <v>1</v>
      </c>
      <c r="H23" s="114">
        <f>'Area Category Method'!G21</f>
        <v>0.18</v>
      </c>
      <c r="I23" s="114">
        <f>'Area Category Method'!H21</f>
        <v>1</v>
      </c>
      <c r="J23" s="114">
        <f>'Area Category Method'!I21</f>
        <v>0.15</v>
      </c>
      <c r="K23" s="114">
        <f>'Area Category Method'!J21</f>
        <v>0.15</v>
      </c>
      <c r="L23" s="114">
        <f>'Area Category Method'!K21</f>
        <v>150</v>
      </c>
      <c r="M23" s="114">
        <f>'Area Category Method'!L21</f>
        <v>150</v>
      </c>
      <c r="N23" s="114">
        <f>'Area Category Method'!M21</f>
        <v>0</v>
      </c>
      <c r="O23" s="114">
        <f>'Area Category Method'!N21</f>
        <v>0</v>
      </c>
      <c r="P23" s="114">
        <f>'Area Category Method'!O21</f>
        <v>300</v>
      </c>
      <c r="Q23" s="114">
        <f>'Area Category Method'!P21</f>
        <v>1000</v>
      </c>
      <c r="R23" s="114">
        <f>'Area Category Method'!Q21</f>
        <v>1.5</v>
      </c>
      <c r="S23" s="114">
        <f>'Area Category Method'!R21</f>
        <v>2</v>
      </c>
      <c r="T23" s="114" t="str">
        <f>'Area Category Method'!S21</f>
        <v>Manufacturing</v>
      </c>
      <c r="U23" s="114" t="str">
        <f>'Area Category Method'!$S21&amp;U$86</f>
        <v>ManufacturingOccupancy</v>
      </c>
      <c r="V23" s="114" t="str">
        <f>'Area Category Method'!$S21&amp;V$86</f>
        <v>ManufacturingReceptacle</v>
      </c>
      <c r="W23" s="114" t="str">
        <f>'Area Category Method'!$S21&amp;W$86</f>
        <v>ManufacturingServiceHotWater</v>
      </c>
      <c r="X23" s="114" t="str">
        <f>'Area Category Method'!$S21&amp;X$86</f>
        <v>ManufacturingLights</v>
      </c>
      <c r="Y23" s="114" t="str">
        <f>'Area Category Method'!$S21&amp;Y$86</f>
        <v>ManufacturingGasEquip</v>
      </c>
      <c r="Z23" s="114" t="str">
        <f>'Area Category Method'!$S21&amp;Z$86</f>
        <v>ManufacturingRefrigeration</v>
      </c>
      <c r="AA23" s="114" t="str">
        <f>'Area Category Method'!$S21&amp;AA$86</f>
        <v>ManufacturingInfiltration</v>
      </c>
      <c r="AB23" s="114" t="str">
        <f>'Area Category Method'!$S21&amp;AB$86</f>
        <v>ManufacturingHVACAvail</v>
      </c>
      <c r="AC23" s="114" t="str">
        <f>'Area Category Method'!$S21&amp;AC$86</f>
        <v>ManufacturingHtgSetpt</v>
      </c>
      <c r="AD23" s="114" t="str">
        <f>'Area Category Method'!$S21&amp;AD$86</f>
        <v>ManufacturingClgSetpt</v>
      </c>
      <c r="AE23" s="114" t="str">
        <f>'Area Category Method'!$S21&amp;AE$86</f>
        <v>ManufacturingElevator</v>
      </c>
      <c r="AF23" s="114" t="str">
        <f>'Area Category Method'!$S21&amp;AF$86</f>
        <v>ManufacturingEscalator</v>
      </c>
      <c r="AG23" s="114" t="str">
        <f>'Area Category Method'!$S21&amp;AG$86</f>
        <v>ManufacturingWtrHtrSetpt</v>
      </c>
      <c r="AH23" s="114" t="s">
        <v>352</v>
      </c>
    </row>
    <row r="24" spans="2:34" x14ac:dyDescent="0.25">
      <c r="B24" s="114" t="str">
        <f>TRIM(LEFT('Area Category Method'!$A22,IF(ISNUMBER(FIND(" (Note",'Area Category Method'!$A22,1)),FIND(" (Note",'Area Category Method'!$A22,1),99)))</f>
        <v>General Commercial and Industrial Work Areas, Low Bay</v>
      </c>
      <c r="C24" s="114">
        <f>'Area Category Method'!B22</f>
        <v>10</v>
      </c>
      <c r="D24" s="114">
        <f>'Area Category Method'!C22</f>
        <v>0.5</v>
      </c>
      <c r="E24" s="114">
        <f>'Area Category Method'!D22</f>
        <v>275</v>
      </c>
      <c r="F24" s="114">
        <f>'Area Category Method'!E22</f>
        <v>475</v>
      </c>
      <c r="G24" s="114">
        <f>'Area Category Method'!F22</f>
        <v>1</v>
      </c>
      <c r="H24" s="114">
        <f>'Area Category Method'!G22</f>
        <v>0.18</v>
      </c>
      <c r="I24" s="114">
        <f>'Area Category Method'!H22</f>
        <v>0.9</v>
      </c>
      <c r="J24" s="114">
        <f>'Area Category Method'!I22</f>
        <v>0.15</v>
      </c>
      <c r="K24" s="114">
        <f>'Area Category Method'!J22</f>
        <v>0.15</v>
      </c>
      <c r="L24" s="114">
        <f>'Area Category Method'!K22</f>
        <v>150</v>
      </c>
      <c r="M24" s="114">
        <f>'Area Category Method'!L22</f>
        <v>150</v>
      </c>
      <c r="N24" s="114">
        <f>'Area Category Method'!M22</f>
        <v>0</v>
      </c>
      <c r="O24" s="114">
        <f>'Area Category Method'!N22</f>
        <v>0</v>
      </c>
      <c r="P24" s="114">
        <f>'Area Category Method'!O22</f>
        <v>300</v>
      </c>
      <c r="Q24" s="114">
        <f>'Area Category Method'!P22</f>
        <v>1000</v>
      </c>
      <c r="R24" s="114">
        <f>'Area Category Method'!Q22</f>
        <v>1.5</v>
      </c>
      <c r="S24" s="114">
        <f>'Area Category Method'!R22</f>
        <v>2</v>
      </c>
      <c r="T24" s="114" t="str">
        <f>'Area Category Method'!S22</f>
        <v>Manufacturing</v>
      </c>
      <c r="U24" s="114" t="str">
        <f>'Area Category Method'!$S22&amp;U$86</f>
        <v>ManufacturingOccupancy</v>
      </c>
      <c r="V24" s="114" t="str">
        <f>'Area Category Method'!$S22&amp;V$86</f>
        <v>ManufacturingReceptacle</v>
      </c>
      <c r="W24" s="114" t="str">
        <f>'Area Category Method'!$S22&amp;W$86</f>
        <v>ManufacturingServiceHotWater</v>
      </c>
      <c r="X24" s="114" t="str">
        <f>'Area Category Method'!$S22&amp;X$86</f>
        <v>ManufacturingLights</v>
      </c>
      <c r="Y24" s="114" t="str">
        <f>'Area Category Method'!$S22&amp;Y$86</f>
        <v>ManufacturingGasEquip</v>
      </c>
      <c r="Z24" s="114" t="str">
        <f>'Area Category Method'!$S22&amp;Z$86</f>
        <v>ManufacturingRefrigeration</v>
      </c>
      <c r="AA24" s="114" t="str">
        <f>'Area Category Method'!$S22&amp;AA$86</f>
        <v>ManufacturingInfiltration</v>
      </c>
      <c r="AB24" s="114" t="str">
        <f>'Area Category Method'!$S22&amp;AB$86</f>
        <v>ManufacturingHVACAvail</v>
      </c>
      <c r="AC24" s="114" t="str">
        <f>'Area Category Method'!$S22&amp;AC$86</f>
        <v>ManufacturingHtgSetpt</v>
      </c>
      <c r="AD24" s="114" t="str">
        <f>'Area Category Method'!$S22&amp;AD$86</f>
        <v>ManufacturingClgSetpt</v>
      </c>
      <c r="AE24" s="114" t="str">
        <f>'Area Category Method'!$S22&amp;AE$86</f>
        <v>ManufacturingElevator</v>
      </c>
      <c r="AF24" s="114" t="str">
        <f>'Area Category Method'!$S22&amp;AF$86</f>
        <v>ManufacturingEscalator</v>
      </c>
      <c r="AG24" s="114" t="str">
        <f>'Area Category Method'!$S22&amp;AG$86</f>
        <v>ManufacturingWtrHtrSetpt</v>
      </c>
      <c r="AH24" s="114" t="s">
        <v>352</v>
      </c>
    </row>
    <row r="25" spans="2:34" x14ac:dyDescent="0.25">
      <c r="B25" s="114" t="str">
        <f>TRIM(LEFT('Area Category Method'!$A23,IF(ISNUMBER(FIND(" (Note",'Area Category Method'!$A23,1)),FIND(" (Note",'Area Category Method'!$A23,1),99)))</f>
        <v>General Commercial and Industrial Work Areas, Precision</v>
      </c>
      <c r="C25" s="114">
        <f>'Area Category Method'!B23</f>
        <v>10</v>
      </c>
      <c r="D25" s="114">
        <f>'Area Category Method'!C23</f>
        <v>0.5</v>
      </c>
      <c r="E25" s="114">
        <f>'Area Category Method'!D23</f>
        <v>250</v>
      </c>
      <c r="F25" s="114">
        <f>'Area Category Method'!E23</f>
        <v>200</v>
      </c>
      <c r="G25" s="114">
        <f>'Area Category Method'!F23</f>
        <v>1</v>
      </c>
      <c r="H25" s="114">
        <f>'Area Category Method'!G23</f>
        <v>0.18</v>
      </c>
      <c r="I25" s="114">
        <f>'Area Category Method'!H23</f>
        <v>1.2</v>
      </c>
      <c r="J25" s="114">
        <f>'Area Category Method'!I23</f>
        <v>0.15</v>
      </c>
      <c r="K25" s="114">
        <f>'Area Category Method'!J23</f>
        <v>0.15</v>
      </c>
      <c r="L25" s="114">
        <f>'Area Category Method'!K23</f>
        <v>150</v>
      </c>
      <c r="M25" s="114">
        <f>'Area Category Method'!L23</f>
        <v>150</v>
      </c>
      <c r="N25" s="114">
        <f>'Area Category Method'!M23</f>
        <v>0</v>
      </c>
      <c r="O25" s="114">
        <f>'Area Category Method'!N23</f>
        <v>0</v>
      </c>
      <c r="P25" s="114">
        <f>'Area Category Method'!O23</f>
        <v>1000</v>
      </c>
      <c r="Q25" s="114">
        <f>'Area Category Method'!P23</f>
        <v>3000</v>
      </c>
      <c r="R25" s="114">
        <f>'Area Category Method'!Q23</f>
        <v>1.5</v>
      </c>
      <c r="S25" s="114">
        <f>'Area Category Method'!R23</f>
        <v>2</v>
      </c>
      <c r="T25" s="114" t="str">
        <f>'Area Category Method'!S23</f>
        <v>Manufacturing</v>
      </c>
      <c r="U25" s="114" t="str">
        <f>'Area Category Method'!$S23&amp;U$86</f>
        <v>ManufacturingOccupancy</v>
      </c>
      <c r="V25" s="114" t="str">
        <f>'Area Category Method'!$S23&amp;V$86</f>
        <v>ManufacturingReceptacle</v>
      </c>
      <c r="W25" s="114" t="str">
        <f>'Area Category Method'!$S23&amp;W$86</f>
        <v>ManufacturingServiceHotWater</v>
      </c>
      <c r="X25" s="114" t="str">
        <f>'Area Category Method'!$S23&amp;X$86</f>
        <v>ManufacturingLights</v>
      </c>
      <c r="Y25" s="114" t="str">
        <f>'Area Category Method'!$S23&amp;Y$86</f>
        <v>ManufacturingGasEquip</v>
      </c>
      <c r="Z25" s="114" t="str">
        <f>'Area Category Method'!$S23&amp;Z$86</f>
        <v>ManufacturingRefrigeration</v>
      </c>
      <c r="AA25" s="114" t="str">
        <f>'Area Category Method'!$S23&amp;AA$86</f>
        <v>ManufacturingInfiltration</v>
      </c>
      <c r="AB25" s="114" t="str">
        <f>'Area Category Method'!$S23&amp;AB$86</f>
        <v>ManufacturingHVACAvail</v>
      </c>
      <c r="AC25" s="114" t="str">
        <f>'Area Category Method'!$S23&amp;AC$86</f>
        <v>ManufacturingHtgSetpt</v>
      </c>
      <c r="AD25" s="114" t="str">
        <f>'Area Category Method'!$S23&amp;AD$86</f>
        <v>ManufacturingClgSetpt</v>
      </c>
      <c r="AE25" s="114" t="str">
        <f>'Area Category Method'!$S23&amp;AE$86</f>
        <v>ManufacturingElevator</v>
      </c>
      <c r="AF25" s="114" t="str">
        <f>'Area Category Method'!$S23&amp;AF$86</f>
        <v>ManufacturingEscalator</v>
      </c>
      <c r="AG25" s="114" t="str">
        <f>'Area Category Method'!$S23&amp;AG$86</f>
        <v>ManufacturingWtrHtrSetpt</v>
      </c>
      <c r="AH25" s="114" t="s">
        <v>352</v>
      </c>
    </row>
    <row r="26" spans="2:34" x14ac:dyDescent="0.25">
      <c r="B26" s="114" t="str">
        <f>TRIM(LEFT('Area Category Method'!$A24,IF(ISNUMBER(FIND(" (Note",'Area Category Method'!$A24,1)),FIND(" (Note",'Area Category Method'!$A24,1),99)))</f>
        <v>Grocery Sales Areas</v>
      </c>
      <c r="C26" s="114">
        <f>'Area Category Method'!B24</f>
        <v>33.333333333333336</v>
      </c>
      <c r="D26" s="114">
        <f>'Area Category Method'!C24</f>
        <v>0.5</v>
      </c>
      <c r="E26" s="114">
        <f>'Area Category Method'!D24</f>
        <v>250</v>
      </c>
      <c r="F26" s="114">
        <f>'Area Category Method'!E24</f>
        <v>200</v>
      </c>
      <c r="G26" s="114">
        <f>'Area Category Method'!F24</f>
        <v>1</v>
      </c>
      <c r="H26" s="114">
        <f>'Area Category Method'!G24</f>
        <v>0.18</v>
      </c>
      <c r="I26" s="114">
        <f>'Area Category Method'!H24</f>
        <v>1.2</v>
      </c>
      <c r="J26" s="114">
        <f>'Area Category Method'!I24</f>
        <v>0.15</v>
      </c>
      <c r="K26" s="114">
        <f>'Area Category Method'!J24</f>
        <v>0.25</v>
      </c>
      <c r="L26" s="114">
        <f>'Area Category Method'!K24</f>
        <v>150</v>
      </c>
      <c r="M26" s="114">
        <f>'Area Category Method'!L24</f>
        <v>150</v>
      </c>
      <c r="N26" s="114">
        <f>'Area Category Method'!M24</f>
        <v>1.1941999999999999</v>
      </c>
      <c r="O26" s="114">
        <f>'Area Category Method'!N24</f>
        <v>2.6</v>
      </c>
      <c r="P26" s="114">
        <f>'Area Category Method'!O24</f>
        <v>500</v>
      </c>
      <c r="Q26" s="114">
        <f>'Area Category Method'!P24</f>
        <v>500</v>
      </c>
      <c r="R26" s="114">
        <f>'Area Category Method'!Q24</f>
        <v>1.5</v>
      </c>
      <c r="S26" s="114">
        <f>'Area Category Method'!R24</f>
        <v>2</v>
      </c>
      <c r="T26" s="114" t="str">
        <f>'Area Category Method'!S24</f>
        <v>Retail</v>
      </c>
      <c r="U26" s="114" t="str">
        <f>'Area Category Method'!$S24&amp;U$86</f>
        <v>RetailOccupancy</v>
      </c>
      <c r="V26" s="114" t="str">
        <f>'Area Category Method'!$S24&amp;V$86</f>
        <v>RetailReceptacle</v>
      </c>
      <c r="W26" s="114" t="str">
        <f>'Area Category Method'!$S24&amp;W$86</f>
        <v>RetailServiceHotWater</v>
      </c>
      <c r="X26" s="114" t="str">
        <f>'Area Category Method'!$S24&amp;X$86</f>
        <v>RetailLights</v>
      </c>
      <c r="Y26" s="114" t="str">
        <f>'Area Category Method'!$S24&amp;Y$86</f>
        <v>RetailGasEquip</v>
      </c>
      <c r="Z26" s="114" t="str">
        <f>'Area Category Method'!$S24&amp;Z$86</f>
        <v>RetailRefrigeration</v>
      </c>
      <c r="AA26" s="114" t="str">
        <f>'Area Category Method'!$S24&amp;AA$86</f>
        <v>RetailInfiltration</v>
      </c>
      <c r="AB26" s="114" t="str">
        <f>'Area Category Method'!$S24&amp;AB$86</f>
        <v>RetailHVACAvail</v>
      </c>
      <c r="AC26" s="114" t="str">
        <f>'Area Category Method'!$S24&amp;AC$86</f>
        <v>RetailHtgSetpt</v>
      </c>
      <c r="AD26" s="114" t="str">
        <f>'Area Category Method'!$S24&amp;AD$86</f>
        <v>RetailClgSetpt</v>
      </c>
      <c r="AE26" s="114" t="str">
        <f>'Area Category Method'!$S24&amp;AE$86</f>
        <v>RetailElevator</v>
      </c>
      <c r="AF26" s="114" t="str">
        <f>'Area Category Method'!$S24&amp;AF$86</f>
        <v>RetailEscalator</v>
      </c>
      <c r="AG26" s="114" t="str">
        <f>'Area Category Method'!$S24&amp;AG$86</f>
        <v>RetailWtrHtrSetpt</v>
      </c>
      <c r="AH26" s="114" t="s">
        <v>352</v>
      </c>
    </row>
    <row r="27" spans="2:34" x14ac:dyDescent="0.25">
      <c r="B27" s="114" t="str">
        <f>TRIM(LEFT('Area Category Method'!$A25,IF(ISNUMBER(FIND(" (Note",'Area Category Method'!$A25,1)),FIND(" (Note",'Area Category Method'!$A25,1),99)))</f>
        <v>High-Rise Residential Living Spaces</v>
      </c>
      <c r="C27" s="114">
        <f>'Area Category Method'!B25</f>
        <v>5</v>
      </c>
      <c r="D27" s="114">
        <f>'Area Category Method'!C25</f>
        <v>0.5</v>
      </c>
      <c r="E27" s="114">
        <f>'Area Category Method'!D25</f>
        <v>245</v>
      </c>
      <c r="F27" s="114">
        <f>'Area Category Method'!E25</f>
        <v>155</v>
      </c>
      <c r="G27" s="114">
        <f>'Area Category Method'!F25</f>
        <v>0.5</v>
      </c>
      <c r="H27" s="119">
        <v>0</v>
      </c>
      <c r="I27" s="114">
        <f>'Area Category Method'!H25</f>
        <v>0.5</v>
      </c>
      <c r="J27" s="114">
        <f>'Area Category Method'!I25</f>
        <v>0.15</v>
      </c>
      <c r="K27" s="114">
        <f>'Area Category Method'!J25</f>
        <v>0.15</v>
      </c>
      <c r="L27" s="114">
        <f>'Area Category Method'!K25</f>
        <v>150</v>
      </c>
      <c r="M27" s="114">
        <f>'Area Category Method'!L25</f>
        <v>150</v>
      </c>
      <c r="N27" s="114">
        <f>'Area Category Method'!M25</f>
        <v>0.68240000000000001</v>
      </c>
      <c r="O27" s="114">
        <f>'Area Category Method'!N25</f>
        <v>0</v>
      </c>
      <c r="P27" s="114">
        <f>'Area Category Method'!O25</f>
        <v>20</v>
      </c>
      <c r="Q27" s="114">
        <f>'Area Category Method'!P25</f>
        <v>200</v>
      </c>
      <c r="R27" s="114">
        <f>'Area Category Method'!Q25</f>
        <v>1.5</v>
      </c>
      <c r="S27" s="114">
        <f>'Area Category Method'!R25</f>
        <v>2</v>
      </c>
      <c r="T27" s="114" t="str">
        <f>'Area Category Method'!S25</f>
        <v>ResidentialLiving</v>
      </c>
      <c r="U27" s="114" t="str">
        <f>'Area Category Method'!$S25&amp;U$86</f>
        <v>ResidentialLivingOccupancy</v>
      </c>
      <c r="V27" s="114" t="str">
        <f>'Area Category Method'!$S25&amp;V$86</f>
        <v>ResidentialLivingReceptacle</v>
      </c>
      <c r="W27" s="114" t="str">
        <f>'Area Category Method'!$S25&amp;W$86</f>
        <v>ResidentialLivingServiceHotWater</v>
      </c>
      <c r="X27" s="114" t="str">
        <f>'Area Category Method'!$S25&amp;X$86</f>
        <v>ResidentialLivingLights</v>
      </c>
      <c r="Y27" s="114" t="str">
        <f>'Area Category Method'!$S25&amp;Y$86</f>
        <v>ResidentialLivingGasEquip</v>
      </c>
      <c r="Z27" s="114" t="str">
        <f>'Area Category Method'!$S25&amp;Z$86</f>
        <v>ResidentialLivingRefrigeration</v>
      </c>
      <c r="AA27" s="114" t="str">
        <f>'Area Category Method'!$S25&amp;AA$86</f>
        <v>ResidentialLivingInfiltration</v>
      </c>
      <c r="AB27" s="114" t="str">
        <f>'Area Category Method'!$S25&amp;AB$86</f>
        <v>ResidentialLivingHVACAvail</v>
      </c>
      <c r="AC27" s="114" t="str">
        <f>'Area Category Method'!$S25&amp;AC$86</f>
        <v>ResidentialLivingHtgSetpt</v>
      </c>
      <c r="AD27" s="114" t="str">
        <f>'Area Category Method'!$S25&amp;AD$86</f>
        <v>ResidentialLivingClgSetpt</v>
      </c>
      <c r="AE27" s="114" t="str">
        <f>'Area Category Method'!$S25&amp;AE$86</f>
        <v>ResidentialLivingElevator</v>
      </c>
      <c r="AF27" s="114" t="str">
        <f>'Area Category Method'!$S25&amp;AF$86</f>
        <v>ResidentialLivingEscalator</v>
      </c>
      <c r="AG27" s="114" t="str">
        <f>'Area Category Method'!$S25&amp;AG$86</f>
        <v>ResidentialLivingWtrHtrSetpt</v>
      </c>
      <c r="AH27" s="114" t="s">
        <v>352</v>
      </c>
    </row>
    <row r="28" spans="2:34" x14ac:dyDescent="0.25">
      <c r="B28" s="114" t="str">
        <f>TRIM(LEFT('Area Category Method'!$A26,IF(ISNUMBER(FIND(" (Note",'Area Category Method'!$A26,1)),FIND(" (Note",'Area Category Method'!$A26,1),99)))</f>
        <v>Hotel Function Area</v>
      </c>
      <c r="C28" s="114">
        <f>'Area Category Method'!B26</f>
        <v>142.85714285714286</v>
      </c>
      <c r="D28" s="114">
        <f>'Area Category Method'!C26</f>
        <v>0.5</v>
      </c>
      <c r="E28" s="114">
        <f>'Area Category Method'!D26</f>
        <v>250</v>
      </c>
      <c r="F28" s="114">
        <f>'Area Category Method'!E26</f>
        <v>200</v>
      </c>
      <c r="G28" s="114">
        <f>'Area Category Method'!F26</f>
        <v>0.5</v>
      </c>
      <c r="H28" s="114">
        <f>'Area Category Method'!G26</f>
        <v>9.6000000000000002E-2</v>
      </c>
      <c r="I28" s="114">
        <f>'Area Category Method'!H26</f>
        <v>1.5</v>
      </c>
      <c r="J28" s="114">
        <f>'Area Category Method'!I26</f>
        <v>0.15</v>
      </c>
      <c r="K28" s="114">
        <f>'Area Category Method'!J26</f>
        <v>1.0714285714285714</v>
      </c>
      <c r="L28" s="114">
        <f>'Area Category Method'!K26</f>
        <v>150</v>
      </c>
      <c r="M28" s="114">
        <f>'Area Category Method'!L26</f>
        <v>150</v>
      </c>
      <c r="N28" s="114">
        <f>'Area Category Method'!M26</f>
        <v>0</v>
      </c>
      <c r="O28" s="114">
        <f>'Area Category Method'!N26</f>
        <v>0</v>
      </c>
      <c r="P28" s="114">
        <f>'Area Category Method'!O26</f>
        <v>50</v>
      </c>
      <c r="Q28" s="114">
        <f>'Area Category Method'!P26</f>
        <v>300</v>
      </c>
      <c r="R28" s="114">
        <f>'Area Category Method'!Q26</f>
        <v>1.5</v>
      </c>
      <c r="S28" s="114">
        <f>'Area Category Method'!R26</f>
        <v>2</v>
      </c>
      <c r="T28" s="114" t="str">
        <f>'Area Category Method'!S26</f>
        <v>Assembly</v>
      </c>
      <c r="U28" s="114" t="str">
        <f>'Area Category Method'!$S26&amp;U$86</f>
        <v>AssemblyOccupancy</v>
      </c>
      <c r="V28" s="114" t="str">
        <f>'Area Category Method'!$S26&amp;V$86</f>
        <v>AssemblyReceptacle</v>
      </c>
      <c r="W28" s="114" t="str">
        <f>'Area Category Method'!$S26&amp;W$86</f>
        <v>AssemblyServiceHotWater</v>
      </c>
      <c r="X28" s="114" t="str">
        <f>'Area Category Method'!$S26&amp;X$86</f>
        <v>AssemblyLights</v>
      </c>
      <c r="Y28" s="114" t="str">
        <f>'Area Category Method'!$S26&amp;Y$86</f>
        <v>AssemblyGasEquip</v>
      </c>
      <c r="Z28" s="114" t="str">
        <f>'Area Category Method'!$S26&amp;Z$86</f>
        <v>AssemblyRefrigeration</v>
      </c>
      <c r="AA28" s="114" t="str">
        <f>'Area Category Method'!$S26&amp;AA$86</f>
        <v>AssemblyInfiltration</v>
      </c>
      <c r="AB28" s="114" t="str">
        <f>'Area Category Method'!$S26&amp;AB$86</f>
        <v>AssemblyHVACAvail</v>
      </c>
      <c r="AC28" s="114" t="str">
        <f>'Area Category Method'!$S26&amp;AC$86</f>
        <v>AssemblyHtgSetpt</v>
      </c>
      <c r="AD28" s="114" t="str">
        <f>'Area Category Method'!$S26&amp;AD$86</f>
        <v>AssemblyClgSetpt</v>
      </c>
      <c r="AE28" s="114" t="str">
        <f>'Area Category Method'!$S26&amp;AE$86</f>
        <v>AssemblyElevator</v>
      </c>
      <c r="AF28" s="114" t="str">
        <f>'Area Category Method'!$S26&amp;AF$86</f>
        <v>AssemblyEscalator</v>
      </c>
      <c r="AG28" s="114" t="str">
        <f>'Area Category Method'!$S26&amp;AG$86</f>
        <v>AssemblyWtrHtrSetpt</v>
      </c>
      <c r="AH28" s="114" t="s">
        <v>352</v>
      </c>
    </row>
    <row r="29" spans="2:34" x14ac:dyDescent="0.25">
      <c r="B29" s="114" t="str">
        <f>TRIM(LEFT('Area Category Method'!$A27,IF(ISNUMBER(FIND(" (Note",'Area Category Method'!$A27,1)),FIND(" (Note",'Area Category Method'!$A27,1),99)))</f>
        <v>Hotel/Motel Guest Room</v>
      </c>
      <c r="C29" s="114">
        <f>'Area Category Method'!B27</f>
        <v>5</v>
      </c>
      <c r="D29" s="114">
        <f>'Area Category Method'!C27</f>
        <v>0.5</v>
      </c>
      <c r="E29" s="114">
        <f>'Area Category Method'!D27</f>
        <v>245</v>
      </c>
      <c r="F29" s="114">
        <f>'Area Category Method'!E27</f>
        <v>155</v>
      </c>
      <c r="G29" s="114">
        <f>'Area Category Method'!F27</f>
        <v>0.5</v>
      </c>
      <c r="H29" s="114">
        <f>'Area Category Method'!G27</f>
        <v>4.4800000000000004</v>
      </c>
      <c r="I29" s="114">
        <f>'Area Category Method'!H27</f>
        <v>0.5</v>
      </c>
      <c r="J29" s="114">
        <f>'Area Category Method'!I27</f>
        <v>0.15</v>
      </c>
      <c r="K29" s="114">
        <f>'Area Category Method'!J27</f>
        <v>0.15</v>
      </c>
      <c r="L29" s="114">
        <f>'Area Category Method'!K27</f>
        <v>150</v>
      </c>
      <c r="M29" s="114">
        <f>'Area Category Method'!L27</f>
        <v>150</v>
      </c>
      <c r="N29" s="114">
        <f>'Area Category Method'!M27</f>
        <v>0</v>
      </c>
      <c r="O29" s="114">
        <f>'Area Category Method'!N27</f>
        <v>0</v>
      </c>
      <c r="P29" s="114">
        <f>'Area Category Method'!O27</f>
        <v>20</v>
      </c>
      <c r="Q29" s="114">
        <f>'Area Category Method'!P27</f>
        <v>200</v>
      </c>
      <c r="R29" s="114">
        <f>'Area Category Method'!Q27</f>
        <v>1.5</v>
      </c>
      <c r="S29" s="114">
        <f>'Area Category Method'!R27</f>
        <v>2</v>
      </c>
      <c r="T29" s="114" t="str">
        <f>'Area Category Method'!S27</f>
        <v>ResidentialLiving</v>
      </c>
      <c r="U29" s="114" t="str">
        <f>'Area Category Method'!$S27&amp;U$86</f>
        <v>ResidentialLivingOccupancy</v>
      </c>
      <c r="V29" s="114" t="str">
        <f>'Area Category Method'!$S27&amp;V$86</f>
        <v>ResidentialLivingReceptacle</v>
      </c>
      <c r="W29" s="114" t="str">
        <f>'Area Category Method'!$S27&amp;W$86</f>
        <v>ResidentialLivingServiceHotWater</v>
      </c>
      <c r="X29" s="114" t="str">
        <f>'Area Category Method'!$S27&amp;X$86</f>
        <v>ResidentialLivingLights</v>
      </c>
      <c r="Y29" s="114" t="str">
        <f>'Area Category Method'!$S27&amp;Y$86</f>
        <v>ResidentialLivingGasEquip</v>
      </c>
      <c r="Z29" s="114" t="str">
        <f>'Area Category Method'!$S27&amp;Z$86</f>
        <v>ResidentialLivingRefrigeration</v>
      </c>
      <c r="AA29" s="114" t="str">
        <f>'Area Category Method'!$S27&amp;AA$86</f>
        <v>ResidentialLivingInfiltration</v>
      </c>
      <c r="AB29" s="114" t="str">
        <f>'Area Category Method'!$S27&amp;AB$86</f>
        <v>ResidentialLivingHVACAvail</v>
      </c>
      <c r="AC29" s="114" t="str">
        <f>'Area Category Method'!$S27&amp;AC$86</f>
        <v>ResidentialLivingHtgSetpt</v>
      </c>
      <c r="AD29" s="114" t="str">
        <f>'Area Category Method'!$S27&amp;AD$86</f>
        <v>ResidentialLivingClgSetpt</v>
      </c>
      <c r="AE29" s="114" t="str">
        <f>'Area Category Method'!$S27&amp;AE$86</f>
        <v>ResidentialLivingElevator</v>
      </c>
      <c r="AF29" s="114" t="str">
        <f>'Area Category Method'!$S27&amp;AF$86</f>
        <v>ResidentialLivingEscalator</v>
      </c>
      <c r="AG29" s="114" t="str">
        <f>'Area Category Method'!$S27&amp;AG$86</f>
        <v>ResidentialLivingWtrHtrSetpt</v>
      </c>
      <c r="AH29" s="114" t="s">
        <v>352</v>
      </c>
    </row>
    <row r="30" spans="2:34" x14ac:dyDescent="0.25">
      <c r="B30" s="114" t="str">
        <f>TRIM(LEFT('Area Category Method'!$A28,IF(ISNUMBER(FIND(" (Note",'Area Category Method'!$A28,1)),FIND(" (Note",'Area Category Method'!$A28,1),99)))</f>
        <v>Housing, Public and Common Areas: Multi-family, Dormitory</v>
      </c>
      <c r="C30" s="114">
        <f>'Area Category Method'!B28</f>
        <v>20</v>
      </c>
      <c r="D30" s="114">
        <f>'Area Category Method'!C28</f>
        <v>0.5</v>
      </c>
      <c r="E30" s="114">
        <f>'Area Category Method'!D28</f>
        <v>250</v>
      </c>
      <c r="F30" s="114">
        <f>'Area Category Method'!E28</f>
        <v>250</v>
      </c>
      <c r="G30" s="114">
        <f>'Area Category Method'!F28</f>
        <v>0.5</v>
      </c>
      <c r="H30" s="114">
        <f>'Area Category Method'!G28</f>
        <v>0.192</v>
      </c>
      <c r="I30" s="114">
        <f>'Area Category Method'!H28</f>
        <v>1</v>
      </c>
      <c r="J30" s="114">
        <f>'Area Category Method'!I28</f>
        <v>0.15</v>
      </c>
      <c r="K30" s="114">
        <f>'Area Category Method'!J28</f>
        <v>0.15</v>
      </c>
      <c r="L30" s="114">
        <f>'Area Category Method'!K28</f>
        <v>150</v>
      </c>
      <c r="M30" s="114">
        <f>'Area Category Method'!L28</f>
        <v>150</v>
      </c>
      <c r="N30" s="114">
        <f>'Area Category Method'!M28</f>
        <v>0</v>
      </c>
      <c r="O30" s="114">
        <f>'Area Category Method'!N28</f>
        <v>0</v>
      </c>
      <c r="P30" s="114">
        <f>'Area Category Method'!O28</f>
        <v>200</v>
      </c>
      <c r="Q30" s="114">
        <f>'Area Category Method'!P28</f>
        <v>500</v>
      </c>
      <c r="R30" s="114">
        <f>'Area Category Method'!Q28</f>
        <v>1.5</v>
      </c>
      <c r="S30" s="114">
        <f>'Area Category Method'!R28</f>
        <v>2</v>
      </c>
      <c r="T30" s="114" t="str">
        <f>'Area Category Method'!S28</f>
        <v>ResidentialCommon</v>
      </c>
      <c r="U30" s="114" t="str">
        <f>'Area Category Method'!$S28&amp;U$86</f>
        <v>ResidentialCommonOccupancy</v>
      </c>
      <c r="V30" s="114" t="str">
        <f>'Area Category Method'!$S28&amp;V$86</f>
        <v>ResidentialCommonReceptacle</v>
      </c>
      <c r="W30" s="114" t="str">
        <f>'Area Category Method'!$S28&amp;W$86</f>
        <v>ResidentialCommonServiceHotWater</v>
      </c>
      <c r="X30" s="114" t="str">
        <f>'Area Category Method'!$S28&amp;X$86</f>
        <v>ResidentialCommonLights</v>
      </c>
      <c r="Y30" s="114" t="str">
        <f>'Area Category Method'!$S28&amp;Y$86</f>
        <v>ResidentialCommonGasEquip</v>
      </c>
      <c r="Z30" s="114" t="str">
        <f>'Area Category Method'!$S28&amp;Z$86</f>
        <v>ResidentialCommonRefrigeration</v>
      </c>
      <c r="AA30" s="114" t="str">
        <f>'Area Category Method'!$S28&amp;AA$86</f>
        <v>ResidentialCommonInfiltration</v>
      </c>
      <c r="AB30" s="114" t="str">
        <f>'Area Category Method'!$S28&amp;AB$86</f>
        <v>ResidentialCommonHVACAvail</v>
      </c>
      <c r="AC30" s="114" t="str">
        <f>'Area Category Method'!$S28&amp;AC$86</f>
        <v>ResidentialCommonHtgSetpt</v>
      </c>
      <c r="AD30" s="114" t="str">
        <f>'Area Category Method'!$S28&amp;AD$86</f>
        <v>ResidentialCommonClgSetpt</v>
      </c>
      <c r="AE30" s="114" t="str">
        <f>'Area Category Method'!$S28&amp;AE$86</f>
        <v>ResidentialCommonElevator</v>
      </c>
      <c r="AF30" s="114" t="str">
        <f>'Area Category Method'!$S28&amp;AF$86</f>
        <v>ResidentialCommonEscalator</v>
      </c>
      <c r="AG30" s="114" t="str">
        <f>'Area Category Method'!$S28&amp;AG$86</f>
        <v>ResidentialCommonWtrHtrSetpt</v>
      </c>
      <c r="AH30" s="114" t="s">
        <v>352</v>
      </c>
    </row>
    <row r="31" spans="2:34" x14ac:dyDescent="0.25">
      <c r="B31" s="114" t="str">
        <f>TRIM(LEFT('Area Category Method'!$A29,IF(ISNUMBER(FIND(" (Note",'Area Category Method'!$A29,1)),FIND(" (Note",'Area Category Method'!$A29,1),99)))</f>
        <v>Housing, Public and Common Areas: Senior Housing</v>
      </c>
      <c r="C31" s="114">
        <f>'Area Category Method'!B29</f>
        <v>10</v>
      </c>
      <c r="D31" s="114">
        <f>'Area Category Method'!C29</f>
        <v>0.5</v>
      </c>
      <c r="E31" s="114">
        <f>'Area Category Method'!D29</f>
        <v>250</v>
      </c>
      <c r="F31" s="114">
        <f>'Area Category Method'!E29</f>
        <v>250</v>
      </c>
      <c r="G31" s="114">
        <f>'Area Category Method'!F29</f>
        <v>0.5</v>
      </c>
      <c r="H31" s="114">
        <f>'Area Category Method'!G29</f>
        <v>0.192</v>
      </c>
      <c r="I31" s="114">
        <f>'Area Category Method'!H29</f>
        <v>1.5</v>
      </c>
      <c r="J31" s="114">
        <f>'Area Category Method'!I29</f>
        <v>0.15</v>
      </c>
      <c r="K31" s="114">
        <f>'Area Category Method'!J29</f>
        <v>0.15</v>
      </c>
      <c r="L31" s="114">
        <f>'Area Category Method'!K29</f>
        <v>150</v>
      </c>
      <c r="M31" s="114">
        <f>'Area Category Method'!L29</f>
        <v>150</v>
      </c>
      <c r="N31" s="114">
        <f>'Area Category Method'!M29</f>
        <v>0</v>
      </c>
      <c r="O31" s="114">
        <f>'Area Category Method'!N29</f>
        <v>0</v>
      </c>
      <c r="P31" s="114">
        <f>'Area Category Method'!O29</f>
        <v>400</v>
      </c>
      <c r="Q31" s="114">
        <f>'Area Category Method'!P29</f>
        <v>1000</v>
      </c>
      <c r="R31" s="114">
        <f>'Area Category Method'!Q29</f>
        <v>1.5</v>
      </c>
      <c r="S31" s="114">
        <f>'Area Category Method'!R29</f>
        <v>2</v>
      </c>
      <c r="T31" s="114" t="str">
        <f>'Area Category Method'!S29</f>
        <v>ResidentialCommon</v>
      </c>
      <c r="U31" s="114" t="str">
        <f>'Area Category Method'!$S29&amp;U$86</f>
        <v>ResidentialCommonOccupancy</v>
      </c>
      <c r="V31" s="114" t="str">
        <f>'Area Category Method'!$S29&amp;V$86</f>
        <v>ResidentialCommonReceptacle</v>
      </c>
      <c r="W31" s="114" t="str">
        <f>'Area Category Method'!$S29&amp;W$86</f>
        <v>ResidentialCommonServiceHotWater</v>
      </c>
      <c r="X31" s="114" t="str">
        <f>'Area Category Method'!$S29&amp;X$86</f>
        <v>ResidentialCommonLights</v>
      </c>
      <c r="Y31" s="114" t="str">
        <f>'Area Category Method'!$S29&amp;Y$86</f>
        <v>ResidentialCommonGasEquip</v>
      </c>
      <c r="Z31" s="114" t="str">
        <f>'Area Category Method'!$S29&amp;Z$86</f>
        <v>ResidentialCommonRefrigeration</v>
      </c>
      <c r="AA31" s="114" t="str">
        <f>'Area Category Method'!$S29&amp;AA$86</f>
        <v>ResidentialCommonInfiltration</v>
      </c>
      <c r="AB31" s="114" t="str">
        <f>'Area Category Method'!$S29&amp;AB$86</f>
        <v>ResidentialCommonHVACAvail</v>
      </c>
      <c r="AC31" s="114" t="str">
        <f>'Area Category Method'!$S29&amp;AC$86</f>
        <v>ResidentialCommonHtgSetpt</v>
      </c>
      <c r="AD31" s="114" t="str">
        <f>'Area Category Method'!$S29&amp;AD$86</f>
        <v>ResidentialCommonClgSetpt</v>
      </c>
      <c r="AE31" s="114" t="str">
        <f>'Area Category Method'!$S29&amp;AE$86</f>
        <v>ResidentialCommonElevator</v>
      </c>
      <c r="AF31" s="114" t="str">
        <f>'Area Category Method'!$S29&amp;AF$86</f>
        <v>ResidentialCommonEscalator</v>
      </c>
      <c r="AG31" s="114" t="str">
        <f>'Area Category Method'!$S29&amp;AG$86</f>
        <v>ResidentialCommonWtrHtrSetpt</v>
      </c>
      <c r="AH31" s="114" t="s">
        <v>352</v>
      </c>
    </row>
    <row r="32" spans="2:34" x14ac:dyDescent="0.25">
      <c r="B32" s="114" t="str">
        <f>TRIM(LEFT('Area Category Method'!$A30,IF(ISNUMBER(FIND(" (Note",'Area Category Method'!$A30,1)),FIND(" (Note",'Area Category Method'!$A30,1),99)))</f>
        <v>Kitchen, Commercial Food Preparation</v>
      </c>
      <c r="C32" s="114">
        <f>'Area Category Method'!B30</f>
        <v>5</v>
      </c>
      <c r="D32" s="114">
        <f>'Area Category Method'!C30</f>
        <v>0.5</v>
      </c>
      <c r="E32" s="114">
        <f>'Area Category Method'!D30</f>
        <v>275</v>
      </c>
      <c r="F32" s="114">
        <f>'Area Category Method'!E30</f>
        <v>475</v>
      </c>
      <c r="G32" s="114">
        <f>'Area Category Method'!F30</f>
        <v>1.5</v>
      </c>
      <c r="H32" s="114">
        <f>'Area Category Method'!G30</f>
        <v>0.57799999999999996</v>
      </c>
      <c r="I32" s="114">
        <f>'Area Category Method'!H30</f>
        <v>1.6</v>
      </c>
      <c r="J32" s="114">
        <f>'Area Category Method'!I30</f>
        <v>0.15</v>
      </c>
      <c r="K32" s="114">
        <f>'Area Category Method'!J30</f>
        <v>0.15</v>
      </c>
      <c r="L32" s="114">
        <f>'Area Category Method'!K30</f>
        <v>150</v>
      </c>
      <c r="M32" s="114">
        <f>'Area Category Method'!L30</f>
        <v>150</v>
      </c>
      <c r="N32" s="114">
        <f>'Area Category Method'!M30</f>
        <v>17.537679999999998</v>
      </c>
      <c r="O32" s="114">
        <f>'Area Category Method'!N30</f>
        <v>1.1200000000000001</v>
      </c>
      <c r="P32" s="114">
        <f>'Area Category Method'!O30</f>
        <v>100</v>
      </c>
      <c r="Q32" s="114">
        <f>'Area Category Method'!P30</f>
        <v>500</v>
      </c>
      <c r="R32" s="114">
        <f>'Area Category Method'!Q30</f>
        <v>1.5</v>
      </c>
      <c r="S32" s="114">
        <f>'Area Category Method'!R30</f>
        <v>2</v>
      </c>
      <c r="T32" s="114" t="str">
        <f>'Area Category Method'!S30</f>
        <v>Restaurant</v>
      </c>
      <c r="U32" s="114" t="str">
        <f>'Area Category Method'!$S30&amp;U$86</f>
        <v>RestaurantOccupancy</v>
      </c>
      <c r="V32" s="114" t="str">
        <f>'Area Category Method'!$S30&amp;V$86</f>
        <v>RestaurantReceptacle</v>
      </c>
      <c r="W32" s="114" t="str">
        <f>'Area Category Method'!$S30&amp;W$86</f>
        <v>RestaurantServiceHotWater</v>
      </c>
      <c r="X32" s="114" t="str">
        <f>'Area Category Method'!$S30&amp;X$86</f>
        <v>RestaurantLights</v>
      </c>
      <c r="Y32" s="114" t="str">
        <f>'Area Category Method'!$S30&amp;Y$86</f>
        <v>RestaurantGasEquip</v>
      </c>
      <c r="Z32" s="114" t="str">
        <f>'Area Category Method'!$S30&amp;Z$86</f>
        <v>RestaurantRefrigeration</v>
      </c>
      <c r="AA32" s="114" t="str">
        <f>'Area Category Method'!$S30&amp;AA$86</f>
        <v>RestaurantInfiltration</v>
      </c>
      <c r="AB32" s="114" t="str">
        <f>'Area Category Method'!$S30&amp;AB$86</f>
        <v>RestaurantHVACAvail</v>
      </c>
      <c r="AC32" s="114" t="str">
        <f>'Area Category Method'!$S30&amp;AC$86</f>
        <v>RestaurantHtgSetpt</v>
      </c>
      <c r="AD32" s="114" t="str">
        <f>'Area Category Method'!$S30&amp;AD$86</f>
        <v>RestaurantClgSetpt</v>
      </c>
      <c r="AE32" s="114" t="str">
        <f>'Area Category Method'!$S30&amp;AE$86</f>
        <v>RestaurantElevator</v>
      </c>
      <c r="AF32" s="114" t="str">
        <f>'Area Category Method'!$S30&amp;AF$86</f>
        <v>RestaurantEscalator</v>
      </c>
      <c r="AG32" s="114" t="str">
        <f>'Area Category Method'!$S30&amp;AG$86</f>
        <v>RestaurantWtrHtrSetpt</v>
      </c>
      <c r="AH32" s="114" t="s">
        <v>352</v>
      </c>
    </row>
    <row r="33" spans="2:34" x14ac:dyDescent="0.25">
      <c r="B33" s="114" t="str">
        <f>TRIM(LEFT('Area Category Method'!$A31,IF(ISNUMBER(FIND(" (Note",'Area Category Method'!$A31,1)),FIND(" (Note",'Area Category Method'!$A31,1),99)))</f>
        <v>Kitchenette or Residential Kitchen</v>
      </c>
      <c r="C33" s="114">
        <f>'Area Category Method'!B31</f>
        <v>5</v>
      </c>
      <c r="D33" s="114">
        <f>'Area Category Method'!C31</f>
        <v>0.5</v>
      </c>
      <c r="E33" s="114">
        <f>'Area Category Method'!D31</f>
        <v>275</v>
      </c>
      <c r="F33" s="114">
        <f>'Area Category Method'!E31</f>
        <v>475</v>
      </c>
      <c r="G33" s="114">
        <f>'Area Category Method'!F31</f>
        <v>1</v>
      </c>
      <c r="H33" s="114">
        <f>'Area Category Method'!G31</f>
        <v>0.36</v>
      </c>
      <c r="I33" s="114">
        <f>'Area Category Method'!H31</f>
        <v>1.6</v>
      </c>
      <c r="J33" s="114">
        <f>'Area Category Method'!I31</f>
        <v>0.15</v>
      </c>
      <c r="K33" s="114">
        <f>'Area Category Method'!J31</f>
        <v>0.15</v>
      </c>
      <c r="L33" s="114">
        <f>'Area Category Method'!K31</f>
        <v>150</v>
      </c>
      <c r="M33" s="114">
        <f>'Area Category Method'!L31</f>
        <v>150</v>
      </c>
      <c r="N33" s="114">
        <f>'Area Category Method'!M31</f>
        <v>3</v>
      </c>
      <c r="O33" s="114">
        <f>'Area Category Method'!N31</f>
        <v>0.5</v>
      </c>
      <c r="P33" s="114">
        <f>'Area Category Method'!O31</f>
        <v>100</v>
      </c>
      <c r="Q33" s="114">
        <f>'Area Category Method'!P31</f>
        <v>500</v>
      </c>
      <c r="R33" s="114">
        <f>'Area Category Method'!Q31</f>
        <v>1.5</v>
      </c>
      <c r="S33" s="114">
        <f>'Area Category Method'!R31</f>
        <v>2</v>
      </c>
      <c r="T33" s="114" t="str">
        <f>'Area Category Method'!S31</f>
        <v>Office</v>
      </c>
      <c r="U33" s="114" t="str">
        <f>'Area Category Method'!$S31&amp;U$86</f>
        <v>OfficeOccupancy</v>
      </c>
      <c r="V33" s="114" t="str">
        <f>'Area Category Method'!$S31&amp;V$86</f>
        <v>OfficeReceptacle</v>
      </c>
      <c r="W33" s="114" t="str">
        <f>'Area Category Method'!$S31&amp;W$86</f>
        <v>OfficeServiceHotWater</v>
      </c>
      <c r="X33" s="114" t="str">
        <f>'Area Category Method'!$S31&amp;X$86</f>
        <v>OfficeLights</v>
      </c>
      <c r="Y33" s="114" t="str">
        <f>'Area Category Method'!$S31&amp;Y$86</f>
        <v>OfficeGasEquip</v>
      </c>
      <c r="Z33" s="114" t="str">
        <f>'Area Category Method'!$S31&amp;Z$86</f>
        <v>OfficeRefrigeration</v>
      </c>
      <c r="AA33" s="114" t="str">
        <f>'Area Category Method'!$S31&amp;AA$86</f>
        <v>OfficeInfiltration</v>
      </c>
      <c r="AB33" s="114" t="str">
        <f>'Area Category Method'!$S31&amp;AB$86</f>
        <v>OfficeHVACAvail</v>
      </c>
      <c r="AC33" s="114" t="str">
        <f>'Area Category Method'!$S31&amp;AC$86</f>
        <v>OfficeHtgSetpt</v>
      </c>
      <c r="AD33" s="114" t="str">
        <f>'Area Category Method'!$S31&amp;AD$86</f>
        <v>OfficeClgSetpt</v>
      </c>
      <c r="AE33" s="114" t="str">
        <f>'Area Category Method'!$S31&amp;AE$86</f>
        <v>OfficeElevator</v>
      </c>
      <c r="AF33" s="114" t="str">
        <f>'Area Category Method'!$S31&amp;AF$86</f>
        <v>OfficeEscalator</v>
      </c>
      <c r="AG33" s="114" t="str">
        <f>'Area Category Method'!$S31&amp;AG$86</f>
        <v>OfficeWtrHtrSetpt</v>
      </c>
      <c r="AH33" s="114" t="s">
        <v>352</v>
      </c>
    </row>
    <row r="34" spans="2:34" x14ac:dyDescent="0.25">
      <c r="B34" s="114" t="str">
        <f>TRIM(LEFT('Area Category Method'!$A32,IF(ISNUMBER(FIND(" (Note",'Area Category Method'!$A32,1)),FIND(" (Note",'Area Category Method'!$A32,1),99)))</f>
        <v>Laboratory, Scientific</v>
      </c>
      <c r="C34" s="114">
        <f>'Area Category Method'!B32</f>
        <v>10</v>
      </c>
      <c r="D34" s="114">
        <f>'Area Category Method'!C32</f>
        <v>0.5</v>
      </c>
      <c r="E34" s="114">
        <f>'Area Category Method'!D32</f>
        <v>250</v>
      </c>
      <c r="F34" s="114">
        <f>'Area Category Method'!E32</f>
        <v>200</v>
      </c>
      <c r="G34" s="114">
        <f>'Area Category Method'!F32</f>
        <v>2</v>
      </c>
      <c r="H34" s="114">
        <f>'Area Category Method'!G32</f>
        <v>0.18</v>
      </c>
      <c r="I34" s="114">
        <f>'Area Category Method'!H32</f>
        <v>1.4</v>
      </c>
      <c r="J34" s="114">
        <f>'Area Category Method'!I32</f>
        <v>0.15</v>
      </c>
      <c r="K34" s="119">
        <v>0</v>
      </c>
      <c r="L34" s="114">
        <f>'Area Category Method'!K32</f>
        <v>150</v>
      </c>
      <c r="M34" s="114">
        <f>'Area Category Method'!L32</f>
        <v>150</v>
      </c>
      <c r="N34" s="114">
        <f>'Area Category Method'!M32</f>
        <v>12.692640000000001</v>
      </c>
      <c r="O34" s="114">
        <f>'Area Category Method'!N32</f>
        <v>0.28000000000000003</v>
      </c>
      <c r="P34" s="114">
        <f>'Area Category Method'!O32</f>
        <v>500</v>
      </c>
      <c r="Q34" s="114">
        <f>'Area Category Method'!P32</f>
        <v>1000</v>
      </c>
      <c r="R34" s="114">
        <f>'Area Category Method'!Q32</f>
        <v>1.5</v>
      </c>
      <c r="S34" s="114">
        <f>'Area Category Method'!R32</f>
        <v>2</v>
      </c>
      <c r="T34" s="114" t="str">
        <f>'Area Category Method'!S32</f>
        <v>Laboratory</v>
      </c>
      <c r="U34" s="114" t="str">
        <f>"Lab"&amp;U$86</f>
        <v>LabOccupancy</v>
      </c>
      <c r="V34" s="114" t="str">
        <f t="shared" ref="V34:AG35" si="0">"Lab"&amp;V$86</f>
        <v>LabReceptacle</v>
      </c>
      <c r="W34" s="114" t="str">
        <f t="shared" si="0"/>
        <v>LabServiceHotWater</v>
      </c>
      <c r="X34" s="114" t="str">
        <f t="shared" si="0"/>
        <v>LabLights</v>
      </c>
      <c r="Y34" s="114" t="str">
        <f t="shared" si="0"/>
        <v>LabGasEquip</v>
      </c>
      <c r="Z34" s="114" t="str">
        <f t="shared" si="0"/>
        <v>LabRefrigeration</v>
      </c>
      <c r="AA34" s="114" t="str">
        <f t="shared" si="0"/>
        <v>LabInfiltration</v>
      </c>
      <c r="AB34" s="114" t="str">
        <f t="shared" si="0"/>
        <v>LabHVACAvail</v>
      </c>
      <c r="AC34" s="114" t="str">
        <f t="shared" si="0"/>
        <v>LabHtgSetpt</v>
      </c>
      <c r="AD34" s="114" t="str">
        <f t="shared" si="0"/>
        <v>LabClgSetpt</v>
      </c>
      <c r="AE34" s="114" t="str">
        <f t="shared" si="0"/>
        <v>LabElevator</v>
      </c>
      <c r="AF34" s="114" t="str">
        <f t="shared" si="0"/>
        <v>LabEscalator</v>
      </c>
      <c r="AG34" s="114" t="str">
        <f t="shared" si="0"/>
        <v>LabWtrHtrSetpt</v>
      </c>
      <c r="AH34" s="114" t="s">
        <v>352</v>
      </c>
    </row>
    <row r="35" spans="2:34" x14ac:dyDescent="0.25">
      <c r="B35" s="114" t="str">
        <f>TRIM(LEFT('Area Category Method'!$A33,IF(ISNUMBER(FIND(" (Note",'Area Category Method'!$A33,1)),FIND(" (Note",'Area Category Method'!$A33,1),99)))</f>
        <v>Laboratory, Equipment Room</v>
      </c>
      <c r="C35" s="114">
        <f>'Area Category Method'!B33</f>
        <v>5</v>
      </c>
      <c r="D35" s="114">
        <f>'Area Category Method'!C33</f>
        <v>0.5</v>
      </c>
      <c r="E35" s="114">
        <f>'Area Category Method'!D33</f>
        <v>250</v>
      </c>
      <c r="F35" s="114">
        <f>'Area Category Method'!E33</f>
        <v>200</v>
      </c>
      <c r="G35" s="114">
        <f>'Area Category Method'!F33</f>
        <v>10</v>
      </c>
      <c r="H35" s="114">
        <f>'Area Category Method'!G33</f>
        <v>0.18</v>
      </c>
      <c r="I35" s="114">
        <f>'Area Category Method'!H33</f>
        <v>1.4</v>
      </c>
      <c r="J35" s="114">
        <f>'Area Category Method'!I33</f>
        <v>0.15</v>
      </c>
      <c r="K35" s="119">
        <v>0</v>
      </c>
      <c r="L35" s="114">
        <f>'Area Category Method'!K33</f>
        <v>150</v>
      </c>
      <c r="M35" s="114">
        <f>'Area Category Method'!L33</f>
        <v>150</v>
      </c>
      <c r="N35" s="114">
        <f>'Area Category Method'!M33</f>
        <v>12.692640000000001</v>
      </c>
      <c r="O35" s="114">
        <f>'Area Category Method'!N33</f>
        <v>0</v>
      </c>
      <c r="P35" s="114">
        <f>'Area Category Method'!O33</f>
        <v>500</v>
      </c>
      <c r="Q35" s="114">
        <f>'Area Category Method'!P33</f>
        <v>1000</v>
      </c>
      <c r="R35" s="114">
        <f>'Area Category Method'!Q33</f>
        <v>1.5</v>
      </c>
      <c r="S35" s="114">
        <f>'Area Category Method'!R33</f>
        <v>2</v>
      </c>
      <c r="T35" s="114" t="str">
        <f>'Area Category Method'!S33</f>
        <v>Laboratory</v>
      </c>
      <c r="U35" s="114" t="str">
        <f>"Lab"&amp;U$86</f>
        <v>LabOccupancy</v>
      </c>
      <c r="V35" s="114" t="str">
        <f t="shared" si="0"/>
        <v>LabReceptacle</v>
      </c>
      <c r="W35" s="114" t="str">
        <f t="shared" si="0"/>
        <v>LabServiceHotWater</v>
      </c>
      <c r="X35" s="114" t="str">
        <f t="shared" si="0"/>
        <v>LabLights</v>
      </c>
      <c r="Y35" s="114" t="str">
        <f t="shared" si="0"/>
        <v>LabGasEquip</v>
      </c>
      <c r="Z35" s="114" t="str">
        <f t="shared" si="0"/>
        <v>LabRefrigeration</v>
      </c>
      <c r="AA35" s="114" t="str">
        <f t="shared" si="0"/>
        <v>LabInfiltration</v>
      </c>
      <c r="AB35" s="114" t="str">
        <f t="shared" si="0"/>
        <v>LabHVACAvail</v>
      </c>
      <c r="AC35" s="114" t="str">
        <f t="shared" si="0"/>
        <v>LabHtgSetpt</v>
      </c>
      <c r="AD35" s="114" t="str">
        <f t="shared" si="0"/>
        <v>LabClgSetpt</v>
      </c>
      <c r="AE35" s="114" t="str">
        <f t="shared" si="0"/>
        <v>LabElevator</v>
      </c>
      <c r="AF35" s="114" t="str">
        <f t="shared" si="0"/>
        <v>LabEscalator</v>
      </c>
      <c r="AG35" s="114" t="str">
        <f t="shared" si="0"/>
        <v>LabWtrHtrSetpt</v>
      </c>
      <c r="AH35" s="114" t="s">
        <v>352</v>
      </c>
    </row>
    <row r="36" spans="2:34" x14ac:dyDescent="0.25">
      <c r="B36" s="114" t="str">
        <f>TRIM(LEFT('Area Category Method'!$A34,IF(ISNUMBER(FIND(" (Note",'Area Category Method'!$A34,1)),FIND(" (Note",'Area Category Method'!$A34,1),99)))</f>
        <v>Laundry</v>
      </c>
      <c r="C36" s="114">
        <f>'Area Category Method'!B34</f>
        <v>10</v>
      </c>
      <c r="D36" s="114">
        <f>'Area Category Method'!C34</f>
        <v>0.5</v>
      </c>
      <c r="E36" s="114">
        <f>'Area Category Method'!D34</f>
        <v>250</v>
      </c>
      <c r="F36" s="114">
        <f>'Area Category Method'!E34</f>
        <v>250</v>
      </c>
      <c r="G36" s="114">
        <f>'Area Category Method'!F34</f>
        <v>3</v>
      </c>
      <c r="H36" s="114">
        <f>'Area Category Method'!G34</f>
        <v>0.57799999999999996</v>
      </c>
      <c r="I36" s="114">
        <f>'Area Category Method'!H34</f>
        <v>0.9</v>
      </c>
      <c r="J36" s="114">
        <f>'Area Category Method'!I34</f>
        <v>0.15</v>
      </c>
      <c r="K36" s="114">
        <f>'Area Category Method'!J34</f>
        <v>0.15</v>
      </c>
      <c r="L36" s="114">
        <f>'Area Category Method'!K34</f>
        <v>8760</v>
      </c>
      <c r="M36" s="114">
        <f>'Area Category Method'!L34</f>
        <v>8760</v>
      </c>
      <c r="N36" s="114">
        <f>'Area Category Method'!M34</f>
        <v>0.75063999999999997</v>
      </c>
      <c r="O36" s="114">
        <f>'Area Category Method'!N34</f>
        <v>0</v>
      </c>
      <c r="P36" s="114">
        <f>'Area Category Method'!O34</f>
        <v>100</v>
      </c>
      <c r="Q36" s="114">
        <f>'Area Category Method'!P34</f>
        <v>300</v>
      </c>
      <c r="R36" s="114">
        <f>'Area Category Method'!Q34</f>
        <v>1.5</v>
      </c>
      <c r="S36" s="114">
        <f>'Area Category Method'!R34</f>
        <v>2</v>
      </c>
      <c r="T36" s="114" t="str">
        <f>'Area Category Method'!S34</f>
        <v>Manufacturing</v>
      </c>
      <c r="U36" s="114" t="str">
        <f>'Area Category Method'!$S34&amp;U$86</f>
        <v>ManufacturingOccupancy</v>
      </c>
      <c r="V36" s="114" t="str">
        <f>'Area Category Method'!$S34&amp;V$86</f>
        <v>ManufacturingReceptacle</v>
      </c>
      <c r="W36" s="114" t="str">
        <f>'Area Category Method'!$S34&amp;W$86</f>
        <v>ManufacturingServiceHotWater</v>
      </c>
      <c r="X36" s="114" t="str">
        <f>'Area Category Method'!$S34&amp;X$86</f>
        <v>ManufacturingLights</v>
      </c>
      <c r="Y36" s="114" t="str">
        <f>'Area Category Method'!$S34&amp;Y$86</f>
        <v>ManufacturingGasEquip</v>
      </c>
      <c r="Z36" s="114" t="str">
        <f>'Area Category Method'!$S34&amp;Z$86</f>
        <v>ManufacturingRefrigeration</v>
      </c>
      <c r="AA36" s="114" t="str">
        <f>'Area Category Method'!$S34&amp;AA$86</f>
        <v>ManufacturingInfiltration</v>
      </c>
      <c r="AB36" s="114" t="str">
        <f>'Area Category Method'!$S34&amp;AB$86</f>
        <v>ManufacturingHVACAvail</v>
      </c>
      <c r="AC36" s="114" t="str">
        <f>'Area Category Method'!$S34&amp;AC$86</f>
        <v>ManufacturingHtgSetpt</v>
      </c>
      <c r="AD36" s="114" t="str">
        <f>'Area Category Method'!$S34&amp;AD$86</f>
        <v>ManufacturingClgSetpt</v>
      </c>
      <c r="AE36" s="114" t="str">
        <f>'Area Category Method'!$S34&amp;AE$86</f>
        <v>ManufacturingElevator</v>
      </c>
      <c r="AF36" s="114" t="str">
        <f>'Area Category Method'!$S34&amp;AF$86</f>
        <v>ManufacturingEscalator</v>
      </c>
      <c r="AG36" s="114" t="str">
        <f>'Area Category Method'!$S34&amp;AG$86</f>
        <v>ManufacturingWtrHtrSetpt</v>
      </c>
      <c r="AH36" s="114" t="s">
        <v>352</v>
      </c>
    </row>
    <row r="37" spans="2:34" x14ac:dyDescent="0.25">
      <c r="B37" s="114" t="str">
        <f>TRIM(LEFT('Area Category Method'!$A35,IF(ISNUMBER(FIND(" (Note",'Area Category Method'!$A35,1)),FIND(" (Note",'Area Category Method'!$A35,1),99)))</f>
        <v>Library, Reading Areas</v>
      </c>
      <c r="C37" s="114">
        <f>'Area Category Method'!B35</f>
        <v>20</v>
      </c>
      <c r="D37" s="114">
        <f>'Area Category Method'!C35</f>
        <v>0.5</v>
      </c>
      <c r="E37" s="114">
        <f>'Area Category Method'!D35</f>
        <v>250</v>
      </c>
      <c r="F37" s="114">
        <f>'Area Category Method'!E35</f>
        <v>200</v>
      </c>
      <c r="G37" s="114">
        <f>'Area Category Method'!F35</f>
        <v>1.5</v>
      </c>
      <c r="H37" s="114">
        <f>'Area Category Method'!G35</f>
        <v>0.18</v>
      </c>
      <c r="I37" s="114">
        <f>'Area Category Method'!H35</f>
        <v>1.2</v>
      </c>
      <c r="J37" s="114">
        <f>'Area Category Method'!I35</f>
        <v>0.15</v>
      </c>
      <c r="K37" s="114">
        <f>'Area Category Method'!J35</f>
        <v>0.15</v>
      </c>
      <c r="L37" s="114">
        <f>'Area Category Method'!K35</f>
        <v>150</v>
      </c>
      <c r="M37" s="114">
        <f>'Area Category Method'!L35</f>
        <v>150</v>
      </c>
      <c r="N37" s="114">
        <f>'Area Category Method'!M35</f>
        <v>0</v>
      </c>
      <c r="O37" s="114">
        <f>'Area Category Method'!N35</f>
        <v>0</v>
      </c>
      <c r="P37" s="114">
        <f>'Area Category Method'!O35</f>
        <v>150</v>
      </c>
      <c r="Q37" s="114">
        <f>'Area Category Method'!P35</f>
        <v>500</v>
      </c>
      <c r="R37" s="114">
        <f>'Area Category Method'!Q35</f>
        <v>1.5</v>
      </c>
      <c r="S37" s="114">
        <f>'Area Category Method'!R35</f>
        <v>2</v>
      </c>
      <c r="T37" s="114" t="str">
        <f>'Area Category Method'!S35</f>
        <v>Office</v>
      </c>
      <c r="U37" s="114" t="str">
        <f>'Area Category Method'!$S35&amp;U$86</f>
        <v>OfficeOccupancy</v>
      </c>
      <c r="V37" s="114" t="str">
        <f>'Area Category Method'!$S35&amp;V$86</f>
        <v>OfficeReceptacle</v>
      </c>
      <c r="W37" s="114" t="str">
        <f>'Area Category Method'!$S35&amp;W$86</f>
        <v>OfficeServiceHotWater</v>
      </c>
      <c r="X37" s="114" t="str">
        <f>'Area Category Method'!$S35&amp;X$86</f>
        <v>OfficeLights</v>
      </c>
      <c r="Y37" s="114" t="str">
        <f>'Area Category Method'!$S35&amp;Y$86</f>
        <v>OfficeGasEquip</v>
      </c>
      <c r="Z37" s="114" t="str">
        <f>'Area Category Method'!$S35&amp;Z$86</f>
        <v>OfficeRefrigeration</v>
      </c>
      <c r="AA37" s="114" t="str">
        <f>'Area Category Method'!$S35&amp;AA$86</f>
        <v>OfficeInfiltration</v>
      </c>
      <c r="AB37" s="114" t="str">
        <f>'Area Category Method'!$S35&amp;AB$86</f>
        <v>OfficeHVACAvail</v>
      </c>
      <c r="AC37" s="114" t="str">
        <f>'Area Category Method'!$S35&amp;AC$86</f>
        <v>OfficeHtgSetpt</v>
      </c>
      <c r="AD37" s="114" t="str">
        <f>'Area Category Method'!$S35&amp;AD$86</f>
        <v>OfficeClgSetpt</v>
      </c>
      <c r="AE37" s="114" t="str">
        <f>'Area Category Method'!$S35&amp;AE$86</f>
        <v>OfficeElevator</v>
      </c>
      <c r="AF37" s="114" t="str">
        <f>'Area Category Method'!$S35&amp;AF$86</f>
        <v>OfficeEscalator</v>
      </c>
      <c r="AG37" s="114" t="str">
        <f>'Area Category Method'!$S35&amp;AG$86</f>
        <v>OfficeWtrHtrSetpt</v>
      </c>
      <c r="AH37" s="114" t="s">
        <v>352</v>
      </c>
    </row>
    <row r="38" spans="2:34" x14ac:dyDescent="0.25">
      <c r="B38" s="114" t="str">
        <f>TRIM(LEFT('Area Category Method'!$A36,IF(ISNUMBER(FIND(" (Note",'Area Category Method'!$A36,1)),FIND(" (Note",'Area Category Method'!$A36,1),99)))</f>
        <v>Library, Stacks</v>
      </c>
      <c r="C38" s="114">
        <f>'Area Category Method'!B36</f>
        <v>10</v>
      </c>
      <c r="D38" s="114">
        <f>'Area Category Method'!C36</f>
        <v>0.5</v>
      </c>
      <c r="E38" s="114">
        <f>'Area Category Method'!D36</f>
        <v>250</v>
      </c>
      <c r="F38" s="114">
        <f>'Area Category Method'!E36</f>
        <v>200</v>
      </c>
      <c r="G38" s="114">
        <f>'Area Category Method'!F36</f>
        <v>1.5</v>
      </c>
      <c r="H38" s="114">
        <f>'Area Category Method'!G36</f>
        <v>0.18</v>
      </c>
      <c r="I38" s="114">
        <f>'Area Category Method'!H36</f>
        <v>1.5</v>
      </c>
      <c r="J38" s="114">
        <f>'Area Category Method'!I36</f>
        <v>0.15</v>
      </c>
      <c r="K38" s="114">
        <f>'Area Category Method'!J36</f>
        <v>0.15</v>
      </c>
      <c r="L38" s="114">
        <f>'Area Category Method'!K36</f>
        <v>150</v>
      </c>
      <c r="M38" s="114">
        <f>'Area Category Method'!L36</f>
        <v>150</v>
      </c>
      <c r="N38" s="114">
        <f>'Area Category Method'!M36</f>
        <v>0</v>
      </c>
      <c r="O38" s="114">
        <f>'Area Category Method'!N36</f>
        <v>0</v>
      </c>
      <c r="P38" s="114">
        <f>'Area Category Method'!O36</f>
        <v>200</v>
      </c>
      <c r="Q38" s="114">
        <f>'Area Category Method'!P36</f>
        <v>300</v>
      </c>
      <c r="R38" s="114">
        <f>'Area Category Method'!Q36</f>
        <v>1</v>
      </c>
      <c r="S38" s="114">
        <f>'Area Category Method'!R36</f>
        <v>4</v>
      </c>
      <c r="T38" s="114" t="str">
        <f>'Area Category Method'!S36</f>
        <v>Office</v>
      </c>
      <c r="U38" s="114" t="str">
        <f>'Area Category Method'!$S36&amp;U$86</f>
        <v>OfficeOccupancy</v>
      </c>
      <c r="V38" s="114" t="str">
        <f>'Area Category Method'!$S36&amp;V$86</f>
        <v>OfficeReceptacle</v>
      </c>
      <c r="W38" s="114" t="str">
        <f>'Area Category Method'!$S36&amp;W$86</f>
        <v>OfficeServiceHotWater</v>
      </c>
      <c r="X38" s="114" t="str">
        <f>'Area Category Method'!$S36&amp;X$86</f>
        <v>OfficeLights</v>
      </c>
      <c r="Y38" s="114" t="str">
        <f>'Area Category Method'!$S36&amp;Y$86</f>
        <v>OfficeGasEquip</v>
      </c>
      <c r="Z38" s="114" t="str">
        <f>'Area Category Method'!$S36&amp;Z$86</f>
        <v>OfficeRefrigeration</v>
      </c>
      <c r="AA38" s="114" t="str">
        <f>'Area Category Method'!$S36&amp;AA$86</f>
        <v>OfficeInfiltration</v>
      </c>
      <c r="AB38" s="114" t="str">
        <f>'Area Category Method'!$S36&amp;AB$86</f>
        <v>OfficeHVACAvail</v>
      </c>
      <c r="AC38" s="114" t="str">
        <f>'Area Category Method'!$S36&amp;AC$86</f>
        <v>OfficeHtgSetpt</v>
      </c>
      <c r="AD38" s="114" t="str">
        <f>'Area Category Method'!$S36&amp;AD$86</f>
        <v>OfficeClgSetpt</v>
      </c>
      <c r="AE38" s="114" t="str">
        <f>'Area Category Method'!$S36&amp;AE$86</f>
        <v>OfficeElevator</v>
      </c>
      <c r="AF38" s="114" t="str">
        <f>'Area Category Method'!$S36&amp;AF$86</f>
        <v>OfficeEscalator</v>
      </c>
      <c r="AG38" s="114" t="str">
        <f>'Area Category Method'!$S36&amp;AG$86</f>
        <v>OfficeWtrHtrSetpt</v>
      </c>
      <c r="AH38" s="114" t="s">
        <v>352</v>
      </c>
    </row>
    <row r="39" spans="2:34" x14ac:dyDescent="0.25">
      <c r="B39" s="114" t="str">
        <f>TRIM(LEFT('Area Category Method'!$A37,IF(ISNUMBER(FIND(" (Note",'Area Category Method'!$A37,1)),FIND(" (Note",'Area Category Method'!$A37,1),99)))</f>
        <v>Lobby, Hotel</v>
      </c>
      <c r="C39" s="114">
        <f>'Area Category Method'!B37</f>
        <v>10</v>
      </c>
      <c r="D39" s="114">
        <f>'Area Category Method'!C37</f>
        <v>0.5</v>
      </c>
      <c r="E39" s="114">
        <f>'Area Category Method'!D37</f>
        <v>250</v>
      </c>
      <c r="F39" s="114">
        <f>'Area Category Method'!E37</f>
        <v>250</v>
      </c>
      <c r="G39" s="114">
        <f>'Area Category Method'!F37</f>
        <v>0.5</v>
      </c>
      <c r="H39" s="114">
        <f>'Area Category Method'!G37</f>
        <v>0.18</v>
      </c>
      <c r="I39" s="114">
        <f>'Area Category Method'!H37</f>
        <v>1.1000000000000001</v>
      </c>
      <c r="J39" s="114">
        <f>'Area Category Method'!I37</f>
        <v>0.15</v>
      </c>
      <c r="K39" s="114">
        <f>'Area Category Method'!J37</f>
        <v>0.15</v>
      </c>
      <c r="L39" s="114">
        <f>'Area Category Method'!K37</f>
        <v>150</v>
      </c>
      <c r="M39" s="114">
        <f>'Area Category Method'!L37</f>
        <v>150</v>
      </c>
      <c r="N39" s="114">
        <f>'Area Category Method'!M37</f>
        <v>0</v>
      </c>
      <c r="O39" s="114">
        <f>'Area Category Method'!N37</f>
        <v>0</v>
      </c>
      <c r="P39" s="114">
        <f>'Area Category Method'!O37</f>
        <v>50</v>
      </c>
      <c r="Q39" s="114">
        <f>'Area Category Method'!P37</f>
        <v>200</v>
      </c>
      <c r="R39" s="114">
        <f>'Area Category Method'!Q37</f>
        <v>1.5</v>
      </c>
      <c r="S39" s="114">
        <f>'Area Category Method'!R37</f>
        <v>2</v>
      </c>
      <c r="T39" s="114" t="str">
        <f>'Area Category Method'!S37</f>
        <v>Assembly</v>
      </c>
      <c r="U39" s="114" t="str">
        <f>'Area Category Method'!$S37&amp;U$86</f>
        <v>AssemblyOccupancy</v>
      </c>
      <c r="V39" s="114" t="str">
        <f>'Area Category Method'!$S37&amp;V$86</f>
        <v>AssemblyReceptacle</v>
      </c>
      <c r="W39" s="114" t="str">
        <f>'Area Category Method'!$S37&amp;W$86</f>
        <v>AssemblyServiceHotWater</v>
      </c>
      <c r="X39" s="114" t="str">
        <f>'Area Category Method'!$S37&amp;X$86</f>
        <v>AssemblyLights</v>
      </c>
      <c r="Y39" s="114" t="str">
        <f>'Area Category Method'!$S37&amp;Y$86</f>
        <v>AssemblyGasEquip</v>
      </c>
      <c r="Z39" s="114" t="str">
        <f>'Area Category Method'!$S37&amp;Z$86</f>
        <v>AssemblyRefrigeration</v>
      </c>
      <c r="AA39" s="114" t="str">
        <f>'Area Category Method'!$S37&amp;AA$86</f>
        <v>AssemblyInfiltration</v>
      </c>
      <c r="AB39" s="114" t="str">
        <f>'Area Category Method'!$S37&amp;AB$86</f>
        <v>AssemblyHVACAvail</v>
      </c>
      <c r="AC39" s="114" t="str">
        <f>'Area Category Method'!$S37&amp;AC$86</f>
        <v>AssemblyHtgSetpt</v>
      </c>
      <c r="AD39" s="114" t="str">
        <f>'Area Category Method'!$S37&amp;AD$86</f>
        <v>AssemblyClgSetpt</v>
      </c>
      <c r="AE39" s="114" t="str">
        <f>'Area Category Method'!$S37&amp;AE$86</f>
        <v>AssemblyElevator</v>
      </c>
      <c r="AF39" s="114" t="str">
        <f>'Area Category Method'!$S37&amp;AF$86</f>
        <v>AssemblyEscalator</v>
      </c>
      <c r="AG39" s="114" t="str">
        <f>'Area Category Method'!$S37&amp;AG$86</f>
        <v>AssemblyWtrHtrSetpt</v>
      </c>
      <c r="AH39" s="114" t="s">
        <v>352</v>
      </c>
    </row>
    <row r="40" spans="2:34" x14ac:dyDescent="0.25">
      <c r="B40" s="114" t="str">
        <f>TRIM(LEFT('Area Category Method'!$A38,IF(ISNUMBER(FIND(" (Note",'Area Category Method'!$A38,1)),FIND(" (Note",'Area Category Method'!$A38,1),99)))</f>
        <v>Lobby, Main Entry</v>
      </c>
      <c r="C40" s="114">
        <f>'Area Category Method'!B38</f>
        <v>66.666666666666671</v>
      </c>
      <c r="D40" s="114">
        <f>'Area Category Method'!C38</f>
        <v>0.5</v>
      </c>
      <c r="E40" s="114">
        <f>'Area Category Method'!D38</f>
        <v>250</v>
      </c>
      <c r="F40" s="114">
        <f>'Area Category Method'!E38</f>
        <v>250</v>
      </c>
      <c r="G40" s="114">
        <f>'Area Category Method'!F38</f>
        <v>0.5</v>
      </c>
      <c r="H40" s="114">
        <f>'Area Category Method'!G38</f>
        <v>0.09</v>
      </c>
      <c r="I40" s="114">
        <f>'Area Category Method'!H38</f>
        <v>1.5</v>
      </c>
      <c r="J40" s="114">
        <f>'Area Category Method'!I38</f>
        <v>0.15</v>
      </c>
      <c r="K40" s="114">
        <f>'Area Category Method'!J38</f>
        <v>0.5</v>
      </c>
      <c r="L40" s="114">
        <f>'Area Category Method'!K38</f>
        <v>150</v>
      </c>
      <c r="M40" s="114">
        <f>'Area Category Method'!L38</f>
        <v>150</v>
      </c>
      <c r="N40" s="114">
        <f>'Area Category Method'!M38</f>
        <v>0</v>
      </c>
      <c r="O40" s="114">
        <f>'Area Category Method'!N38</f>
        <v>0</v>
      </c>
      <c r="P40" s="114">
        <f>'Area Category Method'!O38</f>
        <v>50</v>
      </c>
      <c r="Q40" s="114">
        <f>'Area Category Method'!P38</f>
        <v>200</v>
      </c>
      <c r="R40" s="114">
        <f>'Area Category Method'!Q38</f>
        <v>1.5</v>
      </c>
      <c r="S40" s="114">
        <f>'Area Category Method'!R38</f>
        <v>2</v>
      </c>
      <c r="T40" s="114" t="str">
        <f>'Area Category Method'!S38</f>
        <v>Assembly</v>
      </c>
      <c r="U40" s="114" t="str">
        <f>'Area Category Method'!$S38&amp;U$86</f>
        <v>AssemblyOccupancy</v>
      </c>
      <c r="V40" s="114" t="str">
        <f>'Area Category Method'!$S38&amp;V$86</f>
        <v>AssemblyReceptacle</v>
      </c>
      <c r="W40" s="114" t="str">
        <f>'Area Category Method'!$S38&amp;W$86</f>
        <v>AssemblyServiceHotWater</v>
      </c>
      <c r="X40" s="114" t="str">
        <f>'Area Category Method'!$S38&amp;X$86</f>
        <v>AssemblyLights</v>
      </c>
      <c r="Y40" s="114" t="str">
        <f>'Area Category Method'!$S38&amp;Y$86</f>
        <v>AssemblyGasEquip</v>
      </c>
      <c r="Z40" s="114" t="str">
        <f>'Area Category Method'!$S38&amp;Z$86</f>
        <v>AssemblyRefrigeration</v>
      </c>
      <c r="AA40" s="114" t="str">
        <f>'Area Category Method'!$S38&amp;AA$86</f>
        <v>AssemblyInfiltration</v>
      </c>
      <c r="AB40" s="114" t="str">
        <f>'Area Category Method'!$S38&amp;AB$86</f>
        <v>AssemblyHVACAvail</v>
      </c>
      <c r="AC40" s="114" t="str">
        <f>'Area Category Method'!$S38&amp;AC$86</f>
        <v>AssemblyHtgSetpt</v>
      </c>
      <c r="AD40" s="114" t="str">
        <f>'Area Category Method'!$S38&amp;AD$86</f>
        <v>AssemblyClgSetpt</v>
      </c>
      <c r="AE40" s="114" t="str">
        <f>'Area Category Method'!$S38&amp;AE$86</f>
        <v>AssemblyElevator</v>
      </c>
      <c r="AF40" s="114" t="str">
        <f>'Area Category Method'!$S38&amp;AF$86</f>
        <v>AssemblyEscalator</v>
      </c>
      <c r="AG40" s="114" t="str">
        <f>'Area Category Method'!$S38&amp;AG$86</f>
        <v>AssemblyWtrHtrSetpt</v>
      </c>
      <c r="AH40" s="114" t="s">
        <v>352</v>
      </c>
    </row>
    <row r="41" spans="2:34" x14ac:dyDescent="0.25">
      <c r="B41" s="114" t="str">
        <f>TRIM(LEFT('Area Category Method'!$A39,IF(ISNUMBER(FIND(" (Note",'Area Category Method'!$A39,1)),FIND(" (Note",'Area Category Method'!$A39,1),99)))</f>
        <v>Locker/Dressing Room</v>
      </c>
      <c r="C41" s="114">
        <f>'Area Category Method'!B39</f>
        <v>20</v>
      </c>
      <c r="D41" s="114">
        <f>'Area Category Method'!C39</f>
        <v>0.5</v>
      </c>
      <c r="E41" s="114">
        <f>'Area Category Method'!D39</f>
        <v>255</v>
      </c>
      <c r="F41" s="114">
        <f>'Area Category Method'!E39</f>
        <v>475</v>
      </c>
      <c r="G41" s="114">
        <f>'Area Category Method'!F39</f>
        <v>0.5</v>
      </c>
      <c r="H41" s="114">
        <f>'Area Category Method'!G39</f>
        <v>0.57799999999999996</v>
      </c>
      <c r="I41" s="114">
        <f>'Area Category Method'!H39</f>
        <v>0.8</v>
      </c>
      <c r="J41" s="114">
        <f>'Area Category Method'!I39</f>
        <v>0.15</v>
      </c>
      <c r="K41" s="114">
        <f>'Area Category Method'!J39</f>
        <v>0.15</v>
      </c>
      <c r="L41" s="114">
        <f>'Area Category Method'!K39</f>
        <v>8760</v>
      </c>
      <c r="M41" s="114">
        <f>'Area Category Method'!L39</f>
        <v>8760</v>
      </c>
      <c r="N41" s="114">
        <f>'Area Category Method'!M39</f>
        <v>0</v>
      </c>
      <c r="O41" s="114">
        <f>'Area Category Method'!N39</f>
        <v>0</v>
      </c>
      <c r="P41" s="114">
        <f>'Area Category Method'!O39</f>
        <v>20</v>
      </c>
      <c r="Q41" s="114">
        <f>'Area Category Method'!P39</f>
        <v>200</v>
      </c>
      <c r="R41" s="114">
        <f>'Area Category Method'!Q39</f>
        <v>1</v>
      </c>
      <c r="S41" s="114">
        <f>'Area Category Method'!R39</f>
        <v>4</v>
      </c>
      <c r="T41" s="114" t="str">
        <f>'Area Category Method'!S39</f>
        <v>Assembly</v>
      </c>
      <c r="U41" s="114" t="str">
        <f>'Area Category Method'!$S39&amp;U$86</f>
        <v>AssemblyOccupancy</v>
      </c>
      <c r="V41" s="114" t="str">
        <f>'Area Category Method'!$S39&amp;V$86</f>
        <v>AssemblyReceptacle</v>
      </c>
      <c r="W41" s="114" t="str">
        <f>'Area Category Method'!$S39&amp;W$86</f>
        <v>AssemblyServiceHotWater</v>
      </c>
      <c r="X41" s="114" t="str">
        <f>'Area Category Method'!$S39&amp;X$86</f>
        <v>AssemblyLights</v>
      </c>
      <c r="Y41" s="114" t="str">
        <f>'Area Category Method'!$S39&amp;Y$86</f>
        <v>AssemblyGasEquip</v>
      </c>
      <c r="Z41" s="114" t="str">
        <f>'Area Category Method'!$S39&amp;Z$86</f>
        <v>AssemblyRefrigeration</v>
      </c>
      <c r="AA41" s="114" t="str">
        <f>'Area Category Method'!$S39&amp;AA$86</f>
        <v>AssemblyInfiltration</v>
      </c>
      <c r="AB41" s="114" t="str">
        <f>'Area Category Method'!$S39&amp;AB$86</f>
        <v>AssemblyHVACAvail</v>
      </c>
      <c r="AC41" s="114" t="str">
        <f>'Area Category Method'!$S39&amp;AC$86</f>
        <v>AssemblyHtgSetpt</v>
      </c>
      <c r="AD41" s="114" t="str">
        <f>'Area Category Method'!$S39&amp;AD$86</f>
        <v>AssemblyClgSetpt</v>
      </c>
      <c r="AE41" s="114" t="str">
        <f>'Area Category Method'!$S39&amp;AE$86</f>
        <v>AssemblyElevator</v>
      </c>
      <c r="AF41" s="114" t="str">
        <f>'Area Category Method'!$S39&amp;AF$86</f>
        <v>AssemblyEscalator</v>
      </c>
      <c r="AG41" s="114" t="str">
        <f>'Area Category Method'!$S39&amp;AG$86</f>
        <v>AssemblyWtrHtrSetpt</v>
      </c>
      <c r="AH41" s="114" t="s">
        <v>352</v>
      </c>
    </row>
    <row r="42" spans="2:34" x14ac:dyDescent="0.25">
      <c r="B42" s="114" t="str">
        <f>TRIM(LEFT('Area Category Method'!$A40,IF(ISNUMBER(FIND(" (Note",'Area Category Method'!$A40,1)),FIND(" (Note",'Area Category Method'!$A40,1),99)))</f>
        <v>Lounge, Recreation</v>
      </c>
      <c r="C42" s="114">
        <f>'Area Category Method'!B40</f>
        <v>66.666666666666671</v>
      </c>
      <c r="D42" s="114">
        <f>'Area Category Method'!C40</f>
        <v>0.5</v>
      </c>
      <c r="E42" s="114">
        <f>'Area Category Method'!D40</f>
        <v>275</v>
      </c>
      <c r="F42" s="114">
        <f>'Area Category Method'!E40</f>
        <v>275</v>
      </c>
      <c r="G42" s="114">
        <f>'Area Category Method'!F40</f>
        <v>1</v>
      </c>
      <c r="H42" s="114">
        <f>'Area Category Method'!G40</f>
        <v>0.09</v>
      </c>
      <c r="I42" s="114">
        <f>'Area Category Method'!H40</f>
        <v>1.1000000000000001</v>
      </c>
      <c r="J42" s="114">
        <f>'Area Category Method'!I40</f>
        <v>0.15</v>
      </c>
      <c r="K42" s="114">
        <f>'Area Category Method'!J40</f>
        <v>0.5</v>
      </c>
      <c r="L42" s="114">
        <f>'Area Category Method'!K40</f>
        <v>150</v>
      </c>
      <c r="M42" s="114">
        <f>'Area Category Method'!L40</f>
        <v>150</v>
      </c>
      <c r="N42" s="114">
        <f>'Area Category Method'!M40</f>
        <v>0</v>
      </c>
      <c r="O42" s="114">
        <f>'Area Category Method'!N40</f>
        <v>0</v>
      </c>
      <c r="P42" s="114">
        <f>'Area Category Method'!O40</f>
        <v>40</v>
      </c>
      <c r="Q42" s="114">
        <f>'Area Category Method'!P40</f>
        <v>300</v>
      </c>
      <c r="R42" s="114">
        <f>'Area Category Method'!Q40</f>
        <v>1.5</v>
      </c>
      <c r="S42" s="114">
        <f>'Area Category Method'!R40</f>
        <v>2</v>
      </c>
      <c r="T42" s="114" t="str">
        <f>'Area Category Method'!S40</f>
        <v>Assembly</v>
      </c>
      <c r="U42" s="114" t="str">
        <f>'Area Category Method'!$S40&amp;U$86</f>
        <v>AssemblyOccupancy</v>
      </c>
      <c r="V42" s="114" t="str">
        <f>'Area Category Method'!$S40&amp;V$86</f>
        <v>AssemblyReceptacle</v>
      </c>
      <c r="W42" s="114" t="str">
        <f>'Area Category Method'!$S40&amp;W$86</f>
        <v>AssemblyServiceHotWater</v>
      </c>
      <c r="X42" s="114" t="str">
        <f>'Area Category Method'!$S40&amp;X$86</f>
        <v>AssemblyLights</v>
      </c>
      <c r="Y42" s="114" t="str">
        <f>'Area Category Method'!$S40&amp;Y$86</f>
        <v>AssemblyGasEquip</v>
      </c>
      <c r="Z42" s="114" t="str">
        <f>'Area Category Method'!$S40&amp;Z$86</f>
        <v>AssemblyRefrigeration</v>
      </c>
      <c r="AA42" s="114" t="str">
        <f>'Area Category Method'!$S40&amp;AA$86</f>
        <v>AssemblyInfiltration</v>
      </c>
      <c r="AB42" s="114" t="str">
        <f>'Area Category Method'!$S40&amp;AB$86</f>
        <v>AssemblyHVACAvail</v>
      </c>
      <c r="AC42" s="114" t="str">
        <f>'Area Category Method'!$S40&amp;AC$86</f>
        <v>AssemblyHtgSetpt</v>
      </c>
      <c r="AD42" s="114" t="str">
        <f>'Area Category Method'!$S40&amp;AD$86</f>
        <v>AssemblyClgSetpt</v>
      </c>
      <c r="AE42" s="114" t="str">
        <f>'Area Category Method'!$S40&amp;AE$86</f>
        <v>AssemblyElevator</v>
      </c>
      <c r="AF42" s="114" t="str">
        <f>'Area Category Method'!$S40&amp;AF$86</f>
        <v>AssemblyEscalator</v>
      </c>
      <c r="AG42" s="114" t="str">
        <f>'Area Category Method'!$S40&amp;AG$86</f>
        <v>AssemblyWtrHtrSetpt</v>
      </c>
      <c r="AH42" s="114" t="s">
        <v>352</v>
      </c>
    </row>
    <row r="43" spans="2:34" x14ac:dyDescent="0.25">
      <c r="B43" s="114" t="str">
        <f>TRIM(LEFT('Area Category Method'!$A41,IF(ISNUMBER(FIND(" (Note",'Area Category Method'!$A41,1)),FIND(" (Note",'Area Category Method'!$A41,1),99)))</f>
        <v>Malls and Atria</v>
      </c>
      <c r="C43" s="114">
        <f>'Area Category Method'!B41</f>
        <v>33.333333333333336</v>
      </c>
      <c r="D43" s="114">
        <f>'Area Category Method'!C41</f>
        <v>0.5</v>
      </c>
      <c r="E43" s="114">
        <f>'Area Category Method'!D41</f>
        <v>250</v>
      </c>
      <c r="F43" s="114">
        <f>'Area Category Method'!E41</f>
        <v>250</v>
      </c>
      <c r="G43" s="114">
        <f>'Area Category Method'!F41</f>
        <v>0.5</v>
      </c>
      <c r="H43" s="114">
        <f>'Area Category Method'!G41</f>
        <v>0.18</v>
      </c>
      <c r="I43" s="114">
        <f>'Area Category Method'!H41</f>
        <v>1.2</v>
      </c>
      <c r="J43" s="114">
        <f>'Area Category Method'!I41</f>
        <v>0.15</v>
      </c>
      <c r="K43" s="114">
        <f>'Area Category Method'!J41</f>
        <v>0.25</v>
      </c>
      <c r="L43" s="114">
        <f>'Area Category Method'!K41</f>
        <v>150</v>
      </c>
      <c r="M43" s="114">
        <f>'Area Category Method'!L41</f>
        <v>150</v>
      </c>
      <c r="N43" s="114">
        <f>'Area Category Method'!M41</f>
        <v>0</v>
      </c>
      <c r="O43" s="114">
        <f>'Area Category Method'!N41</f>
        <v>0</v>
      </c>
      <c r="P43" s="114">
        <f>'Area Category Method'!O41</f>
        <v>100</v>
      </c>
      <c r="Q43" s="114">
        <f>'Area Category Method'!P41</f>
        <v>300</v>
      </c>
      <c r="R43" s="114">
        <f>'Area Category Method'!Q41</f>
        <v>1.5</v>
      </c>
      <c r="S43" s="114">
        <f>'Area Category Method'!R41</f>
        <v>2</v>
      </c>
      <c r="T43" s="114" t="str">
        <f>'Area Category Method'!S41</f>
        <v>Retail</v>
      </c>
      <c r="U43" s="114" t="str">
        <f>'Area Category Method'!$S41&amp;U$86</f>
        <v>RetailOccupancy</v>
      </c>
      <c r="V43" s="114" t="str">
        <f>'Area Category Method'!$S41&amp;V$86</f>
        <v>RetailReceptacle</v>
      </c>
      <c r="W43" s="114" t="str">
        <f>'Area Category Method'!$S41&amp;W$86</f>
        <v>RetailServiceHotWater</v>
      </c>
      <c r="X43" s="114" t="str">
        <f>'Area Category Method'!$S41&amp;X$86</f>
        <v>RetailLights</v>
      </c>
      <c r="Y43" s="114" t="str">
        <f>'Area Category Method'!$S41&amp;Y$86</f>
        <v>RetailGasEquip</v>
      </c>
      <c r="Z43" s="114" t="str">
        <f>'Area Category Method'!$S41&amp;Z$86</f>
        <v>RetailRefrigeration</v>
      </c>
      <c r="AA43" s="114" t="str">
        <f>'Area Category Method'!$S41&amp;AA$86</f>
        <v>RetailInfiltration</v>
      </c>
      <c r="AB43" s="114" t="str">
        <f>'Area Category Method'!$S41&amp;AB$86</f>
        <v>RetailHVACAvail</v>
      </c>
      <c r="AC43" s="114" t="str">
        <f>'Area Category Method'!$S41&amp;AC$86</f>
        <v>RetailHtgSetpt</v>
      </c>
      <c r="AD43" s="114" t="str">
        <f>'Area Category Method'!$S41&amp;AD$86</f>
        <v>RetailClgSetpt</v>
      </c>
      <c r="AE43" s="114" t="str">
        <f>'Area Category Method'!$S41&amp;AE$86</f>
        <v>RetailElevator</v>
      </c>
      <c r="AF43" s="114" t="str">
        <f>'Area Category Method'!$S41&amp;AF$86</f>
        <v>RetailEscalator</v>
      </c>
      <c r="AG43" s="114" t="str">
        <f>'Area Category Method'!$S41&amp;AG$86</f>
        <v>RetailWtrHtrSetpt</v>
      </c>
      <c r="AH43" s="114" t="s">
        <v>352</v>
      </c>
    </row>
    <row r="44" spans="2:34" x14ac:dyDescent="0.25">
      <c r="B44" s="114" t="str">
        <f>TRIM(LEFT('Area Category Method'!$A42,IF(ISNUMBER(FIND(" (Note",'Area Category Method'!$A42,1)),FIND(" (Note",'Area Category Method'!$A42,1),99)))</f>
        <v>Medical and Clinical Care</v>
      </c>
      <c r="C44" s="114">
        <f>'Area Category Method'!B42</f>
        <v>10</v>
      </c>
      <c r="D44" s="114">
        <f>'Area Category Method'!C42</f>
        <v>0.5</v>
      </c>
      <c r="E44" s="114">
        <f>'Area Category Method'!D42</f>
        <v>250</v>
      </c>
      <c r="F44" s="114">
        <f>'Area Category Method'!E42</f>
        <v>200</v>
      </c>
      <c r="G44" s="114">
        <f>'Area Category Method'!F42</f>
        <v>1.5</v>
      </c>
      <c r="H44" s="114">
        <f>'Area Category Method'!G42</f>
        <v>0.24</v>
      </c>
      <c r="I44" s="114">
        <f>'Area Category Method'!H42</f>
        <v>1.2</v>
      </c>
      <c r="J44" s="114">
        <f>'Area Category Method'!I42</f>
        <v>0.15</v>
      </c>
      <c r="K44" s="114">
        <f>'Area Category Method'!J42</f>
        <v>0.15</v>
      </c>
      <c r="L44" s="114">
        <f>'Area Category Method'!K42</f>
        <v>150</v>
      </c>
      <c r="M44" s="114">
        <f>'Area Category Method'!L42</f>
        <v>150</v>
      </c>
      <c r="N44" s="114">
        <f>'Area Category Method'!M42</f>
        <v>1.1259600000000001</v>
      </c>
      <c r="O44" s="114">
        <f>'Area Category Method'!N42</f>
        <v>0</v>
      </c>
      <c r="P44" s="114">
        <f>'Area Category Method'!O42</f>
        <v>300</v>
      </c>
      <c r="Q44" s="114">
        <f>'Area Category Method'!P42</f>
        <v>3000</v>
      </c>
      <c r="R44" s="114">
        <f>'Area Category Method'!Q42</f>
        <v>1.5</v>
      </c>
      <c r="S44" s="114">
        <f>'Area Category Method'!R42</f>
        <v>2</v>
      </c>
      <c r="T44" s="114" t="str">
        <f>'Area Category Method'!S42</f>
        <v>Health</v>
      </c>
      <c r="U44" s="114" t="str">
        <f>'Area Category Method'!$S42&amp;U$86</f>
        <v>HealthOccupancy</v>
      </c>
      <c r="V44" s="114" t="str">
        <f>'Area Category Method'!$S42&amp;V$86</f>
        <v>HealthReceptacle</v>
      </c>
      <c r="W44" s="114" t="str">
        <f>'Area Category Method'!$S42&amp;W$86</f>
        <v>HealthServiceHotWater</v>
      </c>
      <c r="X44" s="114" t="str">
        <f>'Area Category Method'!$S42&amp;X$86</f>
        <v>HealthLights</v>
      </c>
      <c r="Y44" s="114" t="str">
        <f>'Area Category Method'!$S42&amp;Y$86</f>
        <v>HealthGasEquip</v>
      </c>
      <c r="Z44" s="114" t="str">
        <f>'Area Category Method'!$S42&amp;Z$86</f>
        <v>HealthRefrigeration</v>
      </c>
      <c r="AA44" s="114" t="str">
        <f>'Area Category Method'!$S42&amp;AA$86</f>
        <v>HealthInfiltration</v>
      </c>
      <c r="AB44" s="114" t="str">
        <f>'Area Category Method'!$S42&amp;AB$86</f>
        <v>HealthHVACAvail</v>
      </c>
      <c r="AC44" s="114" t="str">
        <f>'Area Category Method'!$S42&amp;AC$86</f>
        <v>HealthHtgSetpt</v>
      </c>
      <c r="AD44" s="114" t="str">
        <f>'Area Category Method'!$S42&amp;AD$86</f>
        <v>HealthClgSetpt</v>
      </c>
      <c r="AE44" s="114" t="str">
        <f>'Area Category Method'!$S42&amp;AE$86</f>
        <v>HealthElevator</v>
      </c>
      <c r="AF44" s="114" t="str">
        <f>'Area Category Method'!$S42&amp;AF$86</f>
        <v>HealthEscalator</v>
      </c>
      <c r="AG44" s="114" t="str">
        <f>'Area Category Method'!$S42&amp;AG$86</f>
        <v>HealthWtrHtrSetpt</v>
      </c>
      <c r="AH44" s="114" t="s">
        <v>352</v>
      </c>
    </row>
    <row r="45" spans="2:34" x14ac:dyDescent="0.25">
      <c r="B45" s="114" t="str">
        <f>TRIM(LEFT('Area Category Method'!$A43,IF(ISNUMBER(FIND(" (Note",'Area Category Method'!$A43,1)),FIND(" (Note",'Area Category Method'!$A43,1),99)))</f>
        <v>Office (Greater than 250 square feet in floor area)</v>
      </c>
      <c r="C45" s="114">
        <f>'Area Category Method'!B43</f>
        <v>10</v>
      </c>
      <c r="D45" s="114">
        <f>'Area Category Method'!C43</f>
        <v>0.5</v>
      </c>
      <c r="E45" s="114">
        <f>'Area Category Method'!D43</f>
        <v>250</v>
      </c>
      <c r="F45" s="114">
        <f>'Area Category Method'!E43</f>
        <v>200</v>
      </c>
      <c r="G45" s="114">
        <f>'Area Category Method'!F43</f>
        <v>1.5</v>
      </c>
      <c r="H45" s="114">
        <f>'Area Category Method'!G43</f>
        <v>0.18</v>
      </c>
      <c r="I45" s="114">
        <f>'Area Category Method'!H43</f>
        <v>0.75</v>
      </c>
      <c r="J45" s="114">
        <f>'Area Category Method'!I43</f>
        <v>0.15</v>
      </c>
      <c r="K45" s="114">
        <f>'Area Category Method'!J43</f>
        <v>0.15</v>
      </c>
      <c r="L45" s="114">
        <f>'Area Category Method'!K43</f>
        <v>150</v>
      </c>
      <c r="M45" s="114">
        <f>'Area Category Method'!L43</f>
        <v>150</v>
      </c>
      <c r="N45" s="114">
        <f>'Area Category Method'!M43</f>
        <v>0</v>
      </c>
      <c r="O45" s="114">
        <f>'Area Category Method'!N43</f>
        <v>0</v>
      </c>
      <c r="P45" s="114">
        <f>'Area Category Method'!O43</f>
        <v>75</v>
      </c>
      <c r="Q45" s="114">
        <f>'Area Category Method'!P43</f>
        <v>500</v>
      </c>
      <c r="R45" s="114">
        <f>'Area Category Method'!Q43</f>
        <v>1</v>
      </c>
      <c r="S45" s="114">
        <f>'Area Category Method'!R43</f>
        <v>4</v>
      </c>
      <c r="T45" s="114" t="str">
        <f>'Area Category Method'!S43</f>
        <v>Office</v>
      </c>
      <c r="U45" s="114" t="str">
        <f>'Area Category Method'!$S43&amp;U$86</f>
        <v>OfficeOccupancy</v>
      </c>
      <c r="V45" s="114" t="str">
        <f>'Area Category Method'!$S43&amp;V$86</f>
        <v>OfficeReceptacle</v>
      </c>
      <c r="W45" s="114" t="str">
        <f>'Area Category Method'!$S43&amp;W$86</f>
        <v>OfficeServiceHotWater</v>
      </c>
      <c r="X45" s="114" t="str">
        <f>'Area Category Method'!$S43&amp;X$86</f>
        <v>OfficeLights</v>
      </c>
      <c r="Y45" s="114" t="str">
        <f>'Area Category Method'!$S43&amp;Y$86</f>
        <v>OfficeGasEquip</v>
      </c>
      <c r="Z45" s="114" t="str">
        <f>'Area Category Method'!$S43&amp;Z$86</f>
        <v>OfficeRefrigeration</v>
      </c>
      <c r="AA45" s="114" t="str">
        <f>'Area Category Method'!$S43&amp;AA$86</f>
        <v>OfficeInfiltration</v>
      </c>
      <c r="AB45" s="114" t="str">
        <f>'Area Category Method'!$S43&amp;AB$86</f>
        <v>OfficeHVACAvail</v>
      </c>
      <c r="AC45" s="114" t="str">
        <f>'Area Category Method'!$S43&amp;AC$86</f>
        <v>OfficeHtgSetpt</v>
      </c>
      <c r="AD45" s="114" t="str">
        <f>'Area Category Method'!$S43&amp;AD$86</f>
        <v>OfficeClgSetpt</v>
      </c>
      <c r="AE45" s="114" t="str">
        <f>'Area Category Method'!$S43&amp;AE$86</f>
        <v>OfficeElevator</v>
      </c>
      <c r="AF45" s="114" t="str">
        <f>'Area Category Method'!$S43&amp;AF$86</f>
        <v>OfficeEscalator</v>
      </c>
      <c r="AG45" s="114" t="str">
        <f>'Area Category Method'!$S43&amp;AG$86</f>
        <v>OfficeWtrHtrSetpt</v>
      </c>
      <c r="AH45" s="114" t="s">
        <v>352</v>
      </c>
    </row>
    <row r="46" spans="2:34" x14ac:dyDescent="0.25">
      <c r="B46" s="114" t="str">
        <f>TRIM(LEFT('Area Category Method'!$A44,IF(ISNUMBER(FIND(" (Note",'Area Category Method'!$A44,1)),FIND(" (Note",'Area Category Method'!$A44,1),99)))</f>
        <v>Office (250 square feet in floor area or less)</v>
      </c>
      <c r="C46" s="114">
        <f>'Area Category Method'!B44</f>
        <v>10</v>
      </c>
      <c r="D46" s="114">
        <f>'Area Category Method'!C44</f>
        <v>0.5</v>
      </c>
      <c r="E46" s="114">
        <f>'Area Category Method'!D44</f>
        <v>250</v>
      </c>
      <c r="F46" s="114">
        <f>'Area Category Method'!E44</f>
        <v>200</v>
      </c>
      <c r="G46" s="114">
        <f>'Area Category Method'!F44</f>
        <v>1.5</v>
      </c>
      <c r="H46" s="114">
        <f>'Area Category Method'!G44</f>
        <v>0.18</v>
      </c>
      <c r="I46" s="114">
        <f>'Area Category Method'!H44</f>
        <v>1</v>
      </c>
      <c r="J46" s="114">
        <f>'Area Category Method'!I44</f>
        <v>0.15</v>
      </c>
      <c r="K46" s="114">
        <f>'Area Category Method'!J44</f>
        <v>0.15</v>
      </c>
      <c r="L46" s="114">
        <f>'Area Category Method'!K44</f>
        <v>150</v>
      </c>
      <c r="M46" s="114">
        <f>'Area Category Method'!L44</f>
        <v>150</v>
      </c>
      <c r="N46" s="114">
        <f>'Area Category Method'!M44</f>
        <v>0</v>
      </c>
      <c r="O46" s="114">
        <f>'Area Category Method'!N44</f>
        <v>0</v>
      </c>
      <c r="P46" s="114">
        <f>'Area Category Method'!O44</f>
        <v>75</v>
      </c>
      <c r="Q46" s="114">
        <f>'Area Category Method'!P44</f>
        <v>500</v>
      </c>
      <c r="R46" s="114">
        <f>'Area Category Method'!Q44</f>
        <v>1.5</v>
      </c>
      <c r="S46" s="114">
        <f>'Area Category Method'!R44</f>
        <v>2</v>
      </c>
      <c r="T46" s="114" t="str">
        <f>'Area Category Method'!S44</f>
        <v>Office</v>
      </c>
      <c r="U46" s="114" t="str">
        <f>'Area Category Method'!$S44&amp;U$86</f>
        <v>OfficeOccupancy</v>
      </c>
      <c r="V46" s="114" t="str">
        <f>'Area Category Method'!$S44&amp;V$86</f>
        <v>OfficeReceptacle</v>
      </c>
      <c r="W46" s="114" t="str">
        <f>'Area Category Method'!$S44&amp;W$86</f>
        <v>OfficeServiceHotWater</v>
      </c>
      <c r="X46" s="114" t="str">
        <f>'Area Category Method'!$S44&amp;X$86</f>
        <v>OfficeLights</v>
      </c>
      <c r="Y46" s="114" t="str">
        <f>'Area Category Method'!$S44&amp;Y$86</f>
        <v>OfficeGasEquip</v>
      </c>
      <c r="Z46" s="114" t="str">
        <f>'Area Category Method'!$S44&amp;Z$86</f>
        <v>OfficeRefrigeration</v>
      </c>
      <c r="AA46" s="114" t="str">
        <f>'Area Category Method'!$S44&amp;AA$86</f>
        <v>OfficeInfiltration</v>
      </c>
      <c r="AB46" s="114" t="str">
        <f>'Area Category Method'!$S44&amp;AB$86</f>
        <v>OfficeHVACAvail</v>
      </c>
      <c r="AC46" s="114" t="str">
        <f>'Area Category Method'!$S44&amp;AC$86</f>
        <v>OfficeHtgSetpt</v>
      </c>
      <c r="AD46" s="114" t="str">
        <f>'Area Category Method'!$S44&amp;AD$86</f>
        <v>OfficeClgSetpt</v>
      </c>
      <c r="AE46" s="114" t="str">
        <f>'Area Category Method'!$S44&amp;AE$86</f>
        <v>OfficeElevator</v>
      </c>
      <c r="AF46" s="114" t="str">
        <f>'Area Category Method'!$S44&amp;AF$86</f>
        <v>OfficeEscalator</v>
      </c>
      <c r="AG46" s="114" t="str">
        <f>'Area Category Method'!$S44&amp;AG$86</f>
        <v>OfficeWtrHtrSetpt</v>
      </c>
      <c r="AH46" s="114" t="s">
        <v>352</v>
      </c>
    </row>
    <row r="47" spans="2:34" x14ac:dyDescent="0.25">
      <c r="B47" s="114" t="str">
        <f>TRIM(LEFT('Area Category Method'!$A45,IF(ISNUMBER(FIND(" (Note",'Area Category Method'!$A45,1)),FIND(" (Note",'Area Category Method'!$A45,1),99)))</f>
        <v>Parking Garage Building, Parking Area</v>
      </c>
      <c r="C47" s="114">
        <f>'Area Category Method'!B45</f>
        <v>5</v>
      </c>
      <c r="D47" s="114">
        <f>'Area Category Method'!C45</f>
        <v>0.5</v>
      </c>
      <c r="E47" s="114">
        <f>'Area Category Method'!D45</f>
        <v>250</v>
      </c>
      <c r="F47" s="114">
        <f>'Area Category Method'!E45</f>
        <v>200</v>
      </c>
      <c r="G47" s="114">
        <f>'Area Category Method'!F45</f>
        <v>0</v>
      </c>
      <c r="H47" s="114">
        <f>'Area Category Method'!G45</f>
        <v>0</v>
      </c>
      <c r="I47" s="114">
        <f>'Area Category Method'!H45</f>
        <v>0.14000000000000001</v>
      </c>
      <c r="J47" s="114">
        <f>'Area Category Method'!I45</f>
        <v>0.75</v>
      </c>
      <c r="K47" s="114">
        <f>'Area Category Method'!J45</f>
        <v>0.75</v>
      </c>
      <c r="L47" s="114">
        <f>'Area Category Method'!K45</f>
        <v>8760</v>
      </c>
      <c r="M47" s="114">
        <f>'Area Category Method'!L45</f>
        <v>8760</v>
      </c>
      <c r="N47" s="114">
        <f>'Area Category Method'!M45</f>
        <v>0</v>
      </c>
      <c r="O47" s="114">
        <f>'Area Category Method'!N45</f>
        <v>0</v>
      </c>
      <c r="P47" s="114">
        <f>'Area Category Method'!O45</f>
        <v>10</v>
      </c>
      <c r="Q47" s="114">
        <f>'Area Category Method'!P45</f>
        <v>40</v>
      </c>
      <c r="R47" s="114">
        <f>'Area Category Method'!Q45</f>
        <v>1.5</v>
      </c>
      <c r="S47" s="114">
        <f>'Area Category Method'!R45</f>
        <v>2</v>
      </c>
      <c r="T47" s="114" t="str">
        <f>'Area Category Method'!S45</f>
        <v>Parking</v>
      </c>
      <c r="U47" s="114" t="str">
        <f>'Area Category Method'!$S45&amp;U$86</f>
        <v>ParkingOccupancy</v>
      </c>
      <c r="V47" s="114" t="str">
        <f>'Area Category Method'!$S45&amp;V$86</f>
        <v>ParkingReceptacle</v>
      </c>
      <c r="W47" s="114" t="str">
        <f>'Area Category Method'!$S45&amp;W$86</f>
        <v>ParkingServiceHotWater</v>
      </c>
      <c r="X47" s="114" t="str">
        <f>'Area Category Method'!$S45&amp;X$86</f>
        <v>ParkingLights</v>
      </c>
      <c r="Y47" s="114" t="str">
        <f>'Area Category Method'!$S45&amp;Y$86</f>
        <v>ParkingGasEquip</v>
      </c>
      <c r="Z47" s="114" t="str">
        <f>'Area Category Method'!$S45&amp;Z$86</f>
        <v>ParkingRefrigeration</v>
      </c>
      <c r="AA47" s="114" t="str">
        <f>'Area Category Method'!$S45&amp;AA$86</f>
        <v>ParkingInfiltration</v>
      </c>
      <c r="AB47" s="114" t="str">
        <f>'Area Category Method'!$S45&amp;AB$86</f>
        <v>ParkingHVACAvail</v>
      </c>
      <c r="AC47" s="114" t="str">
        <f>'Area Category Method'!$S45&amp;AC$86</f>
        <v>ParkingHtgSetpt</v>
      </c>
      <c r="AD47" s="114" t="str">
        <f>'Area Category Method'!$S45&amp;AD$86</f>
        <v>ParkingClgSetpt</v>
      </c>
      <c r="AE47" s="114" t="str">
        <f>'Area Category Method'!$S45&amp;AE$86</f>
        <v>ParkingElevator</v>
      </c>
      <c r="AF47" s="114" t="str">
        <f>'Area Category Method'!$S45&amp;AF$86</f>
        <v>ParkingEscalator</v>
      </c>
      <c r="AG47" s="114" t="str">
        <f>'Area Category Method'!$S45&amp;AG$86</f>
        <v>ParkingWtrHtrSetpt</v>
      </c>
      <c r="AH47" s="114" t="s">
        <v>352</v>
      </c>
    </row>
    <row r="48" spans="2:34" x14ac:dyDescent="0.25">
      <c r="B48" s="114" t="str">
        <f>TRIM(LEFT('Area Category Method'!$A46,IF(ISNUMBER(FIND(" (Note",'Area Category Method'!$A46,1)),FIND(" (Note",'Area Category Method'!$A46,1),99)))</f>
        <v>Parking Garage Area Dedicated Ramps</v>
      </c>
      <c r="C48" s="114">
        <f>'Area Category Method'!B46</f>
        <v>5</v>
      </c>
      <c r="D48" s="114">
        <f>'Area Category Method'!C46</f>
        <v>0.5</v>
      </c>
      <c r="E48" s="114">
        <f>'Area Category Method'!D46</f>
        <v>250</v>
      </c>
      <c r="F48" s="114">
        <f>'Area Category Method'!E46</f>
        <v>200</v>
      </c>
      <c r="G48" s="114">
        <f>'Area Category Method'!F46</f>
        <v>0</v>
      </c>
      <c r="H48" s="114">
        <f>'Area Category Method'!G46</f>
        <v>0</v>
      </c>
      <c r="I48" s="114">
        <f>'Area Category Method'!H46</f>
        <v>0.3</v>
      </c>
      <c r="J48" s="114">
        <f>'Area Category Method'!I46</f>
        <v>0.75</v>
      </c>
      <c r="K48" s="114">
        <f>'Area Category Method'!J46</f>
        <v>0.75</v>
      </c>
      <c r="L48" s="114">
        <f>'Area Category Method'!K46</f>
        <v>8760</v>
      </c>
      <c r="M48" s="114">
        <f>'Area Category Method'!L46</f>
        <v>8760</v>
      </c>
      <c r="N48" s="114">
        <f>'Area Category Method'!M46</f>
        <v>0</v>
      </c>
      <c r="O48" s="114">
        <f>'Area Category Method'!N46</f>
        <v>0</v>
      </c>
      <c r="P48" s="114">
        <f>'Area Category Method'!O46</f>
        <v>10</v>
      </c>
      <c r="Q48" s="114">
        <f>'Area Category Method'!P46</f>
        <v>40</v>
      </c>
      <c r="R48" s="114">
        <f>'Area Category Method'!Q46</f>
        <v>1.5</v>
      </c>
      <c r="S48" s="114">
        <f>'Area Category Method'!R46</f>
        <v>2</v>
      </c>
      <c r="T48" s="114" t="str">
        <f>'Area Category Method'!S46</f>
        <v>Parking</v>
      </c>
      <c r="U48" s="114" t="str">
        <f>'Area Category Method'!$S46&amp;U$86</f>
        <v>ParkingOccupancy</v>
      </c>
      <c r="V48" s="114" t="str">
        <f>'Area Category Method'!$S46&amp;V$86</f>
        <v>ParkingReceptacle</v>
      </c>
      <c r="W48" s="114" t="str">
        <f>'Area Category Method'!$S46&amp;W$86</f>
        <v>ParkingServiceHotWater</v>
      </c>
      <c r="X48" s="114" t="str">
        <f>'Area Category Method'!$S46&amp;X$86</f>
        <v>ParkingLights</v>
      </c>
      <c r="Y48" s="114" t="str">
        <f>'Area Category Method'!$S46&amp;Y$86</f>
        <v>ParkingGasEquip</v>
      </c>
      <c r="Z48" s="114" t="str">
        <f>'Area Category Method'!$S46&amp;Z$86</f>
        <v>ParkingRefrigeration</v>
      </c>
      <c r="AA48" s="114" t="str">
        <f>'Area Category Method'!$S46&amp;AA$86</f>
        <v>ParkingInfiltration</v>
      </c>
      <c r="AB48" s="114" t="str">
        <f>'Area Category Method'!$S46&amp;AB$86</f>
        <v>ParkingHVACAvail</v>
      </c>
      <c r="AC48" s="114" t="str">
        <f>'Area Category Method'!$S46&amp;AC$86</f>
        <v>ParkingHtgSetpt</v>
      </c>
      <c r="AD48" s="114" t="str">
        <f>'Area Category Method'!$S46&amp;AD$86</f>
        <v>ParkingClgSetpt</v>
      </c>
      <c r="AE48" s="114" t="str">
        <f>'Area Category Method'!$S46&amp;AE$86</f>
        <v>ParkingElevator</v>
      </c>
      <c r="AF48" s="114" t="str">
        <f>'Area Category Method'!$S46&amp;AF$86</f>
        <v>ParkingEscalator</v>
      </c>
      <c r="AG48" s="114" t="str">
        <f>'Area Category Method'!$S46&amp;AG$86</f>
        <v>ParkingWtrHtrSetpt</v>
      </c>
      <c r="AH48" s="114" t="s">
        <v>352</v>
      </c>
    </row>
    <row r="49" spans="1:34" x14ac:dyDescent="0.25">
      <c r="B49" s="114" t="str">
        <f>TRIM(LEFT('Area Category Method'!$A47,IF(ISNUMBER(FIND(" (Note",'Area Category Method'!$A47,1)),FIND(" (Note",'Area Category Method'!$A47,1),99)))</f>
        <v>Parking Garage Area Daylight Adaptation Zones</v>
      </c>
      <c r="C49" s="114">
        <f>'Area Category Method'!B47</f>
        <v>5</v>
      </c>
      <c r="D49" s="114">
        <f>'Area Category Method'!C47</f>
        <v>0.5</v>
      </c>
      <c r="E49" s="114">
        <f>'Area Category Method'!D47</f>
        <v>250</v>
      </c>
      <c r="F49" s="114">
        <f>'Area Category Method'!E47</f>
        <v>200</v>
      </c>
      <c r="G49" s="114">
        <f>'Area Category Method'!F47</f>
        <v>0</v>
      </c>
      <c r="H49" s="114">
        <f>'Area Category Method'!G47</f>
        <v>0</v>
      </c>
      <c r="I49" s="114">
        <f>'Area Category Method'!H47</f>
        <v>0.6</v>
      </c>
      <c r="J49" s="114">
        <f>'Area Category Method'!I47</f>
        <v>0.75</v>
      </c>
      <c r="K49" s="114">
        <f>'Area Category Method'!J47</f>
        <v>0.75</v>
      </c>
      <c r="L49" s="114">
        <f>'Area Category Method'!K47</f>
        <v>8760</v>
      </c>
      <c r="M49" s="114">
        <f>'Area Category Method'!L47</f>
        <v>8760</v>
      </c>
      <c r="N49" s="114">
        <f>'Area Category Method'!M47</f>
        <v>0</v>
      </c>
      <c r="O49" s="114">
        <f>'Area Category Method'!N47</f>
        <v>0</v>
      </c>
      <c r="P49" s="114">
        <f>'Area Category Method'!O47</f>
        <v>10</v>
      </c>
      <c r="Q49" s="114">
        <f>'Area Category Method'!P47</f>
        <v>40</v>
      </c>
      <c r="R49" s="114">
        <f>'Area Category Method'!Q47</f>
        <v>1.5</v>
      </c>
      <c r="S49" s="114">
        <f>'Area Category Method'!R47</f>
        <v>2</v>
      </c>
      <c r="T49" s="114" t="str">
        <f>'Area Category Method'!S47</f>
        <v>Parking</v>
      </c>
      <c r="U49" s="114" t="str">
        <f>'Area Category Method'!$S47&amp;U$86</f>
        <v>ParkingOccupancy</v>
      </c>
      <c r="V49" s="114" t="str">
        <f>'Area Category Method'!$S47&amp;V$86</f>
        <v>ParkingReceptacle</v>
      </c>
      <c r="W49" s="114" t="str">
        <f>'Area Category Method'!$S47&amp;W$86</f>
        <v>ParkingServiceHotWater</v>
      </c>
      <c r="X49" s="114" t="str">
        <f>'Area Category Method'!$S47&amp;X$86</f>
        <v>ParkingLights</v>
      </c>
      <c r="Y49" s="114" t="str">
        <f>'Area Category Method'!$S47&amp;Y$86</f>
        <v>ParkingGasEquip</v>
      </c>
      <c r="Z49" s="114" t="str">
        <f>'Area Category Method'!$S47&amp;Z$86</f>
        <v>ParkingRefrigeration</v>
      </c>
      <c r="AA49" s="114" t="str">
        <f>'Area Category Method'!$S47&amp;AA$86</f>
        <v>ParkingInfiltration</v>
      </c>
      <c r="AB49" s="114" t="str">
        <f>'Area Category Method'!$S47&amp;AB$86</f>
        <v>ParkingHVACAvail</v>
      </c>
      <c r="AC49" s="114" t="str">
        <f>'Area Category Method'!$S47&amp;AC$86</f>
        <v>ParkingHtgSetpt</v>
      </c>
      <c r="AD49" s="114" t="str">
        <f>'Area Category Method'!$S47&amp;AD$86</f>
        <v>ParkingClgSetpt</v>
      </c>
      <c r="AE49" s="114" t="str">
        <f>'Area Category Method'!$S47&amp;AE$86</f>
        <v>ParkingElevator</v>
      </c>
      <c r="AF49" s="114" t="str">
        <f>'Area Category Method'!$S47&amp;AF$86</f>
        <v>ParkingEscalator</v>
      </c>
      <c r="AG49" s="114" t="str">
        <f>'Area Category Method'!$S47&amp;AG$86</f>
        <v>ParkingWtrHtrSetpt</v>
      </c>
      <c r="AH49" s="114" t="s">
        <v>352</v>
      </c>
    </row>
    <row r="50" spans="1:34" x14ac:dyDescent="0.25">
      <c r="B50" s="114" t="str">
        <f>TRIM(LEFT('Area Category Method'!$A48,IF(ISNUMBER(FIND(" (Note",'Area Category Method'!$A48,1)),FIND(" (Note",'Area Category Method'!$A48,1),99)))</f>
        <v>Police Station and Fire Station</v>
      </c>
      <c r="C50" s="114">
        <f>'Area Category Method'!B48</f>
        <v>10</v>
      </c>
      <c r="D50" s="114">
        <f>'Area Category Method'!C48</f>
        <v>0.5</v>
      </c>
      <c r="E50" s="114">
        <f>'Area Category Method'!D48</f>
        <v>250</v>
      </c>
      <c r="F50" s="114">
        <f>'Area Category Method'!E48</f>
        <v>200</v>
      </c>
      <c r="G50" s="114">
        <f>'Area Category Method'!F48</f>
        <v>1.5</v>
      </c>
      <c r="H50" s="114">
        <f>'Area Category Method'!G48</f>
        <v>0.18</v>
      </c>
      <c r="I50" s="114">
        <f>'Area Category Method'!H48</f>
        <v>0.9</v>
      </c>
      <c r="J50" s="114">
        <f>'Area Category Method'!I48</f>
        <v>0.15</v>
      </c>
      <c r="K50" s="114">
        <f>'Area Category Method'!J48</f>
        <v>0.15</v>
      </c>
      <c r="L50" s="114">
        <f>'Area Category Method'!K48</f>
        <v>150</v>
      </c>
      <c r="M50" s="114">
        <f>'Area Category Method'!L48</f>
        <v>150</v>
      </c>
      <c r="N50" s="114">
        <f>'Area Category Method'!M48</f>
        <v>0</v>
      </c>
      <c r="O50" s="114">
        <f>'Area Category Method'!N48</f>
        <v>0</v>
      </c>
      <c r="P50" s="114">
        <f>'Area Category Method'!O48</f>
        <v>50</v>
      </c>
      <c r="Q50" s="114">
        <f>'Area Category Method'!P48</f>
        <v>300</v>
      </c>
      <c r="R50" s="114">
        <f>'Area Category Method'!Q48</f>
        <v>1.5</v>
      </c>
      <c r="S50" s="114">
        <f>'Area Category Method'!R48</f>
        <v>2</v>
      </c>
      <c r="T50" s="114" t="str">
        <f>'Area Category Method'!S48</f>
        <v>ResidentialCommon</v>
      </c>
      <c r="U50" s="114" t="str">
        <f>'Area Category Method'!$S48&amp;U$86</f>
        <v>ResidentialCommonOccupancy</v>
      </c>
      <c r="V50" s="114" t="str">
        <f>'Area Category Method'!$S48&amp;V$86</f>
        <v>ResidentialCommonReceptacle</v>
      </c>
      <c r="W50" s="114" t="str">
        <f>'Area Category Method'!$S48&amp;W$86</f>
        <v>ResidentialCommonServiceHotWater</v>
      </c>
      <c r="X50" s="114" t="str">
        <f>'Area Category Method'!$S48&amp;X$86</f>
        <v>ResidentialCommonLights</v>
      </c>
      <c r="Y50" s="114" t="str">
        <f>'Area Category Method'!$S48&amp;Y$86</f>
        <v>ResidentialCommonGasEquip</v>
      </c>
      <c r="Z50" s="114" t="str">
        <f>'Area Category Method'!$S48&amp;Z$86</f>
        <v>ResidentialCommonRefrigeration</v>
      </c>
      <c r="AA50" s="114" t="str">
        <f>'Area Category Method'!$S48&amp;AA$86</f>
        <v>ResidentialCommonInfiltration</v>
      </c>
      <c r="AB50" s="114" t="str">
        <f>'Area Category Method'!$S48&amp;AB$86</f>
        <v>ResidentialCommonHVACAvail</v>
      </c>
      <c r="AC50" s="114" t="str">
        <f>'Area Category Method'!$S48&amp;AC$86</f>
        <v>ResidentialCommonHtgSetpt</v>
      </c>
      <c r="AD50" s="114" t="str">
        <f>'Area Category Method'!$S48&amp;AD$86</f>
        <v>ResidentialCommonClgSetpt</v>
      </c>
      <c r="AE50" s="114" t="str">
        <f>'Area Category Method'!$S48&amp;AE$86</f>
        <v>ResidentialCommonElevator</v>
      </c>
      <c r="AF50" s="114" t="str">
        <f>'Area Category Method'!$S48&amp;AF$86</f>
        <v>ResidentialCommonEscalator</v>
      </c>
      <c r="AG50" s="114" t="str">
        <f>'Area Category Method'!$S48&amp;AG$86</f>
        <v>ResidentialCommonWtrHtrSetpt</v>
      </c>
      <c r="AH50" s="114" t="s">
        <v>352</v>
      </c>
    </row>
    <row r="51" spans="1:34" x14ac:dyDescent="0.25">
      <c r="B51" s="114" t="str">
        <f>TRIM(LEFT('Area Category Method'!$A49,IF(ISNUMBER(FIND(" (Note",'Area Category Method'!$A49,1)),FIND(" (Note",'Area Category Method'!$A49,1),99)))</f>
        <v>Religious Worship Area</v>
      </c>
      <c r="C51" s="114">
        <f>'Area Category Method'!B49</f>
        <v>142.85714285714286</v>
      </c>
      <c r="D51" s="114">
        <f>'Area Category Method'!C49</f>
        <v>0.5</v>
      </c>
      <c r="E51" s="114">
        <f>'Area Category Method'!D49</f>
        <v>245</v>
      </c>
      <c r="F51" s="114">
        <f>'Area Category Method'!E49</f>
        <v>105</v>
      </c>
      <c r="G51" s="114">
        <f>'Area Category Method'!F49</f>
        <v>0.5</v>
      </c>
      <c r="H51" s="114">
        <f>'Area Category Method'!G49</f>
        <v>0.09</v>
      </c>
      <c r="I51" s="114">
        <f>'Area Category Method'!H49</f>
        <v>1.5</v>
      </c>
      <c r="J51" s="114">
        <f>'Area Category Method'!I49</f>
        <v>0.15</v>
      </c>
      <c r="K51" s="114">
        <f>'Area Category Method'!J49</f>
        <v>1.0714285714285714</v>
      </c>
      <c r="L51" s="114">
        <f>'Area Category Method'!K49</f>
        <v>150</v>
      </c>
      <c r="M51" s="114">
        <f>'Area Category Method'!L49</f>
        <v>150</v>
      </c>
      <c r="N51" s="114">
        <f>'Area Category Method'!M49</f>
        <v>0</v>
      </c>
      <c r="O51" s="114">
        <f>'Area Category Method'!N49</f>
        <v>0</v>
      </c>
      <c r="P51" s="114">
        <f>'Area Category Method'!O49</f>
        <v>200</v>
      </c>
      <c r="Q51" s="114">
        <f>'Area Category Method'!P49</f>
        <v>1500</v>
      </c>
      <c r="R51" s="114">
        <f>'Area Category Method'!Q49</f>
        <v>1.5</v>
      </c>
      <c r="S51" s="114">
        <f>'Area Category Method'!R49</f>
        <v>2</v>
      </c>
      <c r="T51" s="114" t="str">
        <f>'Area Category Method'!S49</f>
        <v>Assembly</v>
      </c>
      <c r="U51" s="114" t="str">
        <f>'Area Category Method'!$S49&amp;U$86</f>
        <v>AssemblyOccupancy</v>
      </c>
      <c r="V51" s="114" t="str">
        <f>'Area Category Method'!$S49&amp;V$86</f>
        <v>AssemblyReceptacle</v>
      </c>
      <c r="W51" s="114" t="str">
        <f>'Area Category Method'!$S49&amp;W$86</f>
        <v>AssemblyServiceHotWater</v>
      </c>
      <c r="X51" s="114" t="str">
        <f>'Area Category Method'!$S49&amp;X$86</f>
        <v>AssemblyLights</v>
      </c>
      <c r="Y51" s="114" t="str">
        <f>'Area Category Method'!$S49&amp;Y$86</f>
        <v>AssemblyGasEquip</v>
      </c>
      <c r="Z51" s="114" t="str">
        <f>'Area Category Method'!$S49&amp;Z$86</f>
        <v>AssemblyRefrigeration</v>
      </c>
      <c r="AA51" s="114" t="str">
        <f>'Area Category Method'!$S49&amp;AA$86</f>
        <v>AssemblyInfiltration</v>
      </c>
      <c r="AB51" s="114" t="str">
        <f>'Area Category Method'!$S49&amp;AB$86</f>
        <v>AssemblyHVACAvail</v>
      </c>
      <c r="AC51" s="114" t="str">
        <f>'Area Category Method'!$S49&amp;AC$86</f>
        <v>AssemblyHtgSetpt</v>
      </c>
      <c r="AD51" s="114" t="str">
        <f>'Area Category Method'!$S49&amp;AD$86</f>
        <v>AssemblyClgSetpt</v>
      </c>
      <c r="AE51" s="114" t="str">
        <f>'Area Category Method'!$S49&amp;AE$86</f>
        <v>AssemblyElevator</v>
      </c>
      <c r="AF51" s="114" t="str">
        <f>'Area Category Method'!$S49&amp;AF$86</f>
        <v>AssemblyEscalator</v>
      </c>
      <c r="AG51" s="114" t="str">
        <f>'Area Category Method'!$S49&amp;AG$86</f>
        <v>AssemblyWtrHtrSetpt</v>
      </c>
      <c r="AH51" s="114" t="s">
        <v>352</v>
      </c>
    </row>
    <row r="52" spans="1:34" x14ac:dyDescent="0.25">
      <c r="B52" s="114" t="str">
        <f>TRIM(LEFT('Area Category Method'!$A50,IF(ISNUMBER(FIND(" (Note",'Area Category Method'!$A50,1)),FIND(" (Note",'Area Category Method'!$A50,1),99)))</f>
        <v>Retail Merchandise Sales, Wholesale Showroom</v>
      </c>
      <c r="C52" s="114">
        <f>'Area Category Method'!B50</f>
        <v>33.333333333333336</v>
      </c>
      <c r="D52" s="114">
        <f>'Area Category Method'!C50</f>
        <v>0.5</v>
      </c>
      <c r="E52" s="114">
        <f>'Area Category Method'!D50</f>
        <v>250</v>
      </c>
      <c r="F52" s="114">
        <f>'Area Category Method'!E50</f>
        <v>200</v>
      </c>
      <c r="G52" s="114">
        <f>'Area Category Method'!F50</f>
        <v>1</v>
      </c>
      <c r="H52" s="114">
        <f>'Area Category Method'!G50</f>
        <v>0.18</v>
      </c>
      <c r="I52" s="114">
        <f>'Area Category Method'!H50</f>
        <v>1.2</v>
      </c>
      <c r="J52" s="114">
        <f>'Area Category Method'!I50</f>
        <v>0.2</v>
      </c>
      <c r="K52" s="114">
        <f>'Area Category Method'!J50</f>
        <v>0.25</v>
      </c>
      <c r="L52" s="114">
        <f>'Area Category Method'!K50</f>
        <v>150</v>
      </c>
      <c r="M52" s="114">
        <f>'Area Category Method'!L50</f>
        <v>150</v>
      </c>
      <c r="N52" s="114">
        <f>'Area Category Method'!M50</f>
        <v>0</v>
      </c>
      <c r="O52" s="114">
        <f>'Area Category Method'!N50</f>
        <v>0</v>
      </c>
      <c r="P52" s="114">
        <f>'Area Category Method'!O50</f>
        <v>100</v>
      </c>
      <c r="Q52" s="114">
        <f>'Area Category Method'!P50</f>
        <v>1000</v>
      </c>
      <c r="R52" s="114">
        <f>'Area Category Method'!Q50</f>
        <v>1.5</v>
      </c>
      <c r="S52" s="114">
        <f>'Area Category Method'!R50</f>
        <v>2</v>
      </c>
      <c r="T52" s="114" t="str">
        <f>'Area Category Method'!S50</f>
        <v>Retail</v>
      </c>
      <c r="U52" s="114" t="str">
        <f>'Area Category Method'!$S50&amp;U$86</f>
        <v>RetailOccupancy</v>
      </c>
      <c r="V52" s="114" t="str">
        <f>'Area Category Method'!$S50&amp;V$86</f>
        <v>RetailReceptacle</v>
      </c>
      <c r="W52" s="114" t="str">
        <f>'Area Category Method'!$S50&amp;W$86</f>
        <v>RetailServiceHotWater</v>
      </c>
      <c r="X52" s="114" t="str">
        <f>'Area Category Method'!$S50&amp;X$86</f>
        <v>RetailLights</v>
      </c>
      <c r="Y52" s="114" t="str">
        <f>'Area Category Method'!$S50&amp;Y$86</f>
        <v>RetailGasEquip</v>
      </c>
      <c r="Z52" s="114" t="str">
        <f>'Area Category Method'!$S50&amp;Z$86</f>
        <v>RetailRefrigeration</v>
      </c>
      <c r="AA52" s="114" t="str">
        <f>'Area Category Method'!$S50&amp;AA$86</f>
        <v>RetailInfiltration</v>
      </c>
      <c r="AB52" s="114" t="str">
        <f>'Area Category Method'!$S50&amp;AB$86</f>
        <v>RetailHVACAvail</v>
      </c>
      <c r="AC52" s="114" t="str">
        <f>'Area Category Method'!$S50&amp;AC$86</f>
        <v>RetailHtgSetpt</v>
      </c>
      <c r="AD52" s="114" t="str">
        <f>'Area Category Method'!$S50&amp;AD$86</f>
        <v>RetailClgSetpt</v>
      </c>
      <c r="AE52" s="114" t="str">
        <f>'Area Category Method'!$S50&amp;AE$86</f>
        <v>RetailElevator</v>
      </c>
      <c r="AF52" s="114" t="str">
        <f>'Area Category Method'!$S50&amp;AF$86</f>
        <v>RetailEscalator</v>
      </c>
      <c r="AG52" s="114" t="str">
        <f>'Area Category Method'!$S50&amp;AG$86</f>
        <v>RetailWtrHtrSetpt</v>
      </c>
      <c r="AH52" s="114" t="s">
        <v>352</v>
      </c>
    </row>
    <row r="53" spans="1:34" x14ac:dyDescent="0.25">
      <c r="B53" s="114" t="str">
        <f>TRIM(LEFT('Area Category Method'!$A51,IF(ISNUMBER(FIND(" (Note",'Area Category Method'!$A51,1)),FIND(" (Note",'Area Category Method'!$A51,1),99)))</f>
        <v>Sports Arena, Indoor Playing Area</v>
      </c>
      <c r="C53" s="114">
        <f>'Area Category Method'!B51</f>
        <v>66.666666666666671</v>
      </c>
      <c r="D53" s="114">
        <f>'Area Category Method'!C51</f>
        <v>0.5</v>
      </c>
      <c r="E53" s="114">
        <f>'Area Category Method'!D51</f>
        <v>245</v>
      </c>
      <c r="F53" s="114">
        <f>'Area Category Method'!E51</f>
        <v>105</v>
      </c>
      <c r="G53" s="114">
        <f>'Area Category Method'!F51</f>
        <v>1</v>
      </c>
      <c r="H53" s="114">
        <f>'Area Category Method'!G51</f>
        <v>0.09</v>
      </c>
      <c r="I53" s="114">
        <f>'Area Category Method'!H51</f>
        <v>2.2999999999999998</v>
      </c>
      <c r="J53" s="114">
        <f>'Area Category Method'!I51</f>
        <v>0.15</v>
      </c>
      <c r="K53" s="114">
        <f>'Area Category Method'!J51</f>
        <v>0.5</v>
      </c>
      <c r="L53" s="114">
        <f>'Area Category Method'!K51</f>
        <v>150</v>
      </c>
      <c r="M53" s="114">
        <f>'Area Category Method'!L51</f>
        <v>150</v>
      </c>
      <c r="N53" s="114">
        <f>'Area Category Method'!M51</f>
        <v>0</v>
      </c>
      <c r="O53" s="114">
        <f>'Area Category Method'!N51</f>
        <v>0</v>
      </c>
      <c r="P53" s="114">
        <f>'Area Category Method'!O51</f>
        <v>200</v>
      </c>
      <c r="Q53" s="114">
        <f>'Area Category Method'!P51</f>
        <v>750</v>
      </c>
      <c r="R53" s="114">
        <f>'Area Category Method'!Q51</f>
        <v>1.5</v>
      </c>
      <c r="S53" s="114">
        <f>'Area Category Method'!R51</f>
        <v>2</v>
      </c>
      <c r="T53" s="114" t="str">
        <f>'Area Category Method'!S51</f>
        <v>Assembly</v>
      </c>
      <c r="U53" s="114" t="str">
        <f>'Area Category Method'!$S51&amp;U$86</f>
        <v>AssemblyOccupancy</v>
      </c>
      <c r="V53" s="114" t="str">
        <f>'Area Category Method'!$S51&amp;V$86</f>
        <v>AssemblyReceptacle</v>
      </c>
      <c r="W53" s="114" t="str">
        <f>'Area Category Method'!$S51&amp;W$86</f>
        <v>AssemblyServiceHotWater</v>
      </c>
      <c r="X53" s="114" t="str">
        <f>'Area Category Method'!$S51&amp;X$86</f>
        <v>AssemblyLights</v>
      </c>
      <c r="Y53" s="114" t="str">
        <f>'Area Category Method'!$S51&amp;Y$86</f>
        <v>AssemblyGasEquip</v>
      </c>
      <c r="Z53" s="114" t="str">
        <f>'Area Category Method'!$S51&amp;Z$86</f>
        <v>AssemblyRefrigeration</v>
      </c>
      <c r="AA53" s="114" t="str">
        <f>'Area Category Method'!$S51&amp;AA$86</f>
        <v>AssemblyInfiltration</v>
      </c>
      <c r="AB53" s="114" t="str">
        <f>'Area Category Method'!$S51&amp;AB$86</f>
        <v>AssemblyHVACAvail</v>
      </c>
      <c r="AC53" s="114" t="str">
        <f>'Area Category Method'!$S51&amp;AC$86</f>
        <v>AssemblyHtgSetpt</v>
      </c>
      <c r="AD53" s="114" t="str">
        <f>'Area Category Method'!$S51&amp;AD$86</f>
        <v>AssemblyClgSetpt</v>
      </c>
      <c r="AE53" s="114" t="str">
        <f>'Area Category Method'!$S51&amp;AE$86</f>
        <v>AssemblyElevator</v>
      </c>
      <c r="AF53" s="114" t="str">
        <f>'Area Category Method'!$S51&amp;AF$86</f>
        <v>AssemblyEscalator</v>
      </c>
      <c r="AG53" s="114" t="str">
        <f>'Area Category Method'!$S51&amp;AG$86</f>
        <v>AssemblyWtrHtrSetpt</v>
      </c>
      <c r="AH53" s="114" t="s">
        <v>352</v>
      </c>
    </row>
    <row r="54" spans="1:34" x14ac:dyDescent="0.25">
      <c r="B54" s="114" t="str">
        <f>TRIM(LEFT('Area Category Method'!$A52,IF(ISNUMBER(FIND(" (Note",'Area Category Method'!$A52,1)),FIND(" (Note",'Area Category Method'!$A52,1),99)))</f>
        <v>Theater, Motion Picture</v>
      </c>
      <c r="C54" s="114">
        <f>'Area Category Method'!B52</f>
        <v>142.85714285714286</v>
      </c>
      <c r="D54" s="114">
        <f>'Area Category Method'!C52</f>
        <v>1</v>
      </c>
      <c r="E54" s="114">
        <f>'Area Category Method'!D52</f>
        <v>245</v>
      </c>
      <c r="F54" s="114">
        <f>'Area Category Method'!E52</f>
        <v>105</v>
      </c>
      <c r="G54" s="114">
        <f>'Area Category Method'!F52</f>
        <v>0.5</v>
      </c>
      <c r="H54" s="114">
        <f>'Area Category Method'!G52</f>
        <v>0.09</v>
      </c>
      <c r="I54" s="114">
        <f>'Area Category Method'!H52</f>
        <v>0.9</v>
      </c>
      <c r="J54" s="114">
        <f>'Area Category Method'!I52</f>
        <v>0.15</v>
      </c>
      <c r="K54" s="114">
        <f>'Area Category Method'!J52</f>
        <v>2.1428571428571428</v>
      </c>
      <c r="L54" s="114">
        <f>'Area Category Method'!K52</f>
        <v>150</v>
      </c>
      <c r="M54" s="114">
        <f>'Area Category Method'!L52</f>
        <v>150</v>
      </c>
      <c r="N54" s="114">
        <f>'Area Category Method'!M52</f>
        <v>0</v>
      </c>
      <c r="O54" s="114">
        <f>'Area Category Method'!N52</f>
        <v>0</v>
      </c>
      <c r="P54" s="114">
        <f>'Area Category Method'!O52</f>
        <v>2</v>
      </c>
      <c r="Q54" s="114">
        <f>'Area Category Method'!P52</f>
        <v>50</v>
      </c>
      <c r="R54" s="114">
        <f>'Area Category Method'!Q52</f>
        <v>1.5</v>
      </c>
      <c r="S54" s="114">
        <f>'Area Category Method'!R52</f>
        <v>2</v>
      </c>
      <c r="T54" s="114" t="str">
        <f>'Area Category Method'!S52</f>
        <v>Assembly</v>
      </c>
      <c r="U54" s="114" t="str">
        <f>'Area Category Method'!$S52&amp;U$86</f>
        <v>AssemblyOccupancy</v>
      </c>
      <c r="V54" s="114" t="str">
        <f>'Area Category Method'!$S52&amp;V$86</f>
        <v>AssemblyReceptacle</v>
      </c>
      <c r="W54" s="114" t="str">
        <f>'Area Category Method'!$S52&amp;W$86</f>
        <v>AssemblyServiceHotWater</v>
      </c>
      <c r="X54" s="114" t="str">
        <f>'Area Category Method'!$S52&amp;X$86</f>
        <v>AssemblyLights</v>
      </c>
      <c r="Y54" s="114" t="str">
        <f>'Area Category Method'!$S52&amp;Y$86</f>
        <v>AssemblyGasEquip</v>
      </c>
      <c r="Z54" s="114" t="str">
        <f>'Area Category Method'!$S52&amp;Z$86</f>
        <v>AssemblyRefrigeration</v>
      </c>
      <c r="AA54" s="114" t="str">
        <f>'Area Category Method'!$S52&amp;AA$86</f>
        <v>AssemblyInfiltration</v>
      </c>
      <c r="AB54" s="114" t="str">
        <f>'Area Category Method'!$S52&amp;AB$86</f>
        <v>AssemblyHVACAvail</v>
      </c>
      <c r="AC54" s="114" t="str">
        <f>'Area Category Method'!$S52&amp;AC$86</f>
        <v>AssemblyHtgSetpt</v>
      </c>
      <c r="AD54" s="114" t="str">
        <f>'Area Category Method'!$S52&amp;AD$86</f>
        <v>AssemblyClgSetpt</v>
      </c>
      <c r="AE54" s="114" t="str">
        <f>'Area Category Method'!$S52&amp;AE$86</f>
        <v>AssemblyElevator</v>
      </c>
      <c r="AF54" s="114" t="str">
        <f>'Area Category Method'!$S52&amp;AF$86</f>
        <v>AssemblyEscalator</v>
      </c>
      <c r="AG54" s="114" t="str">
        <f>'Area Category Method'!$S52&amp;AG$86</f>
        <v>AssemblyWtrHtrSetpt</v>
      </c>
      <c r="AH54" s="114" t="s">
        <v>352</v>
      </c>
    </row>
    <row r="55" spans="1:34" x14ac:dyDescent="0.25">
      <c r="B55" s="114" t="str">
        <f>TRIM(LEFT('Area Category Method'!$A53,IF(ISNUMBER(FIND(" (Note",'Area Category Method'!$A53,1)),FIND(" (Note",'Area Category Method'!$A53,1),99)))</f>
        <v>Theater, Performance</v>
      </c>
      <c r="C55" s="114">
        <f>'Area Category Method'!B53</f>
        <v>142.85714285714286</v>
      </c>
      <c r="D55" s="114">
        <f>'Area Category Method'!C53</f>
        <v>1</v>
      </c>
      <c r="E55" s="114">
        <f>'Area Category Method'!D53</f>
        <v>245</v>
      </c>
      <c r="F55" s="114">
        <f>'Area Category Method'!E53</f>
        <v>105</v>
      </c>
      <c r="G55" s="114">
        <f>'Area Category Method'!F53</f>
        <v>0.5</v>
      </c>
      <c r="H55" s="114">
        <f>'Area Category Method'!G53</f>
        <v>0.09</v>
      </c>
      <c r="I55" s="114">
        <f>'Area Category Method'!H53</f>
        <v>1.4</v>
      </c>
      <c r="J55" s="114">
        <f>'Area Category Method'!I53</f>
        <v>0.15</v>
      </c>
      <c r="K55" s="114">
        <f>'Area Category Method'!J53</f>
        <v>2.1428571428571428</v>
      </c>
      <c r="L55" s="114">
        <f>'Area Category Method'!K53</f>
        <v>150</v>
      </c>
      <c r="M55" s="114">
        <f>'Area Category Method'!L53</f>
        <v>150</v>
      </c>
      <c r="N55" s="114">
        <f>'Area Category Method'!M53</f>
        <v>0</v>
      </c>
      <c r="O55" s="114">
        <f>'Area Category Method'!N53</f>
        <v>0</v>
      </c>
      <c r="P55" s="114">
        <f>'Area Category Method'!O53</f>
        <v>2</v>
      </c>
      <c r="Q55" s="114">
        <f>'Area Category Method'!P53</f>
        <v>200</v>
      </c>
      <c r="R55" s="114">
        <f>'Area Category Method'!Q53</f>
        <v>1.5</v>
      </c>
      <c r="S55" s="114">
        <f>'Area Category Method'!R53</f>
        <v>2</v>
      </c>
      <c r="T55" s="114" t="str">
        <f>'Area Category Method'!S53</f>
        <v>Assembly</v>
      </c>
      <c r="U55" s="114" t="str">
        <f>'Area Category Method'!$S53&amp;U$86</f>
        <v>AssemblyOccupancy</v>
      </c>
      <c r="V55" s="114" t="str">
        <f>'Area Category Method'!$S53&amp;V$86</f>
        <v>AssemblyReceptacle</v>
      </c>
      <c r="W55" s="114" t="str">
        <f>'Area Category Method'!$S53&amp;W$86</f>
        <v>AssemblyServiceHotWater</v>
      </c>
      <c r="X55" s="114" t="str">
        <f>'Area Category Method'!$S53&amp;X$86</f>
        <v>AssemblyLights</v>
      </c>
      <c r="Y55" s="114" t="str">
        <f>'Area Category Method'!$S53&amp;Y$86</f>
        <v>AssemblyGasEquip</v>
      </c>
      <c r="Z55" s="114" t="str">
        <f>'Area Category Method'!$S53&amp;Z$86</f>
        <v>AssemblyRefrigeration</v>
      </c>
      <c r="AA55" s="114" t="str">
        <f>'Area Category Method'!$S53&amp;AA$86</f>
        <v>AssemblyInfiltration</v>
      </c>
      <c r="AB55" s="114" t="str">
        <f>'Area Category Method'!$S53&amp;AB$86</f>
        <v>AssemblyHVACAvail</v>
      </c>
      <c r="AC55" s="114" t="str">
        <f>'Area Category Method'!$S53&amp;AC$86</f>
        <v>AssemblyHtgSetpt</v>
      </c>
      <c r="AD55" s="114" t="str">
        <f>'Area Category Method'!$S53&amp;AD$86</f>
        <v>AssemblyClgSetpt</v>
      </c>
      <c r="AE55" s="114" t="str">
        <f>'Area Category Method'!$S53&amp;AE$86</f>
        <v>AssemblyElevator</v>
      </c>
      <c r="AF55" s="114" t="str">
        <f>'Area Category Method'!$S53&amp;AF$86</f>
        <v>AssemblyEscalator</v>
      </c>
      <c r="AG55" s="114" t="str">
        <f>'Area Category Method'!$S53&amp;AG$86</f>
        <v>AssemblyWtrHtrSetpt</v>
      </c>
      <c r="AH55" s="114" t="s">
        <v>352</v>
      </c>
    </row>
    <row r="56" spans="1:34" x14ac:dyDescent="0.25">
      <c r="B56" s="114" t="str">
        <f>TRIM(LEFT('Area Category Method'!$A54,IF(ISNUMBER(FIND(" (Note",'Area Category Method'!$A54,1)),FIND(" (Note",'Area Category Method'!$A54,1),99)))</f>
        <v>Transportation Function</v>
      </c>
      <c r="C56" s="114">
        <f>'Area Category Method'!B54</f>
        <v>33.333333333333336</v>
      </c>
      <c r="D56" s="114">
        <f>'Area Category Method'!C54</f>
        <v>0.5</v>
      </c>
      <c r="E56" s="114">
        <f>'Area Category Method'!D54</f>
        <v>250</v>
      </c>
      <c r="F56" s="114">
        <f>'Area Category Method'!E54</f>
        <v>250</v>
      </c>
      <c r="G56" s="114">
        <f>'Area Category Method'!F54</f>
        <v>0.5</v>
      </c>
      <c r="H56" s="114">
        <f>'Area Category Method'!G54</f>
        <v>0.18</v>
      </c>
      <c r="I56" s="114">
        <f>'Area Category Method'!H54</f>
        <v>1.2</v>
      </c>
      <c r="J56" s="114">
        <f>'Area Category Method'!I54</f>
        <v>0.15</v>
      </c>
      <c r="K56" s="114">
        <f>'Area Category Method'!J54</f>
        <v>0.25</v>
      </c>
      <c r="L56" s="114">
        <f>'Area Category Method'!K54</f>
        <v>150</v>
      </c>
      <c r="M56" s="114">
        <f>'Area Category Method'!L54</f>
        <v>150</v>
      </c>
      <c r="N56" s="114">
        <f>'Area Category Method'!M54</f>
        <v>0</v>
      </c>
      <c r="O56" s="114">
        <f>'Area Category Method'!N54</f>
        <v>0</v>
      </c>
      <c r="P56" s="114">
        <f>'Area Category Method'!O54</f>
        <v>50</v>
      </c>
      <c r="Q56" s="114">
        <f>'Area Category Method'!P54</f>
        <v>500</v>
      </c>
      <c r="R56" s="114">
        <f>'Area Category Method'!Q54</f>
        <v>1.5</v>
      </c>
      <c r="S56" s="114">
        <f>'Area Category Method'!R54</f>
        <v>2</v>
      </c>
      <c r="T56" s="114" t="str">
        <f>'Area Category Method'!S54</f>
        <v>Assembly</v>
      </c>
      <c r="U56" s="114" t="str">
        <f>'Area Category Method'!$S54&amp;U$86</f>
        <v>AssemblyOccupancy</v>
      </c>
      <c r="V56" s="114" t="str">
        <f>'Area Category Method'!$S54&amp;V$86</f>
        <v>AssemblyReceptacle</v>
      </c>
      <c r="W56" s="114" t="str">
        <f>'Area Category Method'!$S54&amp;W$86</f>
        <v>AssemblyServiceHotWater</v>
      </c>
      <c r="X56" s="114" t="str">
        <f>'Area Category Method'!$S54&amp;X$86</f>
        <v>AssemblyLights</v>
      </c>
      <c r="Y56" s="114" t="str">
        <f>'Area Category Method'!$S54&amp;Y$86</f>
        <v>AssemblyGasEquip</v>
      </c>
      <c r="Z56" s="114" t="str">
        <f>'Area Category Method'!$S54&amp;Z$86</f>
        <v>AssemblyRefrigeration</v>
      </c>
      <c r="AA56" s="114" t="str">
        <f>'Area Category Method'!$S54&amp;AA$86</f>
        <v>AssemblyInfiltration</v>
      </c>
      <c r="AB56" s="114" t="str">
        <f>'Area Category Method'!$S54&amp;AB$86</f>
        <v>AssemblyHVACAvail</v>
      </c>
      <c r="AC56" s="114" t="str">
        <f>'Area Category Method'!$S54&amp;AC$86</f>
        <v>AssemblyHtgSetpt</v>
      </c>
      <c r="AD56" s="114" t="str">
        <f>'Area Category Method'!$S54&amp;AD$86</f>
        <v>AssemblyClgSetpt</v>
      </c>
      <c r="AE56" s="114" t="str">
        <f>'Area Category Method'!$S54&amp;AE$86</f>
        <v>AssemblyElevator</v>
      </c>
      <c r="AF56" s="114" t="str">
        <f>'Area Category Method'!$S54&amp;AF$86</f>
        <v>AssemblyEscalator</v>
      </c>
      <c r="AG56" s="114" t="str">
        <f>'Area Category Method'!$S54&amp;AG$86</f>
        <v>AssemblyWtrHtrSetpt</v>
      </c>
      <c r="AH56" s="114" t="s">
        <v>352</v>
      </c>
    </row>
    <row r="57" spans="1:34" x14ac:dyDescent="0.25">
      <c r="B57" s="114" t="str">
        <f>TRIM(LEFT('Area Category Method'!$A55,IF(ISNUMBER(FIND(" (Note",'Area Category Method'!$A55,1)),FIND(" (Note",'Area Category Method'!$A55,1),99)))</f>
        <v>Unoccupied-Exclude from Gross Floor Area</v>
      </c>
      <c r="C57" s="114">
        <f>'Area Category Method'!B55</f>
        <v>0</v>
      </c>
      <c r="D57" s="114">
        <f>'Area Category Method'!C55</f>
        <v>0.5</v>
      </c>
      <c r="E57" s="114">
        <f>'Area Category Method'!D55</f>
        <v>250</v>
      </c>
      <c r="F57" s="114">
        <f>'Area Category Method'!E55</f>
        <v>250</v>
      </c>
      <c r="G57" s="114">
        <f>'Area Category Method'!F55</f>
        <v>0</v>
      </c>
      <c r="H57" s="114">
        <f>'Area Category Method'!G55</f>
        <v>0</v>
      </c>
      <c r="I57" s="114">
        <f>'Area Category Method'!H55</f>
        <v>0</v>
      </c>
      <c r="J57" s="114">
        <f>'Area Category Method'!I55</f>
        <v>0</v>
      </c>
      <c r="K57" s="114">
        <f>'Area Category Method'!J55</f>
        <v>0</v>
      </c>
      <c r="L57" s="114">
        <f>'Area Category Method'!K55</f>
        <v>8760</v>
      </c>
      <c r="M57" s="114">
        <f>'Area Category Method'!L55</f>
        <v>8760</v>
      </c>
      <c r="N57" s="114">
        <f>'Area Category Method'!M55</f>
        <v>0</v>
      </c>
      <c r="O57" s="114">
        <f>'Area Category Method'!N55</f>
        <v>0</v>
      </c>
      <c r="P57" s="114">
        <f>'Area Category Method'!O55</f>
        <v>0</v>
      </c>
      <c r="Q57" s="114">
        <f>'Area Category Method'!P55</f>
        <v>0</v>
      </c>
      <c r="R57" s="114">
        <f>'Area Category Method'!Q55</f>
        <v>0</v>
      </c>
      <c r="S57" s="114">
        <f>'Area Category Method'!R55</f>
        <v>0</v>
      </c>
      <c r="T57" s="114" t="str">
        <f>'Area Category Method'!S55</f>
        <v>Unoccupied</v>
      </c>
      <c r="U57" s="114" t="str">
        <f>'Area Category Method'!$S55&amp;U$86</f>
        <v>UnoccupiedOccupancy</v>
      </c>
      <c r="V57" s="114" t="str">
        <f>'Area Category Method'!$S55&amp;V$86</f>
        <v>UnoccupiedReceptacle</v>
      </c>
      <c r="W57" s="114" t="str">
        <f>'Area Category Method'!$S55&amp;W$86</f>
        <v>UnoccupiedServiceHotWater</v>
      </c>
      <c r="X57" s="114" t="str">
        <f>'Area Category Method'!$S55&amp;X$86</f>
        <v>UnoccupiedLights</v>
      </c>
      <c r="Y57" s="114" t="str">
        <f>'Area Category Method'!$S55&amp;Y$86</f>
        <v>UnoccupiedGasEquip</v>
      </c>
      <c r="Z57" s="114" t="str">
        <f>'Area Category Method'!$S55&amp;Z$86</f>
        <v>UnoccupiedRefrigeration</v>
      </c>
      <c r="AA57" s="114" t="str">
        <f>'Area Category Method'!$S55&amp;AA$86</f>
        <v>UnoccupiedInfiltration</v>
      </c>
      <c r="AB57" s="114" t="str">
        <f>'Area Category Method'!$S55&amp;AB$86</f>
        <v>UnoccupiedHVACAvail</v>
      </c>
      <c r="AC57" s="114" t="str">
        <f>'Area Category Method'!$S55&amp;AC$86</f>
        <v>UnoccupiedHtgSetpt</v>
      </c>
      <c r="AD57" s="114" t="str">
        <f>'Area Category Method'!$S55&amp;AD$86</f>
        <v>UnoccupiedClgSetpt</v>
      </c>
      <c r="AE57" s="114" t="str">
        <f>'Area Category Method'!$S55&amp;AE$86</f>
        <v>UnoccupiedElevator</v>
      </c>
      <c r="AF57" s="114" t="str">
        <f>'Area Category Method'!$S55&amp;AF$86</f>
        <v>UnoccupiedEscalator</v>
      </c>
      <c r="AG57" s="114" t="str">
        <f>'Area Category Method'!$S55&amp;AG$86</f>
        <v>UnoccupiedWtrHtrSetpt</v>
      </c>
      <c r="AH57" s="114" t="s">
        <v>352</v>
      </c>
    </row>
    <row r="58" spans="1:34" x14ac:dyDescent="0.25">
      <c r="B58" s="114" t="str">
        <f>TRIM(LEFT('Area Category Method'!$A56,IF(ISNUMBER(FIND(" (Note",'Area Category Method'!$A56,1)),FIND(" (Note",'Area Category Method'!$A56,1),99)))</f>
        <v>Unoccupied-Include in Gross Floor Area</v>
      </c>
      <c r="C58" s="114">
        <f>'Area Category Method'!B56</f>
        <v>0</v>
      </c>
      <c r="D58" s="114">
        <f>'Area Category Method'!C56</f>
        <v>0.5</v>
      </c>
      <c r="E58" s="114">
        <f>'Area Category Method'!D56</f>
        <v>250</v>
      </c>
      <c r="F58" s="114">
        <f>'Area Category Method'!E56</f>
        <v>250</v>
      </c>
      <c r="G58" s="114">
        <f>'Area Category Method'!F56</f>
        <v>0</v>
      </c>
      <c r="H58" s="114">
        <f>'Area Category Method'!G56</f>
        <v>0</v>
      </c>
      <c r="I58" s="114">
        <f>'Area Category Method'!H56</f>
        <v>0</v>
      </c>
      <c r="J58" s="114">
        <f>'Area Category Method'!I56</f>
        <v>0</v>
      </c>
      <c r="K58" s="114">
        <f>'Area Category Method'!J56</f>
        <v>0</v>
      </c>
      <c r="L58" s="114">
        <f>'Area Category Method'!K56</f>
        <v>8760</v>
      </c>
      <c r="M58" s="114">
        <f>'Area Category Method'!L56</f>
        <v>8760</v>
      </c>
      <c r="N58" s="114">
        <f>'Area Category Method'!M56</f>
        <v>0</v>
      </c>
      <c r="O58" s="114">
        <f>'Area Category Method'!N56</f>
        <v>0</v>
      </c>
      <c r="P58" s="114">
        <f>'Area Category Method'!O56</f>
        <v>0</v>
      </c>
      <c r="Q58" s="114">
        <f>'Area Category Method'!P56</f>
        <v>0</v>
      </c>
      <c r="R58" s="114">
        <f>'Area Category Method'!Q56</f>
        <v>0</v>
      </c>
      <c r="S58" s="114">
        <f>'Area Category Method'!R56</f>
        <v>0</v>
      </c>
      <c r="T58" s="114" t="str">
        <f>'Area Category Method'!S56</f>
        <v>Unoccupied</v>
      </c>
      <c r="U58" s="114" t="str">
        <f>'Area Category Method'!$S56&amp;U$86</f>
        <v>UnoccupiedOccupancy</v>
      </c>
      <c r="V58" s="114" t="str">
        <f>'Area Category Method'!$S56&amp;V$86</f>
        <v>UnoccupiedReceptacle</v>
      </c>
      <c r="W58" s="114" t="str">
        <f>'Area Category Method'!$S56&amp;W$86</f>
        <v>UnoccupiedServiceHotWater</v>
      </c>
      <c r="X58" s="114" t="str">
        <f>'Area Category Method'!$S56&amp;X$86</f>
        <v>UnoccupiedLights</v>
      </c>
      <c r="Y58" s="114" t="str">
        <f>'Area Category Method'!$S56&amp;Y$86</f>
        <v>UnoccupiedGasEquip</v>
      </c>
      <c r="Z58" s="114" t="str">
        <f>'Area Category Method'!$S56&amp;Z$86</f>
        <v>UnoccupiedRefrigeration</v>
      </c>
      <c r="AA58" s="114" t="str">
        <f>'Area Category Method'!$S56&amp;AA$86</f>
        <v>UnoccupiedInfiltration</v>
      </c>
      <c r="AB58" s="114" t="str">
        <f>'Area Category Method'!$S56&amp;AB$86</f>
        <v>UnoccupiedHVACAvail</v>
      </c>
      <c r="AC58" s="114" t="str">
        <f>'Area Category Method'!$S56&amp;AC$86</f>
        <v>UnoccupiedHtgSetpt</v>
      </c>
      <c r="AD58" s="114" t="str">
        <f>'Area Category Method'!$S56&amp;AD$86</f>
        <v>UnoccupiedClgSetpt</v>
      </c>
      <c r="AE58" s="114" t="str">
        <f>'Area Category Method'!$S56&amp;AE$86</f>
        <v>UnoccupiedElevator</v>
      </c>
      <c r="AF58" s="114" t="str">
        <f>'Area Category Method'!$S56&amp;AF$86</f>
        <v>UnoccupiedEscalator</v>
      </c>
      <c r="AG58" s="114" t="str">
        <f>'Area Category Method'!$S56&amp;AG$86</f>
        <v>UnoccupiedWtrHtrSetpt</v>
      </c>
      <c r="AH58" s="114" t="s">
        <v>352</v>
      </c>
    </row>
    <row r="59" spans="1:34" x14ac:dyDescent="0.25">
      <c r="B59" s="114" t="str">
        <f>TRIM(LEFT('Area Category Method'!$A57,IF(ISNUMBER(FIND(" (Note",'Area Category Method'!$A57,1)),FIND(" (Note",'Area Category Method'!$A57,1),99)))</f>
        <v>Videoconferencing Studio</v>
      </c>
      <c r="C59" s="114">
        <f>'Area Category Method'!B57</f>
        <v>10</v>
      </c>
      <c r="D59" s="114">
        <f>'Area Category Method'!C57</f>
        <v>0.5</v>
      </c>
      <c r="E59" s="114">
        <f>'Area Category Method'!D57</f>
        <v>250</v>
      </c>
      <c r="F59" s="114">
        <f>'Area Category Method'!E57</f>
        <v>200</v>
      </c>
      <c r="G59" s="114">
        <f>'Area Category Method'!F57</f>
        <v>1.5</v>
      </c>
      <c r="H59" s="114">
        <f>'Area Category Method'!G57</f>
        <v>0.18</v>
      </c>
      <c r="I59" s="114">
        <f>'Area Category Method'!H57</f>
        <v>1.2</v>
      </c>
      <c r="J59" s="114">
        <f>'Area Category Method'!I57</f>
        <v>0.15</v>
      </c>
      <c r="K59" s="114">
        <f>'Area Category Method'!J57</f>
        <v>0.15</v>
      </c>
      <c r="L59" s="114">
        <f>'Area Category Method'!K57</f>
        <v>150</v>
      </c>
      <c r="M59" s="114">
        <f>'Area Category Method'!L57</f>
        <v>150</v>
      </c>
      <c r="N59" s="114">
        <f>'Area Category Method'!M57</f>
        <v>0</v>
      </c>
      <c r="O59" s="114">
        <f>'Area Category Method'!N57</f>
        <v>0</v>
      </c>
      <c r="P59" s="114">
        <f>'Area Category Method'!O57</f>
        <v>300</v>
      </c>
      <c r="Q59" s="114">
        <f>'Area Category Method'!P57</f>
        <v>300</v>
      </c>
      <c r="R59" s="114">
        <f>'Area Category Method'!Q57</f>
        <v>1.5</v>
      </c>
      <c r="S59" s="114">
        <f>'Area Category Method'!R57</f>
        <v>2</v>
      </c>
      <c r="T59" s="114" t="str">
        <f>'Area Category Method'!S57</f>
        <v>Office</v>
      </c>
      <c r="U59" s="114" t="str">
        <f>'Area Category Method'!$S57&amp;U$86</f>
        <v>OfficeOccupancy</v>
      </c>
      <c r="V59" s="114" t="str">
        <f>'Area Category Method'!$S57&amp;V$86</f>
        <v>OfficeReceptacle</v>
      </c>
      <c r="W59" s="114" t="str">
        <f>'Area Category Method'!$S57&amp;W$86</f>
        <v>OfficeServiceHotWater</v>
      </c>
      <c r="X59" s="114" t="str">
        <f>'Area Category Method'!$S57&amp;X$86</f>
        <v>OfficeLights</v>
      </c>
      <c r="Y59" s="114" t="str">
        <f>'Area Category Method'!$S57&amp;Y$86</f>
        <v>OfficeGasEquip</v>
      </c>
      <c r="Z59" s="114" t="str">
        <f>'Area Category Method'!$S57&amp;Z$86</f>
        <v>OfficeRefrigeration</v>
      </c>
      <c r="AA59" s="114" t="str">
        <f>'Area Category Method'!$S57&amp;AA$86</f>
        <v>OfficeInfiltration</v>
      </c>
      <c r="AB59" s="114" t="str">
        <f>'Area Category Method'!$S57&amp;AB$86</f>
        <v>OfficeHVACAvail</v>
      </c>
      <c r="AC59" s="114" t="str">
        <f>'Area Category Method'!$S57&amp;AC$86</f>
        <v>OfficeHtgSetpt</v>
      </c>
      <c r="AD59" s="114" t="str">
        <f>'Area Category Method'!$S57&amp;AD$86</f>
        <v>OfficeClgSetpt</v>
      </c>
      <c r="AE59" s="114" t="str">
        <f>'Area Category Method'!$S57&amp;AE$86</f>
        <v>OfficeElevator</v>
      </c>
      <c r="AF59" s="114" t="str">
        <f>'Area Category Method'!$S57&amp;AF$86</f>
        <v>OfficeEscalator</v>
      </c>
      <c r="AG59" s="114" t="str">
        <f>'Area Category Method'!$S57&amp;AG$86</f>
        <v>OfficeWtrHtrSetpt</v>
      </c>
      <c r="AH59" s="114" t="s">
        <v>352</v>
      </c>
    </row>
    <row r="60" spans="1:34" x14ac:dyDescent="0.25">
      <c r="B60" s="114" t="str">
        <f>TRIM(LEFT('Area Category Method'!$A58,IF(ISNUMBER(FIND(" (Note",'Area Category Method'!$A58,1)),FIND(" (Note",'Area Category Method'!$A58,1),99)))</f>
        <v>Waiting Area</v>
      </c>
      <c r="C60" s="114">
        <f>'Area Category Method'!B58</f>
        <v>66.666666666666671</v>
      </c>
      <c r="D60" s="114">
        <f>'Area Category Method'!C58</f>
        <v>0.5</v>
      </c>
      <c r="E60" s="114">
        <f>'Area Category Method'!D58</f>
        <v>250</v>
      </c>
      <c r="F60" s="114">
        <f>'Area Category Method'!E58</f>
        <v>250</v>
      </c>
      <c r="G60" s="114">
        <f>'Area Category Method'!F58</f>
        <v>0.5</v>
      </c>
      <c r="H60" s="114">
        <f>'Area Category Method'!G58</f>
        <v>0.18</v>
      </c>
      <c r="I60" s="114">
        <f>'Area Category Method'!H58</f>
        <v>1.1000000000000001</v>
      </c>
      <c r="J60" s="114">
        <f>'Area Category Method'!I58</f>
        <v>0.15</v>
      </c>
      <c r="K60" s="114">
        <f>'Area Category Method'!J58</f>
        <v>0.5</v>
      </c>
      <c r="L60" s="114">
        <f>'Area Category Method'!K58</f>
        <v>150</v>
      </c>
      <c r="M60" s="114">
        <f>'Area Category Method'!L58</f>
        <v>150</v>
      </c>
      <c r="N60" s="114">
        <f>'Area Category Method'!M58</f>
        <v>0</v>
      </c>
      <c r="O60" s="114">
        <f>'Area Category Method'!N58</f>
        <v>0</v>
      </c>
      <c r="P60" s="114">
        <f>'Area Category Method'!O58</f>
        <v>300</v>
      </c>
      <c r="Q60" s="114">
        <f>'Area Category Method'!P58</f>
        <v>300</v>
      </c>
      <c r="R60" s="114">
        <f>'Area Category Method'!Q58</f>
        <v>1.5</v>
      </c>
      <c r="S60" s="114">
        <f>'Area Category Method'!R58</f>
        <v>2</v>
      </c>
      <c r="T60" s="114" t="str">
        <f>'Area Category Method'!S58</f>
        <v>Office</v>
      </c>
      <c r="U60" s="114" t="str">
        <f>'Area Category Method'!$S58&amp;U$86</f>
        <v>OfficeOccupancy</v>
      </c>
      <c r="V60" s="114" t="str">
        <f>'Area Category Method'!$S58&amp;V$86</f>
        <v>OfficeReceptacle</v>
      </c>
      <c r="W60" s="114" t="str">
        <f>'Area Category Method'!$S58&amp;W$86</f>
        <v>OfficeServiceHotWater</v>
      </c>
      <c r="X60" s="114" t="str">
        <f>'Area Category Method'!$S58&amp;X$86</f>
        <v>OfficeLights</v>
      </c>
      <c r="Y60" s="114" t="str">
        <f>'Area Category Method'!$S58&amp;Y$86</f>
        <v>OfficeGasEquip</v>
      </c>
      <c r="Z60" s="114" t="str">
        <f>'Area Category Method'!$S58&amp;Z$86</f>
        <v>OfficeRefrigeration</v>
      </c>
      <c r="AA60" s="114" t="str">
        <f>'Area Category Method'!$S58&amp;AA$86</f>
        <v>OfficeInfiltration</v>
      </c>
      <c r="AB60" s="114" t="str">
        <f>'Area Category Method'!$S58&amp;AB$86</f>
        <v>OfficeHVACAvail</v>
      </c>
      <c r="AC60" s="114" t="str">
        <f>'Area Category Method'!$S58&amp;AC$86</f>
        <v>OfficeHtgSetpt</v>
      </c>
      <c r="AD60" s="114" t="str">
        <f>'Area Category Method'!$S58&amp;AD$86</f>
        <v>OfficeClgSetpt</v>
      </c>
      <c r="AE60" s="114" t="str">
        <f>'Area Category Method'!$S58&amp;AE$86</f>
        <v>OfficeElevator</v>
      </c>
      <c r="AF60" s="114" t="str">
        <f>'Area Category Method'!$S58&amp;AF$86</f>
        <v>OfficeEscalator</v>
      </c>
      <c r="AG60" s="114" t="str">
        <f>'Area Category Method'!$S58&amp;AG$86</f>
        <v>OfficeWtrHtrSetpt</v>
      </c>
      <c r="AH60" s="114" t="s">
        <v>352</v>
      </c>
    </row>
    <row r="61" spans="1:34" x14ac:dyDescent="0.25">
      <c r="B61" s="114" t="str">
        <f>TRIM(LEFT('Area Category Method'!$A59,IF(ISNUMBER(FIND(" (Note",'Area Category Method'!$A59,1)),FIND(" (Note",'Area Category Method'!$A59,1),99)))</f>
        <v>All Others (including unleased tenant space in multi-tenant facilities)</v>
      </c>
      <c r="C61" s="114">
        <f>'Area Category Method'!B59</f>
        <v>10</v>
      </c>
      <c r="D61" s="114">
        <f>'Area Category Method'!C59</f>
        <v>0.5</v>
      </c>
      <c r="E61" s="114">
        <f>'Area Category Method'!D59</f>
        <v>250</v>
      </c>
      <c r="F61" s="114">
        <f>'Area Category Method'!E59</f>
        <v>200</v>
      </c>
      <c r="G61" s="114">
        <f>'Area Category Method'!F59</f>
        <v>1</v>
      </c>
      <c r="H61" s="114">
        <f>'Area Category Method'!G59</f>
        <v>0.18</v>
      </c>
      <c r="I61" s="114">
        <f>'Area Category Method'!H59</f>
        <v>0.6</v>
      </c>
      <c r="J61" s="114">
        <f>'Area Category Method'!I59</f>
        <v>0.15</v>
      </c>
      <c r="K61" s="114">
        <f>'Area Category Method'!J59</f>
        <v>0.15</v>
      </c>
      <c r="L61" s="114">
        <f>'Area Category Method'!K59</f>
        <v>150</v>
      </c>
      <c r="M61" s="114">
        <f>'Area Category Method'!L59</f>
        <v>150</v>
      </c>
      <c r="N61" s="114">
        <f>'Area Category Method'!M59</f>
        <v>0</v>
      </c>
      <c r="O61" s="114">
        <f>'Area Category Method'!N59</f>
        <v>0</v>
      </c>
      <c r="P61" s="114">
        <f>'Area Category Method'!O59</f>
        <v>100</v>
      </c>
      <c r="Q61" s="114">
        <f>'Area Category Method'!P59</f>
        <v>300</v>
      </c>
      <c r="R61" s="114">
        <f>'Area Category Method'!Q59</f>
        <v>1.5</v>
      </c>
      <c r="S61" s="114">
        <f>'Area Category Method'!R59</f>
        <v>2</v>
      </c>
      <c r="T61" s="114" t="str">
        <f>'Area Category Method'!S59</f>
        <v>Office</v>
      </c>
      <c r="U61" s="114" t="str">
        <f>'Area Category Method'!$S59&amp;U$86</f>
        <v>OfficeOccupancy</v>
      </c>
      <c r="V61" s="114" t="str">
        <f>'Area Category Method'!$S59&amp;V$86</f>
        <v>OfficeReceptacle</v>
      </c>
      <c r="W61" s="114" t="str">
        <f>'Area Category Method'!$S59&amp;W$86</f>
        <v>OfficeServiceHotWater</v>
      </c>
      <c r="X61" s="114" t="str">
        <f>'Area Category Method'!$S59&amp;X$86</f>
        <v>OfficeLights</v>
      </c>
      <c r="Y61" s="114" t="str">
        <f>'Area Category Method'!$S59&amp;Y$86</f>
        <v>OfficeGasEquip</v>
      </c>
      <c r="Z61" s="114" t="str">
        <f>'Area Category Method'!$S59&amp;Z$86</f>
        <v>OfficeRefrigeration</v>
      </c>
      <c r="AA61" s="114" t="str">
        <f>'Area Category Method'!$S59&amp;AA$86</f>
        <v>OfficeInfiltration</v>
      </c>
      <c r="AB61" s="114" t="str">
        <f>'Area Category Method'!$S59&amp;AB$86</f>
        <v>OfficeHVACAvail</v>
      </c>
      <c r="AC61" s="114" t="str">
        <f>'Area Category Method'!$S59&amp;AC$86</f>
        <v>OfficeHtgSetpt</v>
      </c>
      <c r="AD61" s="114" t="str">
        <f>'Area Category Method'!$S59&amp;AD$86</f>
        <v>OfficeClgSetpt</v>
      </c>
      <c r="AE61" s="114" t="str">
        <f>'Area Category Method'!$S59&amp;AE$86</f>
        <v>OfficeElevator</v>
      </c>
      <c r="AF61" s="114" t="str">
        <f>'Area Category Method'!$S59&amp;AF$86</f>
        <v>OfficeEscalator</v>
      </c>
      <c r="AG61" s="114" t="str">
        <f>'Area Category Method'!$S59&amp;AG$86</f>
        <v>OfficeWtrHtrSetpt</v>
      </c>
      <c r="AH61" s="114" t="s">
        <v>352</v>
      </c>
    </row>
    <row r="62" spans="1:34" x14ac:dyDescent="0.25">
      <c r="A62" s="114" t="s">
        <v>369</v>
      </c>
    </row>
    <row r="63" spans="1:34" x14ac:dyDescent="0.25">
      <c r="A63" s="114" t="s">
        <v>370</v>
      </c>
    </row>
    <row r="64" spans="1:34" x14ac:dyDescent="0.25">
      <c r="A64" s="113" t="s">
        <v>371</v>
      </c>
    </row>
    <row r="65" spans="1:33" x14ac:dyDescent="0.25">
      <c r="A65" s="114" t="s">
        <v>372</v>
      </c>
    </row>
    <row r="66" spans="1:33" s="115" customFormat="1" ht="15" customHeight="1" x14ac:dyDescent="0.25">
      <c r="B66" s="115" t="s">
        <v>373</v>
      </c>
      <c r="C66" s="115" t="str">
        <f>C3</f>
        <v>OccDens</v>
      </c>
      <c r="D66" s="115" t="str">
        <f>D3</f>
        <v>OccVentFrac</v>
      </c>
      <c r="E66" s="115" t="str">
        <f t="shared" ref="E66:AG67" si="1">E3</f>
        <v>OccSensHtRt</v>
      </c>
      <c r="F66" s="115" t="str">
        <f t="shared" si="1"/>
        <v>OccLatHtRt</v>
      </c>
      <c r="G66" s="115" t="str">
        <f t="shared" si="1"/>
        <v>RecptPwrDens</v>
      </c>
      <c r="H66" s="115" t="str">
        <f t="shared" si="1"/>
        <v>HotWtrHtgRt</v>
      </c>
      <c r="I66" s="115" t="str">
        <f t="shared" si="1"/>
        <v>IntLPDReg</v>
      </c>
      <c r="J66" s="115" t="str">
        <f t="shared" si="1"/>
        <v>MinVentPerArea</v>
      </c>
      <c r="K66" s="115" t="str">
        <f t="shared" si="1"/>
        <v>MinDsgnVentPerArea</v>
      </c>
      <c r="L66" s="115" t="str">
        <f t="shared" si="1"/>
        <v>ClgUMLHLimit</v>
      </c>
      <c r="M66" s="115" t="str">
        <f t="shared" si="1"/>
        <v>HtgUMLHLimit</v>
      </c>
      <c r="N66" s="115" t="str">
        <f t="shared" si="1"/>
        <v>GasEqpPwrDens</v>
      </c>
      <c r="O66" s="115" t="str">
        <f t="shared" si="1"/>
        <v>CommRfrgEPD</v>
      </c>
      <c r="P66" s="115" t="str">
        <f t="shared" si="1"/>
        <v>IllumSetptMin</v>
      </c>
      <c r="Q66" s="115" t="str">
        <f t="shared" si="1"/>
        <v>IllumSetptMax</v>
      </c>
      <c r="R66" s="115" t="str">
        <f t="shared" si="1"/>
        <v>IllumSetptAdjFacPri</v>
      </c>
      <c r="S66" s="115" t="str">
        <f t="shared" si="1"/>
        <v>IllumSetptAdjFacSec</v>
      </c>
      <c r="T66" s="115" t="str">
        <f t="shared" si="1"/>
        <v>FuncSchGrp</v>
      </c>
      <c r="U66" s="115" t="str">
        <f t="shared" si="1"/>
        <v>OccSchRef</v>
      </c>
      <c r="V66" s="115" t="str">
        <f t="shared" si="1"/>
        <v>RecptSchRef</v>
      </c>
      <c r="W66" s="115" t="str">
        <f t="shared" si="1"/>
        <v>HotWtrHtgSchRef</v>
      </c>
      <c r="X66" s="115" t="str">
        <f t="shared" si="1"/>
        <v>IntLtgRegSchRef</v>
      </c>
      <c r="Y66" s="115" t="str">
        <f t="shared" si="1"/>
        <v>GasEqpSchRef</v>
      </c>
      <c r="Z66" s="115" t="str">
        <f t="shared" si="1"/>
        <v>CommRfrgEqpSchRef</v>
      </c>
      <c r="AA66" s="115" t="str">
        <f t="shared" si="1"/>
        <v>InfSchRef</v>
      </c>
      <c r="AB66" s="115" t="str">
        <f t="shared" si="1"/>
        <v>AvailSchRef</v>
      </c>
      <c r="AC66" s="115" t="str">
        <f t="shared" si="1"/>
        <v>HtgTstatSchRef</v>
      </c>
      <c r="AD66" s="115" t="str">
        <f t="shared" si="1"/>
        <v>ClgTstatSchRef</v>
      </c>
      <c r="AE66" s="115" t="str">
        <f t="shared" si="1"/>
        <v>ElevSchRef</v>
      </c>
      <c r="AF66" s="115" t="str">
        <f t="shared" si="1"/>
        <v>EscalSchRef</v>
      </c>
      <c r="AG66" s="115" t="str">
        <f t="shared" si="1"/>
        <v>WtrHtrTempSetptSchRef</v>
      </c>
    </row>
    <row r="67" spans="1:33" s="118" customFormat="1" ht="15" customHeight="1" x14ac:dyDescent="0.25">
      <c r="B67" s="118" t="s">
        <v>374</v>
      </c>
      <c r="C67" s="118" t="str">
        <f>C4</f>
        <v># per 1000 ft²</v>
      </c>
      <c r="E67" s="118" t="str">
        <f t="shared" si="1"/>
        <v>Btu / occupant</v>
      </c>
      <c r="F67" s="118" t="str">
        <f t="shared" si="1"/>
        <v>Btu / occupant</v>
      </c>
      <c r="G67" s="118" t="str">
        <f t="shared" si="1"/>
        <v>Load W/ft²</v>
      </c>
      <c r="H67" s="118" t="str">
        <f t="shared" si="1"/>
        <v>Gal/h per person</v>
      </c>
      <c r="I67" s="118" t="str">
        <f t="shared" si="1"/>
        <v>W/ft²</v>
      </c>
      <c r="J67" s="118" t="str">
        <f t="shared" si="1"/>
        <v>CFM/ft²</v>
      </c>
      <c r="K67" s="118" t="str">
        <f t="shared" si="1"/>
        <v>CFM/ft²</v>
      </c>
      <c r="L67" s="118" t="str">
        <f t="shared" si="1"/>
        <v>Hrs</v>
      </c>
      <c r="M67" s="118" t="str">
        <f t="shared" si="1"/>
        <v>Hrs</v>
      </c>
      <c r="N67" s="118" t="str">
        <f t="shared" si="1"/>
        <v>Btu/h-ft2</v>
      </c>
      <c r="O67" s="118" t="str">
        <f t="shared" si="1"/>
        <v>W/ft2</v>
      </c>
      <c r="P67" s="118" t="str">
        <f t="shared" si="1"/>
        <v>lux</v>
      </c>
      <c r="Q67" s="118" t="str">
        <f t="shared" si="1"/>
        <v>lux</v>
      </c>
      <c r="T67" s="118">
        <f t="shared" si="1"/>
        <v>0</v>
      </c>
      <c r="U67" s="118" t="str">
        <f t="shared" si="1"/>
        <v>Occupancy Schedule</v>
      </c>
      <c r="V67" s="118" t="str">
        <f t="shared" si="1"/>
        <v>Receptacle Schedule</v>
      </c>
      <c r="W67" s="118" t="str">
        <f t="shared" si="1"/>
        <v>Hot Water Schedule</v>
      </c>
      <c r="X67" s="118" t="str">
        <f t="shared" si="1"/>
        <v>Regulated Lighting Schedule</v>
      </c>
      <c r="Y67" s="118" t="str">
        <f t="shared" si="1"/>
        <v>Gas Equipment Schedule</v>
      </c>
      <c r="Z67" s="118" t="str">
        <f t="shared" si="1"/>
        <v>Refrigeration Schedule</v>
      </c>
      <c r="AA67" s="118" t="str">
        <f t="shared" si="1"/>
        <v>Infiltration Schedule</v>
      </c>
      <c r="AB67" s="118" t="str">
        <f t="shared" si="1"/>
        <v>Availability Sched</v>
      </c>
      <c r="AC67" s="118" t="str">
        <f t="shared" si="1"/>
        <v>Heating Setpoint Schedule (F)</v>
      </c>
      <c r="AD67" s="118" t="str">
        <f t="shared" si="1"/>
        <v>Cooling Setpoint Schedule (F)</v>
      </c>
      <c r="AE67" s="118" t="str">
        <f t="shared" si="1"/>
        <v>Elevator Schedule</v>
      </c>
      <c r="AF67" s="118" t="str">
        <f t="shared" si="1"/>
        <v>Escalator Schedule</v>
      </c>
      <c r="AG67" s="118" t="str">
        <f t="shared" si="1"/>
        <v>Water Heater Temperature Setpoint Schedule</v>
      </c>
    </row>
    <row r="68" spans="1:33" x14ac:dyDescent="0.25">
      <c r="B68" s="114" t="str">
        <f>TRIM(LEFT('Complete Building Method'!$A3,IF(ISNUMBER(FIND(" (Note",'Complete Building Method'!$A3,1)),FIND(" (Note",'Complete Building Method'!$A3,1),99)))</f>
        <v>Auditorium Building</v>
      </c>
      <c r="C68" s="114">
        <f>'Complete Building Method'!B3</f>
        <v>143</v>
      </c>
      <c r="D68" s="114">
        <f>'Complete Building Method'!C3</f>
        <v>1</v>
      </c>
      <c r="E68" s="114">
        <f>'Complete Building Method'!D3</f>
        <v>245</v>
      </c>
      <c r="F68" s="114">
        <f>'Complete Building Method'!E3</f>
        <v>105</v>
      </c>
      <c r="G68" s="114">
        <f>'Complete Building Method'!F3</f>
        <v>1</v>
      </c>
      <c r="H68" s="114">
        <f>'Complete Building Method'!G3</f>
        <v>0.09</v>
      </c>
      <c r="I68" s="114">
        <f>'Complete Building Method'!H3</f>
        <v>1.5</v>
      </c>
      <c r="J68" s="114">
        <f>'Complete Building Method'!I3</f>
        <v>0.15</v>
      </c>
      <c r="K68" s="114">
        <f>'Complete Building Method'!J3</f>
        <v>1.07</v>
      </c>
      <c r="L68" s="114">
        <f>'Complete Building Method'!K3</f>
        <v>150</v>
      </c>
      <c r="M68" s="114">
        <f>'Complete Building Method'!L3</f>
        <v>150</v>
      </c>
      <c r="N68" s="114">
        <f>'Complete Building Method'!M3</f>
        <v>0</v>
      </c>
      <c r="O68" s="114">
        <f>'Complete Building Method'!N3</f>
        <v>0</v>
      </c>
      <c r="P68" s="120" t="s">
        <v>375</v>
      </c>
      <c r="Q68" s="120" t="s">
        <v>375</v>
      </c>
      <c r="R68" s="120" t="s">
        <v>375</v>
      </c>
      <c r="S68" s="120" t="s">
        <v>375</v>
      </c>
      <c r="T68" s="114" t="str">
        <f>'Complete Building Method'!O3</f>
        <v>Assembly</v>
      </c>
      <c r="U68" s="114" t="str">
        <f>'Complete Building Method'!$O3&amp;U$86</f>
        <v>AssemblyOccupancy</v>
      </c>
      <c r="V68" s="114" t="str">
        <f>'Complete Building Method'!$O3&amp;V$86</f>
        <v>AssemblyReceptacle</v>
      </c>
      <c r="W68" s="114" t="str">
        <f>'Complete Building Method'!$O3&amp;W$86</f>
        <v>AssemblyServiceHotWater</v>
      </c>
      <c r="X68" s="114" t="str">
        <f>'Complete Building Method'!$O3&amp;X$86</f>
        <v>AssemblyLights</v>
      </c>
      <c r="Y68" s="114" t="str">
        <f>'Complete Building Method'!$O3&amp;Y$86</f>
        <v>AssemblyGasEquip</v>
      </c>
      <c r="Z68" s="114" t="str">
        <f>'Complete Building Method'!$O3&amp;Z$86</f>
        <v>AssemblyRefrigeration</v>
      </c>
      <c r="AA68" s="114" t="str">
        <f>'Complete Building Method'!$O3&amp;AA$86</f>
        <v>AssemblyInfiltration</v>
      </c>
      <c r="AB68" s="114" t="str">
        <f>'Complete Building Method'!$O3&amp;AB$86</f>
        <v>AssemblyHVACAvail</v>
      </c>
      <c r="AC68" s="114" t="str">
        <f>'Complete Building Method'!$O3&amp;AC$86</f>
        <v>AssemblyHtgSetpt</v>
      </c>
      <c r="AD68" s="114" t="str">
        <f>'Complete Building Method'!$O3&amp;AD$86</f>
        <v>AssemblyClgSetpt</v>
      </c>
      <c r="AE68" s="114" t="str">
        <f>'Complete Building Method'!$O3&amp;AE$86</f>
        <v>AssemblyElevator</v>
      </c>
      <c r="AF68" s="114" t="str">
        <f>'Complete Building Method'!$O3&amp;AF$86</f>
        <v>AssemblyEscalator</v>
      </c>
      <c r="AG68" s="114" t="str">
        <f>'Complete Building Method'!$O3&amp;AG$86</f>
        <v>AssemblyWtrHtrSetpt</v>
      </c>
    </row>
    <row r="69" spans="1:33" x14ac:dyDescent="0.25">
      <c r="B69" s="114" t="str">
        <f>TRIM(LEFT('Complete Building Method'!$A4,IF(ISNUMBER(FIND(" (Note",'Complete Building Method'!$A4,1)),FIND(" (Note",'Complete Building Method'!$A4,1),99)))</f>
        <v>Classroom Building</v>
      </c>
      <c r="C69" s="114">
        <f>'Complete Building Method'!B4</f>
        <v>40</v>
      </c>
      <c r="D69" s="114">
        <f>'Complete Building Method'!C4</f>
        <v>0.5</v>
      </c>
      <c r="E69" s="114">
        <f>'Complete Building Method'!D4</f>
        <v>246</v>
      </c>
      <c r="F69" s="114">
        <f>'Complete Building Method'!E4</f>
        <v>171</v>
      </c>
      <c r="G69" s="114">
        <f>'Complete Building Method'!F4</f>
        <v>1</v>
      </c>
      <c r="H69" s="114">
        <f>'Complete Building Method'!G4</f>
        <v>0.16200000000000001</v>
      </c>
      <c r="I69" s="114">
        <f>'Complete Building Method'!H4</f>
        <v>1.1000000000000001</v>
      </c>
      <c r="J69" s="114">
        <f>'Complete Building Method'!I4</f>
        <v>0.15</v>
      </c>
      <c r="K69" s="114">
        <f>'Complete Building Method'!J4</f>
        <v>0.32</v>
      </c>
      <c r="L69" s="114">
        <f>'Complete Building Method'!K4</f>
        <v>150</v>
      </c>
      <c r="M69" s="114">
        <f>'Complete Building Method'!L4</f>
        <v>150</v>
      </c>
      <c r="N69" s="114">
        <f>'Complete Building Method'!M4</f>
        <v>0</v>
      </c>
      <c r="O69" s="114">
        <f>'Complete Building Method'!N4</f>
        <v>0</v>
      </c>
      <c r="P69" s="120" t="s">
        <v>375</v>
      </c>
      <c r="Q69" s="120" t="s">
        <v>375</v>
      </c>
      <c r="R69" s="120" t="s">
        <v>375</v>
      </c>
      <c r="S69" s="120" t="s">
        <v>375</v>
      </c>
      <c r="T69" s="114" t="str">
        <f>'Complete Building Method'!O4</f>
        <v>School</v>
      </c>
      <c r="U69" s="114" t="str">
        <f>'Complete Building Method'!$O4&amp;U$86</f>
        <v>SchoolOccupancy</v>
      </c>
      <c r="V69" s="114" t="str">
        <f>'Complete Building Method'!$O4&amp;V$86</f>
        <v>SchoolReceptacle</v>
      </c>
      <c r="W69" s="114" t="str">
        <f>'Complete Building Method'!$O4&amp;W$86</f>
        <v>SchoolServiceHotWater</v>
      </c>
      <c r="X69" s="114" t="str">
        <f>'Complete Building Method'!$O4&amp;X$86</f>
        <v>SchoolLights</v>
      </c>
      <c r="Y69" s="114" t="str">
        <f>'Complete Building Method'!$O4&amp;Y$86</f>
        <v>SchoolGasEquip</v>
      </c>
      <c r="Z69" s="114" t="str">
        <f>'Complete Building Method'!$O4&amp;Z$86</f>
        <v>SchoolRefrigeration</v>
      </c>
      <c r="AA69" s="114" t="str">
        <f>'Complete Building Method'!$O4&amp;AA$86</f>
        <v>SchoolInfiltration</v>
      </c>
      <c r="AB69" s="114" t="str">
        <f>'Complete Building Method'!$O4&amp;AB$86</f>
        <v>SchoolHVACAvail</v>
      </c>
      <c r="AC69" s="114" t="str">
        <f>'Complete Building Method'!$O4&amp;AC$86</f>
        <v>SchoolHtgSetpt</v>
      </c>
      <c r="AD69" s="114" t="str">
        <f>'Complete Building Method'!$O4&amp;AD$86</f>
        <v>SchoolClgSetpt</v>
      </c>
      <c r="AE69" s="114" t="str">
        <f>'Complete Building Method'!$O4&amp;AE$86</f>
        <v>SchoolElevator</v>
      </c>
      <c r="AF69" s="114" t="str">
        <f>'Complete Building Method'!$O4&amp;AF$86</f>
        <v>SchoolEscalator</v>
      </c>
      <c r="AG69" s="114" t="str">
        <f>'Complete Building Method'!$O4&amp;AG$86</f>
        <v>SchoolWtrHtrSetpt</v>
      </c>
    </row>
    <row r="70" spans="1:33" x14ac:dyDescent="0.25">
      <c r="B70" s="114" t="str">
        <f>TRIM(LEFT('Complete Building Method'!$A5,IF(ISNUMBER(FIND(" (Note",'Complete Building Method'!$A5,1)),FIND(" (Note",'Complete Building Method'!$A5,1),99)))</f>
        <v>Commercial and Industrial Storage Building</v>
      </c>
      <c r="C70" s="114">
        <f>'Complete Building Method'!B5</f>
        <v>5</v>
      </c>
      <c r="D70" s="114">
        <f>'Complete Building Method'!C5</f>
        <v>0.5</v>
      </c>
      <c r="E70" s="114">
        <f>'Complete Building Method'!D5</f>
        <v>268</v>
      </c>
      <c r="F70" s="114">
        <f>'Complete Building Method'!E5</f>
        <v>403</v>
      </c>
      <c r="G70" s="114">
        <f>'Complete Building Method'!F5</f>
        <v>0.43</v>
      </c>
      <c r="H70" s="114">
        <f>'Complete Building Method'!G5</f>
        <v>0.16200000000000001</v>
      </c>
      <c r="I70" s="114">
        <f>'Complete Building Method'!H5</f>
        <v>0.6</v>
      </c>
      <c r="J70" s="114">
        <f>'Complete Building Method'!I5</f>
        <v>0.15</v>
      </c>
      <c r="K70" s="114">
        <f>'Complete Building Method'!J5</f>
        <v>0.15</v>
      </c>
      <c r="L70" s="114">
        <f>'Complete Building Method'!K5</f>
        <v>150</v>
      </c>
      <c r="M70" s="114">
        <f>'Complete Building Method'!L5</f>
        <v>150</v>
      </c>
      <c r="N70" s="114">
        <f>'Complete Building Method'!M5</f>
        <v>0</v>
      </c>
      <c r="O70" s="114">
        <f>'Complete Building Method'!N5</f>
        <v>0.28000000000000003</v>
      </c>
      <c r="P70" s="120" t="s">
        <v>375</v>
      </c>
      <c r="Q70" s="120" t="s">
        <v>375</v>
      </c>
      <c r="R70" s="120" t="s">
        <v>375</v>
      </c>
      <c r="S70" s="120" t="s">
        <v>375</v>
      </c>
      <c r="T70" s="114" t="str">
        <f>'Complete Building Method'!O5</f>
        <v>Warehouse</v>
      </c>
      <c r="U70" s="114" t="str">
        <f>'Complete Building Method'!$O5&amp;U$86</f>
        <v>WarehouseOccupancy</v>
      </c>
      <c r="V70" s="114" t="str">
        <f>'Complete Building Method'!$O5&amp;V$86</f>
        <v>WarehouseReceptacle</v>
      </c>
      <c r="W70" s="114" t="str">
        <f>'Complete Building Method'!$O5&amp;W$86</f>
        <v>WarehouseServiceHotWater</v>
      </c>
      <c r="X70" s="114" t="str">
        <f>'Complete Building Method'!$O5&amp;X$86</f>
        <v>WarehouseLights</v>
      </c>
      <c r="Y70" s="114" t="str">
        <f>'Complete Building Method'!$O5&amp;Y$86</f>
        <v>WarehouseGasEquip</v>
      </c>
      <c r="Z70" s="114" t="str">
        <f>'Complete Building Method'!$O5&amp;Z$86</f>
        <v>WarehouseRefrigeration</v>
      </c>
      <c r="AA70" s="114" t="str">
        <f>'Complete Building Method'!$O5&amp;AA$86</f>
        <v>WarehouseInfiltration</v>
      </c>
      <c r="AB70" s="114" t="str">
        <f>'Complete Building Method'!$O5&amp;AB$86</f>
        <v>WarehouseHVACAvail</v>
      </c>
      <c r="AC70" s="114" t="str">
        <f>'Complete Building Method'!$O5&amp;AC$86</f>
        <v>WarehouseHtgSetpt</v>
      </c>
      <c r="AD70" s="114" t="str">
        <f>'Complete Building Method'!$O5&amp;AD$86</f>
        <v>WarehouseClgSetpt</v>
      </c>
      <c r="AE70" s="114" t="str">
        <f>'Complete Building Method'!$O5&amp;AE$86</f>
        <v>WarehouseElevator</v>
      </c>
      <c r="AF70" s="114" t="str">
        <f>'Complete Building Method'!$O5&amp;AF$86</f>
        <v>WarehouseEscalator</v>
      </c>
      <c r="AG70" s="114" t="str">
        <f>'Complete Building Method'!$O5&amp;AG$86</f>
        <v>WarehouseWtrHtrSetpt</v>
      </c>
    </row>
    <row r="71" spans="1:33" x14ac:dyDescent="0.25">
      <c r="B71" s="114" t="str">
        <f>TRIM(LEFT('Complete Building Method'!$A6,IF(ISNUMBER(FIND(" (Note",'Complete Building Method'!$A6,1)),FIND(" (Note",'Complete Building Method'!$A6,1),99)))</f>
        <v>Convention Center Building</v>
      </c>
      <c r="C71" s="114">
        <f>'Complete Building Method'!B6</f>
        <v>136</v>
      </c>
      <c r="D71" s="114">
        <f>'Complete Building Method'!C6</f>
        <v>0.5</v>
      </c>
      <c r="E71" s="114">
        <f>'Complete Building Method'!D6</f>
        <v>245</v>
      </c>
      <c r="F71" s="114">
        <f>'Complete Building Method'!E6</f>
        <v>112</v>
      </c>
      <c r="G71" s="114">
        <f>'Complete Building Method'!F6</f>
        <v>0.96</v>
      </c>
      <c r="H71" s="114">
        <f>'Complete Building Method'!G6</f>
        <v>8.5999999999999993E-2</v>
      </c>
      <c r="I71" s="114">
        <f>'Complete Building Method'!H6</f>
        <v>1.2</v>
      </c>
      <c r="J71" s="114">
        <f>'Complete Building Method'!I6</f>
        <v>0.15</v>
      </c>
      <c r="K71" s="114">
        <f>'Complete Building Method'!J6</f>
        <v>1.02</v>
      </c>
      <c r="L71" s="114">
        <f>'Complete Building Method'!K6</f>
        <v>150</v>
      </c>
      <c r="M71" s="114">
        <f>'Complete Building Method'!L6</f>
        <v>150</v>
      </c>
      <c r="N71" s="114">
        <f>'Complete Building Method'!M6</f>
        <v>0.04</v>
      </c>
      <c r="O71" s="114">
        <f>'Complete Building Method'!N6</f>
        <v>0.03</v>
      </c>
      <c r="P71" s="120" t="s">
        <v>375</v>
      </c>
      <c r="Q71" s="120" t="s">
        <v>375</v>
      </c>
      <c r="R71" s="120" t="s">
        <v>375</v>
      </c>
      <c r="S71" s="120" t="s">
        <v>375</v>
      </c>
      <c r="T71" s="114" t="str">
        <f>'Complete Building Method'!O6</f>
        <v>Assembly</v>
      </c>
      <c r="U71" s="114" t="str">
        <f>'Complete Building Method'!$O6&amp;U$86</f>
        <v>AssemblyOccupancy</v>
      </c>
      <c r="V71" s="114" t="str">
        <f>'Complete Building Method'!$O6&amp;V$86</f>
        <v>AssemblyReceptacle</v>
      </c>
      <c r="W71" s="114" t="str">
        <f>'Complete Building Method'!$O6&amp;W$86</f>
        <v>AssemblyServiceHotWater</v>
      </c>
      <c r="X71" s="114" t="str">
        <f>'Complete Building Method'!$O6&amp;X$86</f>
        <v>AssemblyLights</v>
      </c>
      <c r="Y71" s="114" t="str">
        <f>'Complete Building Method'!$O6&amp;Y$86</f>
        <v>AssemblyGasEquip</v>
      </c>
      <c r="Z71" s="114" t="str">
        <f>'Complete Building Method'!$O6&amp;Z$86</f>
        <v>AssemblyRefrigeration</v>
      </c>
      <c r="AA71" s="114" t="str">
        <f>'Complete Building Method'!$O6&amp;AA$86</f>
        <v>AssemblyInfiltration</v>
      </c>
      <c r="AB71" s="114" t="str">
        <f>'Complete Building Method'!$O6&amp;AB$86</f>
        <v>AssemblyHVACAvail</v>
      </c>
      <c r="AC71" s="114" t="str">
        <f>'Complete Building Method'!$O6&amp;AC$86</f>
        <v>AssemblyHtgSetpt</v>
      </c>
      <c r="AD71" s="114" t="str">
        <f>'Complete Building Method'!$O6&amp;AD$86</f>
        <v>AssemblyClgSetpt</v>
      </c>
      <c r="AE71" s="114" t="str">
        <f>'Complete Building Method'!$O6&amp;AE$86</f>
        <v>AssemblyElevator</v>
      </c>
      <c r="AF71" s="114" t="str">
        <f>'Complete Building Method'!$O6&amp;AF$86</f>
        <v>AssemblyEscalator</v>
      </c>
      <c r="AG71" s="114" t="str">
        <f>'Complete Building Method'!$O6&amp;AG$86</f>
        <v>AssemblyWtrHtrSetpt</v>
      </c>
    </row>
    <row r="72" spans="1:33" x14ac:dyDescent="0.25">
      <c r="B72" s="114" t="str">
        <f>TRIM(LEFT('Complete Building Method'!$A7,IF(ISNUMBER(FIND(" (Note",'Complete Building Method'!$A7,1)),FIND(" (Note",'Complete Building Method'!$A7,1),99)))</f>
        <v>Data Center Buildings</v>
      </c>
      <c r="C72" s="114">
        <f>'Complete Building Method'!B7</f>
        <v>5</v>
      </c>
      <c r="D72" s="114">
        <f>'Complete Building Method'!C7</f>
        <v>0.5</v>
      </c>
      <c r="E72" s="114">
        <f>'Complete Building Method'!D7</f>
        <v>268</v>
      </c>
      <c r="F72" s="114">
        <f>'Complete Building Method'!E7</f>
        <v>403</v>
      </c>
      <c r="G72" s="114">
        <v>20</v>
      </c>
      <c r="H72" s="114">
        <f>'Complete Building Method'!G7</f>
        <v>0.16200000000000001</v>
      </c>
      <c r="I72" s="114">
        <f>'Complete Building Method'!H7</f>
        <v>0.8</v>
      </c>
      <c r="J72" s="114">
        <f>'Complete Building Method'!I7</f>
        <v>0.15</v>
      </c>
      <c r="K72" s="114">
        <f>'Complete Building Method'!J7</f>
        <v>0.15</v>
      </c>
      <c r="L72" s="114">
        <f>'Complete Building Method'!K7</f>
        <v>150</v>
      </c>
      <c r="M72" s="114">
        <f>'Complete Building Method'!L7</f>
        <v>150</v>
      </c>
      <c r="N72" s="114">
        <f>'Complete Building Method'!M7</f>
        <v>0</v>
      </c>
      <c r="O72" s="114">
        <f>'Complete Building Method'!N7</f>
        <v>0</v>
      </c>
      <c r="P72" s="120" t="s">
        <v>375</v>
      </c>
      <c r="Q72" s="120" t="s">
        <v>375</v>
      </c>
      <c r="R72" s="120" t="s">
        <v>375</v>
      </c>
      <c r="S72" s="120" t="s">
        <v>375</v>
      </c>
      <c r="T72" s="114" t="str">
        <f>'Complete Building Method'!O7</f>
        <v>Data</v>
      </c>
      <c r="U72" s="114" t="str">
        <f>'Complete Building Method'!$O7&amp;U$86</f>
        <v>DataOccupancy</v>
      </c>
      <c r="V72" s="114" t="str">
        <f>'Complete Building Method'!$O7&amp;V$86</f>
        <v>DataReceptacle</v>
      </c>
      <c r="W72" s="114" t="str">
        <f>'Complete Building Method'!$O7&amp;W$86</f>
        <v>DataServiceHotWater</v>
      </c>
      <c r="X72" s="114" t="str">
        <f>'Complete Building Method'!$O7&amp;X$86</f>
        <v>DataLights</v>
      </c>
      <c r="Y72" s="114" t="str">
        <f>'Complete Building Method'!$O7&amp;Y$86</f>
        <v>DataGasEquip</v>
      </c>
      <c r="Z72" s="114" t="str">
        <f>'Complete Building Method'!$O7&amp;Z$86</f>
        <v>DataRefrigeration</v>
      </c>
      <c r="AA72" s="114" t="str">
        <f>'Complete Building Method'!$O7&amp;AA$86</f>
        <v>DataInfiltration</v>
      </c>
      <c r="AB72" s="114" t="str">
        <f>'Complete Building Method'!$O7&amp;AB$86</f>
        <v>DataHVACAvail</v>
      </c>
      <c r="AC72" s="114" t="str">
        <f>'Complete Building Method'!$O7&amp;AC$86</f>
        <v>DataHtgSetpt</v>
      </c>
      <c r="AD72" s="114" t="str">
        <f>'Complete Building Method'!$O7&amp;AD$86</f>
        <v>DataClgSetpt</v>
      </c>
      <c r="AE72" s="114" t="str">
        <f>'Complete Building Method'!$O7&amp;AE$86</f>
        <v>DataElevator</v>
      </c>
      <c r="AF72" s="114" t="str">
        <f>'Complete Building Method'!$O7&amp;AF$86</f>
        <v>DataEscalator</v>
      </c>
      <c r="AG72" s="114" t="str">
        <f>'Complete Building Method'!$O7&amp;AG$86</f>
        <v>DataWtrHtrSetpt</v>
      </c>
    </row>
    <row r="73" spans="1:33" x14ac:dyDescent="0.25">
      <c r="B73" s="114" t="str">
        <f>TRIM(LEFT('Complete Building Method'!$A8,IF(ISNUMBER(FIND(" (Note",'Complete Building Method'!$A8,1)),FIND(" (Note",'Complete Building Method'!$A8,1),99)))</f>
        <v>Financial Institution Building</v>
      </c>
      <c r="C73" s="114">
        <f>'Complete Building Method'!B8</f>
        <v>10</v>
      </c>
      <c r="D73" s="114">
        <f>'Complete Building Method'!C8</f>
        <v>0.5</v>
      </c>
      <c r="E73" s="114">
        <f>'Complete Building Method'!D8</f>
        <v>250</v>
      </c>
      <c r="F73" s="114">
        <f>'Complete Building Method'!E8</f>
        <v>250</v>
      </c>
      <c r="G73" s="114">
        <f>'Complete Building Method'!F8</f>
        <v>1.5</v>
      </c>
      <c r="H73" s="114">
        <f>'Complete Building Method'!G8</f>
        <v>0.18</v>
      </c>
      <c r="I73" s="114">
        <f>'Complete Building Method'!H8</f>
        <v>1.1000000000000001</v>
      </c>
      <c r="J73" s="114">
        <f>'Complete Building Method'!I8</f>
        <v>0.15</v>
      </c>
      <c r="K73" s="114">
        <f>'Complete Building Method'!J8</f>
        <v>0.15</v>
      </c>
      <c r="L73" s="114">
        <f>'Complete Building Method'!K8</f>
        <v>150</v>
      </c>
      <c r="M73" s="114">
        <f>'Complete Building Method'!L8</f>
        <v>150</v>
      </c>
      <c r="N73" s="114">
        <f>'Complete Building Method'!M8</f>
        <v>0</v>
      </c>
      <c r="O73" s="114">
        <f>'Complete Building Method'!N8</f>
        <v>0</v>
      </c>
      <c r="P73" s="120" t="s">
        <v>375</v>
      </c>
      <c r="Q73" s="120" t="s">
        <v>375</v>
      </c>
      <c r="R73" s="120" t="s">
        <v>375</v>
      </c>
      <c r="S73" s="120" t="s">
        <v>375</v>
      </c>
      <c r="T73" s="114" t="str">
        <f>'Complete Building Method'!O8</f>
        <v>Office</v>
      </c>
      <c r="U73" s="114" t="str">
        <f>'Complete Building Method'!$O8&amp;U$86</f>
        <v>OfficeOccupancy</v>
      </c>
      <c r="V73" s="114" t="str">
        <f>'Complete Building Method'!$O8&amp;V$86</f>
        <v>OfficeReceptacle</v>
      </c>
      <c r="W73" s="114" t="str">
        <f>'Complete Building Method'!$O8&amp;W$86</f>
        <v>OfficeServiceHotWater</v>
      </c>
      <c r="X73" s="114" t="str">
        <f>'Complete Building Method'!$O8&amp;X$86</f>
        <v>OfficeLights</v>
      </c>
      <c r="Y73" s="114" t="str">
        <f>'Complete Building Method'!$O8&amp;Y$86</f>
        <v>OfficeGasEquip</v>
      </c>
      <c r="Z73" s="114" t="str">
        <f>'Complete Building Method'!$O8&amp;Z$86</f>
        <v>OfficeRefrigeration</v>
      </c>
      <c r="AA73" s="114" t="str">
        <f>'Complete Building Method'!$O8&amp;AA$86</f>
        <v>OfficeInfiltration</v>
      </c>
      <c r="AB73" s="114" t="str">
        <f>'Complete Building Method'!$O8&amp;AB$86</f>
        <v>OfficeHVACAvail</v>
      </c>
      <c r="AC73" s="114" t="str">
        <f>'Complete Building Method'!$O8&amp;AC$86</f>
        <v>OfficeHtgSetpt</v>
      </c>
      <c r="AD73" s="114" t="str">
        <f>'Complete Building Method'!$O8&amp;AD$86</f>
        <v>OfficeClgSetpt</v>
      </c>
      <c r="AE73" s="114" t="str">
        <f>'Complete Building Method'!$O8&amp;AE$86</f>
        <v>OfficeElevator</v>
      </c>
      <c r="AF73" s="114" t="str">
        <f>'Complete Building Method'!$O8&amp;AF$86</f>
        <v>OfficeEscalator</v>
      </c>
      <c r="AG73" s="114" t="str">
        <f>'Complete Building Method'!$O8&amp;AG$86</f>
        <v>OfficeWtrHtrSetpt</v>
      </c>
    </row>
    <row r="74" spans="1:33" x14ac:dyDescent="0.25">
      <c r="B74" s="114" t="str">
        <f>TRIM(LEFT('Complete Building Method'!$A9,IF(ISNUMBER(FIND(" (Note",'Complete Building Method'!$A9,1)),FIND(" (Note",'Complete Building Method'!$A9,1),99)))</f>
        <v>General Commercia' or Industrial Work Building</v>
      </c>
      <c r="C74" s="114">
        <f>'Complete Building Method'!B9</f>
        <v>7</v>
      </c>
      <c r="D74" s="114">
        <f>'Complete Building Method'!C9</f>
        <v>0.5</v>
      </c>
      <c r="E74" s="114">
        <f>'Complete Building Method'!D9</f>
        <v>375</v>
      </c>
      <c r="F74" s="114">
        <f>'Complete Building Method'!E9</f>
        <v>625</v>
      </c>
      <c r="G74" s="114">
        <f>'Complete Building Method'!F9</f>
        <v>1</v>
      </c>
      <c r="H74" s="114">
        <f>'Complete Building Method'!G9</f>
        <v>0.18</v>
      </c>
      <c r="I74" s="114">
        <f>'Complete Building Method'!H9</f>
        <v>1</v>
      </c>
      <c r="J74" s="114">
        <f>'Complete Building Method'!I9</f>
        <v>0.15</v>
      </c>
      <c r="K74" s="114">
        <f>'Complete Building Method'!J9</f>
        <v>0.15</v>
      </c>
      <c r="L74" s="114">
        <f>'Complete Building Method'!K9</f>
        <v>150</v>
      </c>
      <c r="M74" s="114">
        <f>'Complete Building Method'!L9</f>
        <v>150</v>
      </c>
      <c r="N74" s="114">
        <f>'Complete Building Method'!M9</f>
        <v>0</v>
      </c>
      <c r="O74" s="114">
        <f>'Complete Building Method'!N9</f>
        <v>0.28000000000000003</v>
      </c>
      <c r="P74" s="120" t="s">
        <v>375</v>
      </c>
      <c r="Q74" s="120" t="s">
        <v>375</v>
      </c>
      <c r="R74" s="120" t="s">
        <v>375</v>
      </c>
      <c r="S74" s="120" t="s">
        <v>375</v>
      </c>
      <c r="T74" s="114" t="str">
        <f>'Complete Building Method'!O9</f>
        <v>Manufacturing</v>
      </c>
      <c r="U74" s="114" t="str">
        <f>'Complete Building Method'!$O9&amp;U$86</f>
        <v>ManufacturingOccupancy</v>
      </c>
      <c r="V74" s="114" t="str">
        <f>'Complete Building Method'!$O9&amp;V$86</f>
        <v>ManufacturingReceptacle</v>
      </c>
      <c r="W74" s="114" t="str">
        <f>'Complete Building Method'!$O9&amp;W$86</f>
        <v>ManufacturingServiceHotWater</v>
      </c>
      <c r="X74" s="114" t="str">
        <f>'Complete Building Method'!$O9&amp;X$86</f>
        <v>ManufacturingLights</v>
      </c>
      <c r="Y74" s="114" t="str">
        <f>'Complete Building Method'!$O9&amp;Y$86</f>
        <v>ManufacturingGasEquip</v>
      </c>
      <c r="Z74" s="114" t="str">
        <f>'Complete Building Method'!$O9&amp;Z$86</f>
        <v>ManufacturingRefrigeration</v>
      </c>
      <c r="AA74" s="114" t="str">
        <f>'Complete Building Method'!$O9&amp;AA$86</f>
        <v>ManufacturingInfiltration</v>
      </c>
      <c r="AB74" s="114" t="str">
        <f>'Complete Building Method'!$O9&amp;AB$86</f>
        <v>ManufacturingHVACAvail</v>
      </c>
      <c r="AC74" s="114" t="str">
        <f>'Complete Building Method'!$O9&amp;AC$86</f>
        <v>ManufacturingHtgSetpt</v>
      </c>
      <c r="AD74" s="114" t="str">
        <f>'Complete Building Method'!$O9&amp;AD$86</f>
        <v>ManufacturingClgSetpt</v>
      </c>
      <c r="AE74" s="114" t="str">
        <f>'Complete Building Method'!$O9&amp;AE$86</f>
        <v>ManufacturingElevator</v>
      </c>
      <c r="AF74" s="114" t="str">
        <f>'Complete Building Method'!$O9&amp;AF$86</f>
        <v>ManufacturingEscalator</v>
      </c>
      <c r="AG74" s="114" t="str">
        <f>'Complete Building Method'!$O9&amp;AG$86</f>
        <v>ManufacturingWtrHtrSetpt</v>
      </c>
    </row>
    <row r="75" spans="1:33" x14ac:dyDescent="0.25">
      <c r="B75" s="114" t="str">
        <f>TRIM(LEFT('Complete Building Method'!$A10,IF(ISNUMBER(FIND(" (Note",'Complete Building Method'!$A10,1)),FIND(" (Note",'Complete Building Method'!$A10,1),99)))</f>
        <v>Grocery Store Buildings</v>
      </c>
      <c r="C75" s="114">
        <f>'Complete Building Method'!B10</f>
        <v>29</v>
      </c>
      <c r="D75" s="114">
        <f>'Complete Building Method'!C10</f>
        <v>0.5</v>
      </c>
      <c r="E75" s="114">
        <f>'Complete Building Method'!D10</f>
        <v>252</v>
      </c>
      <c r="F75" s="114">
        <f>'Complete Building Method'!E10</f>
        <v>225</v>
      </c>
      <c r="G75" s="114">
        <f>'Complete Building Method'!F10</f>
        <v>0.91</v>
      </c>
      <c r="H75" s="114">
        <f>'Complete Building Method'!G10</f>
        <v>0.17</v>
      </c>
      <c r="I75" s="114">
        <f>'Complete Building Method'!H10</f>
        <v>1.5</v>
      </c>
      <c r="J75" s="114">
        <f>'Complete Building Method'!I10</f>
        <v>0.15</v>
      </c>
      <c r="K75" s="114">
        <f>'Complete Building Method'!J10</f>
        <v>0.22</v>
      </c>
      <c r="L75" s="114">
        <f>'Complete Building Method'!K10</f>
        <v>150</v>
      </c>
      <c r="M75" s="114">
        <f>'Complete Building Method'!L10</f>
        <v>150</v>
      </c>
      <c r="N75" s="114">
        <f>'Complete Building Method'!M10</f>
        <v>0.03</v>
      </c>
      <c r="O75" s="114">
        <v>1.8</v>
      </c>
      <c r="P75" s="120" t="s">
        <v>375</v>
      </c>
      <c r="Q75" s="120" t="s">
        <v>375</v>
      </c>
      <c r="R75" s="120" t="s">
        <v>375</v>
      </c>
      <c r="S75" s="120" t="s">
        <v>375</v>
      </c>
      <c r="T75" s="114" t="str">
        <f>'Complete Building Method'!O10</f>
        <v>Retail</v>
      </c>
      <c r="U75" s="114" t="str">
        <f>'Complete Building Method'!$O10&amp;U$86</f>
        <v>RetailOccupancy</v>
      </c>
      <c r="V75" s="114" t="str">
        <f>'Complete Building Method'!$O10&amp;V$86</f>
        <v>RetailReceptacle</v>
      </c>
      <c r="W75" s="114" t="str">
        <f>'Complete Building Method'!$O10&amp;W$86</f>
        <v>RetailServiceHotWater</v>
      </c>
      <c r="X75" s="114" t="str">
        <f>'Complete Building Method'!$O10&amp;X$86</f>
        <v>RetailLights</v>
      </c>
      <c r="Y75" s="114" t="str">
        <f>'Complete Building Method'!$O10&amp;Y$86</f>
        <v>RetailGasEquip</v>
      </c>
      <c r="Z75" s="114" t="str">
        <f>'Complete Building Method'!$O10&amp;Z$86</f>
        <v>RetailRefrigeration</v>
      </c>
      <c r="AA75" s="114" t="str">
        <f>'Complete Building Method'!$O10&amp;AA$86</f>
        <v>RetailInfiltration</v>
      </c>
      <c r="AB75" s="114" t="str">
        <f>'Complete Building Method'!$O10&amp;AB$86</f>
        <v>RetailHVACAvail</v>
      </c>
      <c r="AC75" s="114" t="str">
        <f>'Complete Building Method'!$O10&amp;AC$86</f>
        <v>RetailHtgSetpt</v>
      </c>
      <c r="AD75" s="114" t="str">
        <f>'Complete Building Method'!$O10&amp;AD$86</f>
        <v>RetailClgSetpt</v>
      </c>
      <c r="AE75" s="114" t="str">
        <f>'Complete Building Method'!$O10&amp;AE$86</f>
        <v>RetailElevator</v>
      </c>
      <c r="AF75" s="114" t="str">
        <f>'Complete Building Method'!$O10&amp;AF$86</f>
        <v>RetailEscalator</v>
      </c>
      <c r="AG75" s="114" t="str">
        <f>'Complete Building Method'!$O10&amp;AG$86</f>
        <v>RetailWtrHtrSetpt</v>
      </c>
    </row>
    <row r="76" spans="1:33" x14ac:dyDescent="0.25">
      <c r="B76" s="114" t="str">
        <f>TRIM(LEFT('Complete Building Method'!$A11,IF(ISNUMBER(FIND(" (Note",'Complete Building Method'!$A11,1)),FIND(" (Note",'Complete Building Method'!$A11,1),99)))</f>
        <v>Library Building</v>
      </c>
      <c r="C76" s="114">
        <f>'Complete Building Method'!B11</f>
        <v>10</v>
      </c>
      <c r="D76" s="114">
        <f>'Complete Building Method'!C11</f>
        <v>0.5</v>
      </c>
      <c r="E76" s="114">
        <f>'Complete Building Method'!D11</f>
        <v>250</v>
      </c>
      <c r="F76" s="114">
        <f>'Complete Building Method'!E11</f>
        <v>250</v>
      </c>
      <c r="G76" s="114">
        <f>'Complete Building Method'!F11</f>
        <v>1.5</v>
      </c>
      <c r="H76" s="114">
        <f>'Complete Building Method'!G11</f>
        <v>0.18</v>
      </c>
      <c r="I76" s="114">
        <f>'Complete Building Method'!H11</f>
        <v>1.3</v>
      </c>
      <c r="J76" s="114">
        <f>'Complete Building Method'!I11</f>
        <v>0.15</v>
      </c>
      <c r="K76" s="114">
        <f>'Complete Building Method'!J11</f>
        <v>0.15</v>
      </c>
      <c r="L76" s="114">
        <f>'Complete Building Method'!K11</f>
        <v>150</v>
      </c>
      <c r="M76" s="114">
        <f>'Complete Building Method'!L11</f>
        <v>150</v>
      </c>
      <c r="N76" s="114">
        <f>'Complete Building Method'!M11</f>
        <v>0</v>
      </c>
      <c r="O76" s="114">
        <f>'Complete Building Method'!N11</f>
        <v>0</v>
      </c>
      <c r="P76" s="120" t="s">
        <v>375</v>
      </c>
      <c r="Q76" s="120" t="s">
        <v>375</v>
      </c>
      <c r="R76" s="120" t="s">
        <v>375</v>
      </c>
      <c r="S76" s="120" t="s">
        <v>375</v>
      </c>
      <c r="T76" s="114" t="str">
        <f>'Complete Building Method'!O11</f>
        <v>Office</v>
      </c>
      <c r="U76" s="114" t="str">
        <f>'Complete Building Method'!$O11&amp;U$86</f>
        <v>OfficeOccupancy</v>
      </c>
      <c r="V76" s="114" t="str">
        <f>'Complete Building Method'!$O11&amp;V$86</f>
        <v>OfficeReceptacle</v>
      </c>
      <c r="W76" s="114" t="str">
        <f>'Complete Building Method'!$O11&amp;W$86</f>
        <v>OfficeServiceHotWater</v>
      </c>
      <c r="X76" s="114" t="str">
        <f>'Complete Building Method'!$O11&amp;X$86</f>
        <v>OfficeLights</v>
      </c>
      <c r="Y76" s="114" t="str">
        <f>'Complete Building Method'!$O11&amp;Y$86</f>
        <v>OfficeGasEquip</v>
      </c>
      <c r="Z76" s="114" t="str">
        <f>'Complete Building Method'!$O11&amp;Z$86</f>
        <v>OfficeRefrigeration</v>
      </c>
      <c r="AA76" s="114" t="str">
        <f>'Complete Building Method'!$O11&amp;AA$86</f>
        <v>OfficeInfiltration</v>
      </c>
      <c r="AB76" s="114" t="str">
        <f>'Complete Building Method'!$O11&amp;AB$86</f>
        <v>OfficeHVACAvail</v>
      </c>
      <c r="AC76" s="114" t="str">
        <f>'Complete Building Method'!$O11&amp;AC$86</f>
        <v>OfficeHtgSetpt</v>
      </c>
      <c r="AD76" s="114" t="str">
        <f>'Complete Building Method'!$O11&amp;AD$86</f>
        <v>OfficeClgSetpt</v>
      </c>
      <c r="AE76" s="114" t="str">
        <f>'Complete Building Method'!$O11&amp;AE$86</f>
        <v>OfficeElevator</v>
      </c>
      <c r="AF76" s="114" t="str">
        <f>'Complete Building Method'!$O11&amp;AF$86</f>
        <v>OfficeEscalator</v>
      </c>
      <c r="AG76" s="114" t="str">
        <f>'Complete Building Method'!$O11&amp;AG$86</f>
        <v>OfficeWtrHtrSetpt</v>
      </c>
    </row>
    <row r="77" spans="1:33" x14ac:dyDescent="0.25">
      <c r="B77" s="114" t="str">
        <f>TRIM(LEFT('Complete Building Method'!$A12,IF(ISNUMBER(FIND(" (Note",'Complete Building Method'!$A12,1)),FIND(" (Note",'Complete Building Method'!$A12,1),99)))</f>
        <v>Medical Building/Clinic Building</v>
      </c>
      <c r="C77" s="114">
        <f>'Complete Building Method'!B12</f>
        <v>10</v>
      </c>
      <c r="D77" s="114">
        <f>'Complete Building Method'!C12</f>
        <v>0.5</v>
      </c>
      <c r="E77" s="114">
        <f>'Complete Building Method'!D12</f>
        <v>250</v>
      </c>
      <c r="F77" s="114">
        <f>'Complete Building Method'!E12</f>
        <v>213</v>
      </c>
      <c r="G77" s="114">
        <f>'Complete Building Method'!F12</f>
        <v>1.18</v>
      </c>
      <c r="H77" s="114">
        <f>'Complete Building Method'!G12</f>
        <v>0.16500000000000001</v>
      </c>
      <c r="I77" s="114">
        <f>'Complete Building Method'!H12</f>
        <v>1.1000000000000001</v>
      </c>
      <c r="J77" s="114">
        <f>'Complete Building Method'!I12</f>
        <v>0.15</v>
      </c>
      <c r="K77" s="114">
        <f>'Complete Building Method'!J12</f>
        <v>0.15</v>
      </c>
      <c r="L77" s="114">
        <f>'Complete Building Method'!K12</f>
        <v>150</v>
      </c>
      <c r="M77" s="114">
        <f>'Complete Building Method'!L12</f>
        <v>150</v>
      </c>
      <c r="N77" s="114">
        <f>'Complete Building Method'!M12</f>
        <v>0.33</v>
      </c>
      <c r="O77" s="114">
        <f>'Complete Building Method'!N12</f>
        <v>1.1200000000000001</v>
      </c>
      <c r="P77" s="120" t="s">
        <v>375</v>
      </c>
      <c r="Q77" s="120" t="s">
        <v>375</v>
      </c>
      <c r="R77" s="120" t="s">
        <v>375</v>
      </c>
      <c r="S77" s="120" t="s">
        <v>375</v>
      </c>
      <c r="T77" s="114" t="str">
        <f>'Complete Building Method'!O12</f>
        <v>Health</v>
      </c>
      <c r="U77" s="114" t="str">
        <f>'Complete Building Method'!$O12&amp;U$86</f>
        <v>HealthOccupancy</v>
      </c>
      <c r="V77" s="114" t="str">
        <f>'Complete Building Method'!$O12&amp;V$86</f>
        <v>HealthReceptacle</v>
      </c>
      <c r="W77" s="114" t="str">
        <f>'Complete Building Method'!$O12&amp;W$86</f>
        <v>HealthServiceHotWater</v>
      </c>
      <c r="X77" s="114" t="str">
        <f>'Complete Building Method'!$O12&amp;X$86</f>
        <v>HealthLights</v>
      </c>
      <c r="Y77" s="114" t="str">
        <f>'Complete Building Method'!$O12&amp;Y$86</f>
        <v>HealthGasEquip</v>
      </c>
      <c r="Z77" s="114" t="str">
        <f>'Complete Building Method'!$O12&amp;Z$86</f>
        <v>HealthRefrigeration</v>
      </c>
      <c r="AA77" s="114" t="str">
        <f>'Complete Building Method'!$O12&amp;AA$86</f>
        <v>HealthInfiltration</v>
      </c>
      <c r="AB77" s="114" t="str">
        <f>'Complete Building Method'!$O12&amp;AB$86</f>
        <v>HealthHVACAvail</v>
      </c>
      <c r="AC77" s="114" t="str">
        <f>'Complete Building Method'!$O12&amp;AC$86</f>
        <v>HealthHtgSetpt</v>
      </c>
      <c r="AD77" s="114" t="str">
        <f>'Complete Building Method'!$O12&amp;AD$86</f>
        <v>HealthClgSetpt</v>
      </c>
      <c r="AE77" s="114" t="str">
        <f>'Complete Building Method'!$O12&amp;AE$86</f>
        <v>HealthElevator</v>
      </c>
      <c r="AF77" s="114" t="str">
        <f>'Complete Building Method'!$O12&amp;AF$86</f>
        <v>HealthEscalator</v>
      </c>
      <c r="AG77" s="114" t="str">
        <f>'Complete Building Method'!$O12&amp;AG$86</f>
        <v>HealthWtrHtrSetpt</v>
      </c>
    </row>
    <row r="78" spans="1:33" x14ac:dyDescent="0.25">
      <c r="B78" s="114" t="str">
        <f>TRIM(LEFT('Complete Building Method'!$A13,IF(ISNUMBER(FIND(" (Note",'Complete Building Method'!$A13,1)),FIND(" (Note",'Complete Building Method'!$A13,1),99)))</f>
        <v>Office Building</v>
      </c>
      <c r="C78" s="114">
        <f>'Complete Building Method'!B13</f>
        <v>10</v>
      </c>
      <c r="D78" s="114">
        <f>'Complete Building Method'!C13</f>
        <v>0.5</v>
      </c>
      <c r="E78" s="114">
        <f>'Complete Building Method'!D13</f>
        <v>250</v>
      </c>
      <c r="F78" s="114">
        <f>'Complete Building Method'!E13</f>
        <v>206</v>
      </c>
      <c r="G78" s="114">
        <f>'Complete Building Method'!F13</f>
        <v>1.34</v>
      </c>
      <c r="H78" s="114">
        <f>'Complete Building Method'!G13</f>
        <v>0.159</v>
      </c>
      <c r="I78" s="114">
        <f>'Complete Building Method'!H13</f>
        <v>0.8</v>
      </c>
      <c r="J78" s="114">
        <f>'Complete Building Method'!I13</f>
        <v>0.15</v>
      </c>
      <c r="K78" s="114">
        <f>'Complete Building Method'!J13</f>
        <v>0.15</v>
      </c>
      <c r="L78" s="114">
        <f>'Complete Building Method'!K13</f>
        <v>150</v>
      </c>
      <c r="M78" s="114">
        <f>'Complete Building Method'!L13</f>
        <v>150</v>
      </c>
      <c r="N78" s="114">
        <f>'Complete Building Method'!M13</f>
        <v>0</v>
      </c>
      <c r="O78" s="114">
        <f>'Complete Building Method'!N13</f>
        <v>0</v>
      </c>
      <c r="P78" s="120" t="s">
        <v>375</v>
      </c>
      <c r="Q78" s="120" t="s">
        <v>375</v>
      </c>
      <c r="R78" s="120" t="s">
        <v>375</v>
      </c>
      <c r="S78" s="120" t="s">
        <v>375</v>
      </c>
      <c r="T78" s="114" t="str">
        <f>'Complete Building Method'!O13</f>
        <v>Office</v>
      </c>
      <c r="U78" s="114" t="str">
        <f>'Complete Building Method'!$O13&amp;U$86</f>
        <v>OfficeOccupancy</v>
      </c>
      <c r="V78" s="114" t="str">
        <f>'Complete Building Method'!$O13&amp;V$86</f>
        <v>OfficeReceptacle</v>
      </c>
      <c r="W78" s="114" t="str">
        <f>'Complete Building Method'!$O13&amp;W$86</f>
        <v>OfficeServiceHotWater</v>
      </c>
      <c r="X78" s="114" t="str">
        <f>'Complete Building Method'!$O13&amp;X$86</f>
        <v>OfficeLights</v>
      </c>
      <c r="Y78" s="114" t="str">
        <f>'Complete Building Method'!$O13&amp;Y$86</f>
        <v>OfficeGasEquip</v>
      </c>
      <c r="Z78" s="114" t="str">
        <f>'Complete Building Method'!$O13&amp;Z$86</f>
        <v>OfficeRefrigeration</v>
      </c>
      <c r="AA78" s="114" t="str">
        <f>'Complete Building Method'!$O13&amp;AA$86</f>
        <v>OfficeInfiltration</v>
      </c>
      <c r="AB78" s="114" t="str">
        <f>'Complete Building Method'!$O13&amp;AB$86</f>
        <v>OfficeHVACAvail</v>
      </c>
      <c r="AC78" s="114" t="str">
        <f>'Complete Building Method'!$O13&amp;AC$86</f>
        <v>OfficeHtgSetpt</v>
      </c>
      <c r="AD78" s="114" t="str">
        <f>'Complete Building Method'!$O13&amp;AD$86</f>
        <v>OfficeClgSetpt</v>
      </c>
      <c r="AE78" s="114" t="str">
        <f>'Complete Building Method'!$O13&amp;AE$86</f>
        <v>OfficeElevator</v>
      </c>
      <c r="AF78" s="114" t="str">
        <f>'Complete Building Method'!$O13&amp;AF$86</f>
        <v>OfficeEscalator</v>
      </c>
      <c r="AG78" s="114" t="str">
        <f>'Complete Building Method'!$O13&amp;AG$86</f>
        <v>OfficeWtrHtrSetpt</v>
      </c>
    </row>
    <row r="79" spans="1:33" x14ac:dyDescent="0.25">
      <c r="B79" s="114" t="str">
        <f>TRIM(LEFT('Complete Building Method'!$A14,IF(ISNUMBER(FIND(" (Note",'Complete Building Method'!$A14,1)),FIND(" (Note",'Complete Building Method'!$A14,1),99)))</f>
        <v>Parking Garage Building</v>
      </c>
      <c r="C79" s="114">
        <f>'Complete Building Method'!B14</f>
        <v>10</v>
      </c>
      <c r="D79" s="114">
        <f>'Complete Building Method'!C14</f>
        <v>0.5</v>
      </c>
      <c r="E79" s="114">
        <f>'Complete Building Method'!D14</f>
        <v>250</v>
      </c>
      <c r="F79" s="114">
        <f>'Complete Building Method'!E14</f>
        <v>200</v>
      </c>
      <c r="G79" s="114">
        <f>'Complete Building Method'!F14</f>
        <v>0</v>
      </c>
      <c r="H79" s="114">
        <f>'Complete Building Method'!G14</f>
        <v>0</v>
      </c>
      <c r="I79" s="114">
        <f>'Complete Building Method'!H14</f>
        <v>0.2</v>
      </c>
      <c r="J79" s="114">
        <f>'Complete Building Method'!I14</f>
        <v>0.15</v>
      </c>
      <c r="K79" s="114">
        <f>'Complete Building Method'!J14</f>
        <v>0.15</v>
      </c>
      <c r="L79" s="114">
        <f>'Complete Building Method'!K14</f>
        <v>150</v>
      </c>
      <c r="M79" s="114">
        <f>'Complete Building Method'!L14</f>
        <v>150</v>
      </c>
      <c r="N79" s="114">
        <f>'Complete Building Method'!M14</f>
        <v>0</v>
      </c>
      <c r="O79" s="114">
        <f>'Complete Building Method'!N14</f>
        <v>0</v>
      </c>
      <c r="P79" s="120" t="s">
        <v>375</v>
      </c>
      <c r="Q79" s="120" t="s">
        <v>375</v>
      </c>
      <c r="R79" s="120" t="s">
        <v>375</v>
      </c>
      <c r="S79" s="120" t="s">
        <v>375</v>
      </c>
      <c r="T79" s="114" t="str">
        <f>'Complete Building Method'!O14</f>
        <v>Parking</v>
      </c>
      <c r="U79" s="114" t="str">
        <f>'Complete Building Method'!$O14&amp;U$86</f>
        <v>ParkingOccupancy</v>
      </c>
      <c r="V79" s="114" t="str">
        <f>'Complete Building Method'!$O14&amp;V$86</f>
        <v>ParkingReceptacle</v>
      </c>
      <c r="W79" s="114" t="str">
        <f>'Complete Building Method'!$O14&amp;W$86</f>
        <v>ParkingServiceHotWater</v>
      </c>
      <c r="X79" s="114" t="str">
        <f>'Complete Building Method'!$O14&amp;X$86</f>
        <v>ParkingLights</v>
      </c>
      <c r="Y79" s="114" t="str">
        <f>'Complete Building Method'!$O14&amp;Y$86</f>
        <v>ParkingGasEquip</v>
      </c>
      <c r="Z79" s="114" t="str">
        <f>'Complete Building Method'!$O14&amp;Z$86</f>
        <v>ParkingRefrigeration</v>
      </c>
      <c r="AA79" s="114" t="str">
        <f>'Complete Building Method'!$O14&amp;AA$86</f>
        <v>ParkingInfiltration</v>
      </c>
      <c r="AB79" s="114" t="str">
        <f>'Complete Building Method'!$O14&amp;AB$86</f>
        <v>ParkingHVACAvail</v>
      </c>
      <c r="AC79" s="114" t="str">
        <f>'Complete Building Method'!$O14&amp;AC$86</f>
        <v>ParkingHtgSetpt</v>
      </c>
      <c r="AD79" s="114" t="str">
        <f>'Complete Building Method'!$O14&amp;AD$86</f>
        <v>ParkingClgSetpt</v>
      </c>
      <c r="AE79" s="114" t="str">
        <f>'Complete Building Method'!$O14&amp;AE$86</f>
        <v>ParkingElevator</v>
      </c>
      <c r="AF79" s="114" t="str">
        <f>'Complete Building Method'!$O14&amp;AF$86</f>
        <v>ParkingEscalator</v>
      </c>
      <c r="AG79" s="114" t="str">
        <f>'Complete Building Method'!$O14&amp;AG$86</f>
        <v>ParkingWtrHtrSetpt</v>
      </c>
    </row>
    <row r="80" spans="1:33" x14ac:dyDescent="0.25">
      <c r="B80" s="114" t="str">
        <f>TRIM(LEFT('Complete Building Method'!$A15,IF(ISNUMBER(FIND(" (Note",'Complete Building Method'!$A15,1)),FIND(" (Note",'Complete Building Method'!$A15,1),99)))</f>
        <v>Religious Facility Building</v>
      </c>
      <c r="C80" s="114">
        <f>'Complete Building Method'!B15</f>
        <v>136</v>
      </c>
      <c r="D80" s="114">
        <f>'Complete Building Method'!C15</f>
        <v>0.5</v>
      </c>
      <c r="E80" s="114">
        <f>'Complete Building Method'!D15</f>
        <v>245</v>
      </c>
      <c r="F80" s="114">
        <f>'Complete Building Method'!E15</f>
        <v>112</v>
      </c>
      <c r="G80" s="114">
        <f>'Complete Building Method'!F15</f>
        <v>0.96</v>
      </c>
      <c r="H80" s="114">
        <f>'Complete Building Method'!G15</f>
        <v>8.5999999999999993E-2</v>
      </c>
      <c r="I80" s="114">
        <f>'Complete Building Method'!H15</f>
        <v>1.6</v>
      </c>
      <c r="J80" s="114">
        <f>'Complete Building Method'!I15</f>
        <v>0.15</v>
      </c>
      <c r="K80" s="114">
        <f>'Complete Building Method'!J15</f>
        <v>1.03</v>
      </c>
      <c r="L80" s="114">
        <f>'Complete Building Method'!K15</f>
        <v>150</v>
      </c>
      <c r="M80" s="114">
        <f>'Complete Building Method'!L15</f>
        <v>150</v>
      </c>
      <c r="N80" s="114">
        <f>'Complete Building Method'!M15</f>
        <v>0.04</v>
      </c>
      <c r="O80" s="114">
        <f>'Complete Building Method'!N15</f>
        <v>0</v>
      </c>
      <c r="P80" s="120" t="s">
        <v>375</v>
      </c>
      <c r="Q80" s="120" t="s">
        <v>375</v>
      </c>
      <c r="R80" s="120" t="s">
        <v>375</v>
      </c>
      <c r="S80" s="120" t="s">
        <v>375</v>
      </c>
      <c r="T80" s="114" t="str">
        <f>'Complete Building Method'!O15</f>
        <v>Assembly</v>
      </c>
      <c r="U80" s="114" t="str">
        <f>'Complete Building Method'!$O15&amp;U$86</f>
        <v>AssemblyOccupancy</v>
      </c>
      <c r="V80" s="114" t="str">
        <f>'Complete Building Method'!$O15&amp;V$86</f>
        <v>AssemblyReceptacle</v>
      </c>
      <c r="W80" s="114" t="str">
        <f>'Complete Building Method'!$O15&amp;W$86</f>
        <v>AssemblyServiceHotWater</v>
      </c>
      <c r="X80" s="114" t="str">
        <f>'Complete Building Method'!$O15&amp;X$86</f>
        <v>AssemblyLights</v>
      </c>
      <c r="Y80" s="114" t="str">
        <f>'Complete Building Method'!$O15&amp;Y$86</f>
        <v>AssemblyGasEquip</v>
      </c>
      <c r="Z80" s="114" t="str">
        <f>'Complete Building Method'!$O15&amp;Z$86</f>
        <v>AssemblyRefrigeration</v>
      </c>
      <c r="AA80" s="114" t="str">
        <f>'Complete Building Method'!$O15&amp;AA$86</f>
        <v>AssemblyInfiltration</v>
      </c>
      <c r="AB80" s="114" t="str">
        <f>'Complete Building Method'!$O15&amp;AB$86</f>
        <v>AssemblyHVACAvail</v>
      </c>
      <c r="AC80" s="114" t="str">
        <f>'Complete Building Method'!$O15&amp;AC$86</f>
        <v>AssemblyHtgSetpt</v>
      </c>
      <c r="AD80" s="114" t="str">
        <f>'Complete Building Method'!$O15&amp;AD$86</f>
        <v>AssemblyClgSetpt</v>
      </c>
      <c r="AE80" s="114" t="str">
        <f>'Complete Building Method'!$O15&amp;AE$86</f>
        <v>AssemblyElevator</v>
      </c>
      <c r="AF80" s="114" t="str">
        <f>'Complete Building Method'!$O15&amp;AF$86</f>
        <v>AssemblyEscalator</v>
      </c>
      <c r="AG80" s="114" t="str">
        <f>'Complete Building Method'!$O15&amp;AG$86</f>
        <v>AssemblyWtrHtrSetpt</v>
      </c>
    </row>
    <row r="81" spans="1:33" x14ac:dyDescent="0.25">
      <c r="B81" s="114" t="str">
        <f>TRIM(LEFT('Complete Building Method'!$A16,IF(ISNUMBER(FIND(" (Note",'Complete Building Method'!$A16,1)),FIND(" (Note",'Complete Building Method'!$A16,1),99)))</f>
        <v>Restaurant Building</v>
      </c>
      <c r="C81" s="114">
        <f>'Complete Building Method'!B16</f>
        <v>45</v>
      </c>
      <c r="D81" s="114">
        <f>'Complete Building Method'!C16</f>
        <v>0.5</v>
      </c>
      <c r="E81" s="114">
        <f>'Complete Building Method'!D16</f>
        <v>274</v>
      </c>
      <c r="F81" s="114">
        <f>'Complete Building Method'!E16</f>
        <v>334</v>
      </c>
      <c r="G81" s="114">
        <f>'Complete Building Method'!F16</f>
        <v>0.79</v>
      </c>
      <c r="H81" s="114">
        <f>'Complete Building Method'!G16</f>
        <v>0.54900000000000004</v>
      </c>
      <c r="I81" s="114">
        <f>'Complete Building Method'!H16</f>
        <v>1.2</v>
      </c>
      <c r="J81" s="114">
        <f>'Complete Building Method'!I16</f>
        <v>0.15</v>
      </c>
      <c r="K81" s="114">
        <f>'Complete Building Method'!J16</f>
        <v>0.38</v>
      </c>
      <c r="L81" s="114">
        <f>'Complete Building Method'!K16</f>
        <v>150</v>
      </c>
      <c r="M81" s="114">
        <f>'Complete Building Method'!L16</f>
        <v>150</v>
      </c>
      <c r="N81" s="114">
        <f>'Complete Building Method'!M16</f>
        <v>5.14</v>
      </c>
      <c r="O81" s="114">
        <f>'Complete Building Method'!N16</f>
        <v>0.06</v>
      </c>
      <c r="P81" s="120" t="s">
        <v>375</v>
      </c>
      <c r="Q81" s="120" t="s">
        <v>375</v>
      </c>
      <c r="R81" s="120" t="s">
        <v>375</v>
      </c>
      <c r="S81" s="120" t="s">
        <v>375</v>
      </c>
      <c r="T81" s="114" t="str">
        <f>'Complete Building Method'!O16</f>
        <v>Restaurant</v>
      </c>
      <c r="U81" s="114" t="str">
        <f>'Complete Building Method'!$O16&amp;U$86</f>
        <v>RestaurantOccupancy</v>
      </c>
      <c r="V81" s="114" t="str">
        <f>'Complete Building Method'!$O16&amp;V$86</f>
        <v>RestaurantReceptacle</v>
      </c>
      <c r="W81" s="114" t="str">
        <f>'Complete Building Method'!$O16&amp;W$86</f>
        <v>RestaurantServiceHotWater</v>
      </c>
      <c r="X81" s="114" t="str">
        <f>'Complete Building Method'!$O16&amp;X$86</f>
        <v>RestaurantLights</v>
      </c>
      <c r="Y81" s="114" t="str">
        <f>'Complete Building Method'!$O16&amp;Y$86</f>
        <v>RestaurantGasEquip</v>
      </c>
      <c r="Z81" s="114" t="str">
        <f>'Complete Building Method'!$O16&amp;Z$86</f>
        <v>RestaurantRefrigeration</v>
      </c>
      <c r="AA81" s="114" t="str">
        <f>'Complete Building Method'!$O16&amp;AA$86</f>
        <v>RestaurantInfiltration</v>
      </c>
      <c r="AB81" s="114" t="str">
        <f>'Complete Building Method'!$O16&amp;AB$86</f>
        <v>RestaurantHVACAvail</v>
      </c>
      <c r="AC81" s="114" t="str">
        <f>'Complete Building Method'!$O16&amp;AC$86</f>
        <v>RestaurantHtgSetpt</v>
      </c>
      <c r="AD81" s="114" t="str">
        <f>'Complete Building Method'!$O16&amp;AD$86</f>
        <v>RestaurantClgSetpt</v>
      </c>
      <c r="AE81" s="114" t="str">
        <f>'Complete Building Method'!$O16&amp;AE$86</f>
        <v>RestaurantElevator</v>
      </c>
      <c r="AF81" s="114" t="str">
        <f>'Complete Building Method'!$O16&amp;AF$86</f>
        <v>RestaurantEscalator</v>
      </c>
      <c r="AG81" s="114" t="str">
        <f>'Complete Building Method'!$O16&amp;AG$86</f>
        <v>RestaurantWtrHtrSetpt</v>
      </c>
    </row>
    <row r="82" spans="1:33" x14ac:dyDescent="0.25">
      <c r="B82" s="114" t="str">
        <f>TRIM(LEFT('Complete Building Method'!$A17,IF(ISNUMBER(FIND(" (Note",'Complete Building Method'!$A17,1)),FIND(" (Note",'Complete Building Method'!$A17,1),99)))</f>
        <v>School Building</v>
      </c>
      <c r="C82" s="114">
        <f>'Complete Building Method'!B17</f>
        <v>40</v>
      </c>
      <c r="D82" s="114">
        <f>'Complete Building Method'!C17</f>
        <v>0.5</v>
      </c>
      <c r="E82" s="114">
        <f>'Complete Building Method'!D17</f>
        <v>246</v>
      </c>
      <c r="F82" s="114">
        <f>'Complete Building Method'!E17</f>
        <v>171</v>
      </c>
      <c r="G82" s="114">
        <f>'Complete Building Method'!F17</f>
        <v>1</v>
      </c>
      <c r="H82" s="114">
        <f>'Complete Building Method'!G17</f>
        <v>0.16200000000000001</v>
      </c>
      <c r="I82" s="114">
        <f>'Complete Building Method'!H17</f>
        <v>1</v>
      </c>
      <c r="J82" s="114">
        <f>'Complete Building Method'!I17</f>
        <v>0.15</v>
      </c>
      <c r="K82" s="114">
        <f>'Complete Building Method'!J17</f>
        <v>0.32</v>
      </c>
      <c r="L82" s="114">
        <f>'Complete Building Method'!K17</f>
        <v>150</v>
      </c>
      <c r="M82" s="114">
        <f>'Complete Building Method'!L17</f>
        <v>150</v>
      </c>
      <c r="N82" s="114">
        <f>'Complete Building Method'!M17</f>
        <v>0.04</v>
      </c>
      <c r="O82" s="114">
        <f>'Complete Building Method'!N17</f>
        <v>0.03</v>
      </c>
      <c r="P82" s="120" t="s">
        <v>375</v>
      </c>
      <c r="Q82" s="120" t="s">
        <v>375</v>
      </c>
      <c r="R82" s="120" t="s">
        <v>375</v>
      </c>
      <c r="S82" s="120" t="s">
        <v>375</v>
      </c>
      <c r="T82" s="114" t="str">
        <f>'Complete Building Method'!O17</f>
        <v>School</v>
      </c>
      <c r="U82" s="114" t="str">
        <f>'Complete Building Method'!$O17&amp;U$86</f>
        <v>SchoolOccupancy</v>
      </c>
      <c r="V82" s="114" t="str">
        <f>'Complete Building Method'!$O17&amp;V$86</f>
        <v>SchoolReceptacle</v>
      </c>
      <c r="W82" s="114" t="str">
        <f>'Complete Building Method'!$O17&amp;W$86</f>
        <v>SchoolServiceHotWater</v>
      </c>
      <c r="X82" s="114" t="str">
        <f>'Complete Building Method'!$O17&amp;X$86</f>
        <v>SchoolLights</v>
      </c>
      <c r="Y82" s="114" t="str">
        <f>'Complete Building Method'!$O17&amp;Y$86</f>
        <v>SchoolGasEquip</v>
      </c>
      <c r="Z82" s="114" t="str">
        <f>'Complete Building Method'!$O17&amp;Z$86</f>
        <v>SchoolRefrigeration</v>
      </c>
      <c r="AA82" s="114" t="str">
        <f>'Complete Building Method'!$O17&amp;AA$86</f>
        <v>SchoolInfiltration</v>
      </c>
      <c r="AB82" s="114" t="str">
        <f>'Complete Building Method'!$O17&amp;AB$86</f>
        <v>SchoolHVACAvail</v>
      </c>
      <c r="AC82" s="114" t="str">
        <f>'Complete Building Method'!$O17&amp;AC$86</f>
        <v>SchoolHtgSetpt</v>
      </c>
      <c r="AD82" s="114" t="str">
        <f>'Complete Building Method'!$O17&amp;AD$86</f>
        <v>SchoolClgSetpt</v>
      </c>
      <c r="AE82" s="114" t="str">
        <f>'Complete Building Method'!$O17&amp;AE$86</f>
        <v>SchoolElevator</v>
      </c>
      <c r="AF82" s="114" t="str">
        <f>'Complete Building Method'!$O17&amp;AF$86</f>
        <v>SchoolEscalator</v>
      </c>
      <c r="AG82" s="114" t="str">
        <f>'Complete Building Method'!$O17&amp;AG$86</f>
        <v>SchoolWtrHtrSetpt</v>
      </c>
    </row>
    <row r="83" spans="1:33" x14ac:dyDescent="0.25">
      <c r="B83" s="114" t="str">
        <f>TRIM(LEFT('Complete Building Method'!$A18,IF(ISNUMBER(FIND(" (Note",'Complete Building Method'!$A18,1)),FIND(" (Note",'Complete Building Method'!$A18,1),99)))</f>
        <v>Theater Building</v>
      </c>
      <c r="C83" s="114">
        <f>'Complete Building Method'!B18</f>
        <v>130</v>
      </c>
      <c r="D83" s="114">
        <f>'Complete Building Method'!C18</f>
        <v>1</v>
      </c>
      <c r="E83" s="114">
        <f>'Complete Building Method'!D18</f>
        <v>268</v>
      </c>
      <c r="F83" s="114">
        <f>'Complete Building Method'!E18</f>
        <v>403</v>
      </c>
      <c r="G83" s="114">
        <f>'Complete Building Method'!F18</f>
        <v>0.54</v>
      </c>
      <c r="H83" s="114">
        <f>'Complete Building Method'!G18</f>
        <v>0.09</v>
      </c>
      <c r="I83" s="114">
        <f>'Complete Building Method'!H18</f>
        <v>1.3</v>
      </c>
      <c r="J83" s="114">
        <f>'Complete Building Method'!I18</f>
        <v>0.15</v>
      </c>
      <c r="K83" s="114">
        <f>'Complete Building Method'!J18</f>
        <v>0.98</v>
      </c>
      <c r="L83" s="114">
        <f>'Complete Building Method'!K18</f>
        <v>150</v>
      </c>
      <c r="M83" s="114">
        <f>'Complete Building Method'!L18</f>
        <v>150</v>
      </c>
      <c r="N83" s="114">
        <f>'Complete Building Method'!M18</f>
        <v>0.04</v>
      </c>
      <c r="O83" s="114">
        <f>'Complete Building Method'!N18</f>
        <v>0</v>
      </c>
      <c r="P83" s="120" t="s">
        <v>375</v>
      </c>
      <c r="Q83" s="120" t="s">
        <v>375</v>
      </c>
      <c r="R83" s="120" t="s">
        <v>375</v>
      </c>
      <c r="S83" s="120" t="s">
        <v>375</v>
      </c>
      <c r="T83" s="114" t="str">
        <f>'Complete Building Method'!O18</f>
        <v>Assembly</v>
      </c>
      <c r="U83" s="114" t="str">
        <f>'Complete Building Method'!$O18&amp;U$86</f>
        <v>AssemblyOccupancy</v>
      </c>
      <c r="V83" s="114" t="str">
        <f>'Complete Building Method'!$O18&amp;V$86</f>
        <v>AssemblyReceptacle</v>
      </c>
      <c r="W83" s="114" t="str">
        <f>'Complete Building Method'!$O18&amp;W$86</f>
        <v>AssemblyServiceHotWater</v>
      </c>
      <c r="X83" s="114" t="str">
        <f>'Complete Building Method'!$O18&amp;X$86</f>
        <v>AssemblyLights</v>
      </c>
      <c r="Y83" s="114" t="str">
        <f>'Complete Building Method'!$O18&amp;Y$86</f>
        <v>AssemblyGasEquip</v>
      </c>
      <c r="Z83" s="114" t="str">
        <f>'Complete Building Method'!$O18&amp;Z$86</f>
        <v>AssemblyRefrigeration</v>
      </c>
      <c r="AA83" s="114" t="str">
        <f>'Complete Building Method'!$O18&amp;AA$86</f>
        <v>AssemblyInfiltration</v>
      </c>
      <c r="AB83" s="114" t="str">
        <f>'Complete Building Method'!$O18&amp;AB$86</f>
        <v>AssemblyHVACAvail</v>
      </c>
      <c r="AC83" s="114" t="str">
        <f>'Complete Building Method'!$O18&amp;AC$86</f>
        <v>AssemblyHtgSetpt</v>
      </c>
      <c r="AD83" s="114" t="str">
        <f>'Complete Building Method'!$O18&amp;AD$86</f>
        <v>AssemblyClgSetpt</v>
      </c>
      <c r="AE83" s="114" t="str">
        <f>'Complete Building Method'!$O18&amp;AE$86</f>
        <v>AssemblyElevator</v>
      </c>
      <c r="AF83" s="114" t="str">
        <f>'Complete Building Method'!$O18&amp;AF$86</f>
        <v>AssemblyEscalator</v>
      </c>
      <c r="AG83" s="114" t="str">
        <f>'Complete Building Method'!$O18&amp;AG$86</f>
        <v>AssemblyWtrHtrSetpt</v>
      </c>
    </row>
    <row r="84" spans="1:33" x14ac:dyDescent="0.25">
      <c r="B84" s="114" t="str">
        <f>TRIM(LEFT('Complete Building Method'!$A19,IF(ISNUMBER(FIND(" (Note",'Complete Building Method'!$A19,1)),FIND(" (Note",'Complete Building Method'!$A19,1),99)))</f>
        <v>All Other Buildings</v>
      </c>
      <c r="C84" s="114">
        <f>'Complete Building Method'!B19</f>
        <v>10</v>
      </c>
      <c r="D84" s="114">
        <f>'Complete Building Method'!C19</f>
        <v>0.5</v>
      </c>
      <c r="E84" s="114">
        <f>'Complete Building Method'!D19</f>
        <v>250</v>
      </c>
      <c r="F84" s="114">
        <f>'Complete Building Method'!E19</f>
        <v>200</v>
      </c>
      <c r="G84" s="114">
        <f>'Complete Building Method'!F19</f>
        <v>1</v>
      </c>
      <c r="H84" s="114">
        <f>'Complete Building Method'!G19</f>
        <v>0.18</v>
      </c>
      <c r="I84" s="114">
        <f>'Complete Building Method'!H19</f>
        <v>0.6</v>
      </c>
      <c r="J84" s="114">
        <f>'Complete Building Method'!I19</f>
        <v>0.15</v>
      </c>
      <c r="K84" s="114">
        <f>'Complete Building Method'!J19</f>
        <v>0.15</v>
      </c>
      <c r="L84" s="114">
        <f>'Complete Building Method'!K19</f>
        <v>150</v>
      </c>
      <c r="M84" s="114">
        <f>'Complete Building Method'!L19</f>
        <v>150</v>
      </c>
      <c r="N84" s="114">
        <f>'Complete Building Method'!M19</f>
        <v>0.04</v>
      </c>
      <c r="O84" s="114">
        <f>'Complete Building Method'!N19</f>
        <v>0.03</v>
      </c>
      <c r="P84" s="120" t="s">
        <v>375</v>
      </c>
      <c r="Q84" s="120" t="s">
        <v>375</v>
      </c>
      <c r="R84" s="120" t="s">
        <v>375</v>
      </c>
      <c r="S84" s="120" t="s">
        <v>375</v>
      </c>
      <c r="T84" s="114" t="str">
        <f>'Complete Building Method'!O19</f>
        <v>Office</v>
      </c>
      <c r="U84" s="114" t="str">
        <f>'Complete Building Method'!$O19&amp;U$86</f>
        <v>OfficeOccupancy</v>
      </c>
      <c r="V84" s="114" t="str">
        <f>'Complete Building Method'!$O19&amp;V$86</f>
        <v>OfficeReceptacle</v>
      </c>
      <c r="W84" s="114" t="str">
        <f>'Complete Building Method'!$O19&amp;W$86</f>
        <v>OfficeServiceHotWater</v>
      </c>
      <c r="X84" s="114" t="str">
        <f>'Complete Building Method'!$O19&amp;X$86</f>
        <v>OfficeLights</v>
      </c>
      <c r="Y84" s="114" t="str">
        <f>'Complete Building Method'!$O19&amp;Y$86</f>
        <v>OfficeGasEquip</v>
      </c>
      <c r="Z84" s="114" t="str">
        <f>'Complete Building Method'!$O19&amp;Z$86</f>
        <v>OfficeRefrigeration</v>
      </c>
      <c r="AA84" s="114" t="str">
        <f>'Complete Building Method'!$O19&amp;AA$86</f>
        <v>OfficeInfiltration</v>
      </c>
      <c r="AB84" s="114" t="str">
        <f>'Complete Building Method'!$O19&amp;AB$86</f>
        <v>OfficeHVACAvail</v>
      </c>
      <c r="AC84" s="114" t="str">
        <f>'Complete Building Method'!$O19&amp;AC$86</f>
        <v>OfficeHtgSetpt</v>
      </c>
      <c r="AD84" s="114" t="str">
        <f>'Complete Building Method'!$O19&amp;AD$86</f>
        <v>OfficeClgSetpt</v>
      </c>
      <c r="AE84" s="114" t="str">
        <f>'Complete Building Method'!$O19&amp;AE$86</f>
        <v>OfficeElevator</v>
      </c>
      <c r="AF84" s="114" t="str">
        <f>'Complete Building Method'!$O19&amp;AF$86</f>
        <v>OfficeEscalator</v>
      </c>
      <c r="AG84" s="114" t="str">
        <f>'Complete Building Method'!$O19&amp;AG$86</f>
        <v>OfficeWtrHtrSetpt</v>
      </c>
    </row>
    <row r="85" spans="1:33" x14ac:dyDescent="0.25">
      <c r="A85" s="114" t="s">
        <v>369</v>
      </c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</row>
    <row r="86" spans="1:33" x14ac:dyDescent="0.25">
      <c r="A86" s="114" t="s">
        <v>370</v>
      </c>
      <c r="U86" s="114" t="s">
        <v>376</v>
      </c>
      <c r="V86" s="114" t="s">
        <v>195</v>
      </c>
      <c r="W86" s="114" t="s">
        <v>377</v>
      </c>
      <c r="X86" s="114" t="s">
        <v>378</v>
      </c>
      <c r="Y86" s="114" t="s">
        <v>379</v>
      </c>
      <c r="Z86" s="114" t="s">
        <v>380</v>
      </c>
      <c r="AA86" s="114" t="s">
        <v>381</v>
      </c>
      <c r="AB86" s="114" t="s">
        <v>382</v>
      </c>
      <c r="AC86" s="114" t="s">
        <v>383</v>
      </c>
      <c r="AD86" s="114" t="s">
        <v>384</v>
      </c>
      <c r="AE86" s="114" t="s">
        <v>385</v>
      </c>
      <c r="AF86" s="114" t="s">
        <v>386</v>
      </c>
      <c r="AG86" s="114" t="s">
        <v>387</v>
      </c>
    </row>
  </sheetData>
  <conditionalFormatting sqref="A3:AG61">
    <cfRule type="expression" dxfId="0" priority="1">
      <formula>IF($AI3="X",TRUE,FALSE)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CE6B-2AA7-4CC7-A2AD-FC5E5E5E865D}">
  <dimension ref="A1:O45"/>
  <sheetViews>
    <sheetView zoomScale="85" zoomScaleNormal="85" workbookViewId="0">
      <selection activeCell="C10" sqref="C10"/>
    </sheetView>
  </sheetViews>
  <sheetFormatPr defaultColWidth="8.3984375" defaultRowHeight="13.8" x14ac:dyDescent="0.25"/>
  <cols>
    <col min="1" max="1" width="4.09765625" style="122" customWidth="1"/>
    <col min="2" max="2" width="44.09765625" style="122" customWidth="1"/>
    <col min="3" max="3" width="32.69921875" style="122" customWidth="1"/>
    <col min="4" max="4" width="29.09765625" style="122" customWidth="1"/>
    <col min="5" max="5" width="27.296875" style="122" customWidth="1"/>
    <col min="6" max="12" width="32.69921875" style="122" customWidth="1"/>
    <col min="13" max="15" width="25.69921875" style="122" customWidth="1"/>
    <col min="16" max="16384" width="8.3984375" style="122"/>
  </cols>
  <sheetData>
    <row r="1" spans="1:15" x14ac:dyDescent="0.25">
      <c r="A1" s="122" t="s">
        <v>388</v>
      </c>
    </row>
    <row r="2" spans="1:15" x14ac:dyDescent="0.25">
      <c r="A2" s="123" t="s">
        <v>389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5" s="124" customFormat="1" x14ac:dyDescent="0.25">
      <c r="B3" s="125" t="s">
        <v>390</v>
      </c>
      <c r="C3" s="125" t="s">
        <v>339</v>
      </c>
      <c r="D3" s="125" t="s">
        <v>340</v>
      </c>
      <c r="E3" s="125" t="s">
        <v>341</v>
      </c>
      <c r="F3" s="125" t="s">
        <v>342</v>
      </c>
      <c r="G3" s="126" t="s">
        <v>391</v>
      </c>
      <c r="H3" s="126" t="s">
        <v>344</v>
      </c>
      <c r="I3" s="127" t="s">
        <v>345</v>
      </c>
      <c r="J3" s="127" t="s">
        <v>346</v>
      </c>
      <c r="K3" s="127" t="s">
        <v>347</v>
      </c>
      <c r="L3" s="127" t="s">
        <v>348</v>
      </c>
      <c r="M3" s="126" t="s">
        <v>349</v>
      </c>
      <c r="N3" s="126" t="s">
        <v>350</v>
      </c>
      <c r="O3" s="125" t="s">
        <v>351</v>
      </c>
    </row>
    <row r="4" spans="1:15" s="128" customFormat="1" x14ac:dyDescent="0.25">
      <c r="A4" s="128" t="s">
        <v>370</v>
      </c>
      <c r="B4" s="129" t="s">
        <v>392</v>
      </c>
      <c r="C4" s="129" t="s">
        <v>356</v>
      </c>
      <c r="D4" s="129" t="s">
        <v>357</v>
      </c>
      <c r="E4" s="129" t="s">
        <v>358</v>
      </c>
      <c r="F4" s="129" t="s">
        <v>359</v>
      </c>
      <c r="G4" s="129" t="s">
        <v>393</v>
      </c>
      <c r="H4" s="129" t="s">
        <v>361</v>
      </c>
      <c r="I4" s="129" t="s">
        <v>362</v>
      </c>
      <c r="J4" s="129" t="s">
        <v>363</v>
      </c>
      <c r="K4" s="129" t="s">
        <v>364</v>
      </c>
      <c r="L4" s="129" t="s">
        <v>365</v>
      </c>
      <c r="M4" s="129" t="s">
        <v>366</v>
      </c>
      <c r="N4" s="129" t="s">
        <v>367</v>
      </c>
      <c r="O4" s="129" t="s">
        <v>368</v>
      </c>
    </row>
    <row r="5" spans="1:15" x14ac:dyDescent="0.25">
      <c r="B5" s="122" t="s">
        <v>190</v>
      </c>
      <c r="C5" s="122" t="s">
        <v>394</v>
      </c>
      <c r="D5" s="122" t="s">
        <v>395</v>
      </c>
      <c r="E5" s="122" t="s">
        <v>396</v>
      </c>
      <c r="F5" s="122" t="s">
        <v>397</v>
      </c>
      <c r="G5" s="122" t="s">
        <v>398</v>
      </c>
      <c r="H5" s="122" t="s">
        <v>399</v>
      </c>
      <c r="I5" s="122" t="s">
        <v>400</v>
      </c>
      <c r="J5" s="122" t="s">
        <v>401</v>
      </c>
      <c r="K5" s="122" t="s">
        <v>402</v>
      </c>
      <c r="L5" s="122" t="s">
        <v>403</v>
      </c>
      <c r="M5" s="122" t="s">
        <v>404</v>
      </c>
      <c r="N5" s="122" t="s">
        <v>405</v>
      </c>
      <c r="O5" s="122" t="s">
        <v>406</v>
      </c>
    </row>
    <row r="6" spans="1:15" x14ac:dyDescent="0.25">
      <c r="B6" s="122" t="s">
        <v>189</v>
      </c>
      <c r="C6" s="122" t="s">
        <v>407</v>
      </c>
      <c r="D6" s="122" t="s">
        <v>408</v>
      </c>
      <c r="E6" s="122" t="s">
        <v>409</v>
      </c>
      <c r="F6" s="122" t="s">
        <v>410</v>
      </c>
      <c r="G6" s="122" t="s">
        <v>411</v>
      </c>
      <c r="H6" s="122" t="s">
        <v>412</v>
      </c>
      <c r="I6" s="122" t="s">
        <v>413</v>
      </c>
      <c r="J6" s="122" t="s">
        <v>414</v>
      </c>
      <c r="K6" s="122" t="s">
        <v>415</v>
      </c>
      <c r="L6" s="122" t="s">
        <v>416</v>
      </c>
      <c r="M6" s="122" t="s">
        <v>417</v>
      </c>
      <c r="N6" s="122" t="s">
        <v>418</v>
      </c>
      <c r="O6" s="122" t="s">
        <v>419</v>
      </c>
    </row>
    <row r="7" spans="1:15" x14ac:dyDescent="0.25">
      <c r="B7" s="122" t="s">
        <v>188</v>
      </c>
      <c r="C7" s="122" t="s">
        <v>420</v>
      </c>
      <c r="D7" s="122" t="s">
        <v>421</v>
      </c>
      <c r="E7" s="122" t="s">
        <v>422</v>
      </c>
      <c r="F7" s="122" t="s">
        <v>423</v>
      </c>
      <c r="G7" s="122" t="s">
        <v>424</v>
      </c>
      <c r="H7" s="122" t="s">
        <v>425</v>
      </c>
      <c r="I7" s="122" t="s">
        <v>426</v>
      </c>
      <c r="J7" s="122" t="s">
        <v>427</v>
      </c>
      <c r="K7" s="122" t="s">
        <v>428</v>
      </c>
      <c r="L7" s="122" t="s">
        <v>429</v>
      </c>
      <c r="M7" s="122" t="s">
        <v>430</v>
      </c>
      <c r="N7" s="122" t="s">
        <v>431</v>
      </c>
      <c r="O7" s="122" t="s">
        <v>432</v>
      </c>
    </row>
    <row r="8" spans="1:15" x14ac:dyDescent="0.25">
      <c r="B8" s="122" t="s">
        <v>280</v>
      </c>
      <c r="C8" s="123" t="s">
        <v>433</v>
      </c>
      <c r="D8" s="123" t="s">
        <v>434</v>
      </c>
      <c r="E8" s="123" t="s">
        <v>435</v>
      </c>
      <c r="F8" s="123" t="s">
        <v>436</v>
      </c>
      <c r="G8" s="123" t="s">
        <v>437</v>
      </c>
      <c r="H8" s="123" t="s">
        <v>438</v>
      </c>
      <c r="I8" s="123" t="s">
        <v>439</v>
      </c>
      <c r="J8" s="123" t="s">
        <v>440</v>
      </c>
      <c r="K8" s="123" t="s">
        <v>441</v>
      </c>
      <c r="L8" s="123" t="s">
        <v>442</v>
      </c>
      <c r="M8" s="123" t="s">
        <v>443</v>
      </c>
      <c r="N8" s="122" t="s">
        <v>444</v>
      </c>
      <c r="O8" s="122" t="s">
        <v>445</v>
      </c>
    </row>
    <row r="9" spans="1:15" x14ac:dyDescent="0.25">
      <c r="B9" s="122" t="s">
        <v>186</v>
      </c>
      <c r="C9" s="122" t="s">
        <v>446</v>
      </c>
      <c r="D9" s="122" t="s">
        <v>447</v>
      </c>
      <c r="E9" s="122" t="s">
        <v>448</v>
      </c>
      <c r="F9" s="122" t="s">
        <v>449</v>
      </c>
      <c r="G9" s="122" t="s">
        <v>450</v>
      </c>
      <c r="H9" s="122" t="s">
        <v>451</v>
      </c>
      <c r="I9" s="122" t="s">
        <v>452</v>
      </c>
      <c r="J9" s="122" t="s">
        <v>453</v>
      </c>
      <c r="K9" s="122" t="s">
        <v>454</v>
      </c>
      <c r="L9" s="122" t="s">
        <v>455</v>
      </c>
      <c r="M9" s="122" t="s">
        <v>456</v>
      </c>
      <c r="N9" s="122" t="s">
        <v>457</v>
      </c>
      <c r="O9" s="122" t="s">
        <v>458</v>
      </c>
    </row>
    <row r="10" spans="1:15" x14ac:dyDescent="0.25">
      <c r="B10" s="122" t="s">
        <v>172</v>
      </c>
      <c r="C10" s="122" t="s">
        <v>459</v>
      </c>
      <c r="D10" s="122" t="s">
        <v>460</v>
      </c>
      <c r="E10" s="122" t="s">
        <v>461</v>
      </c>
      <c r="F10" s="122" t="s">
        <v>462</v>
      </c>
      <c r="G10" s="122" t="s">
        <v>463</v>
      </c>
      <c r="H10" s="122" t="s">
        <v>464</v>
      </c>
      <c r="I10" s="122" t="s">
        <v>465</v>
      </c>
      <c r="J10" s="122" t="s">
        <v>466</v>
      </c>
      <c r="K10" s="122" t="s">
        <v>467</v>
      </c>
      <c r="L10" s="122" t="s">
        <v>468</v>
      </c>
      <c r="M10" s="122" t="s">
        <v>469</v>
      </c>
      <c r="N10" s="122" t="s">
        <v>470</v>
      </c>
      <c r="O10" s="122" t="s">
        <v>471</v>
      </c>
    </row>
    <row r="11" spans="1:15" x14ac:dyDescent="0.25">
      <c r="B11" s="122" t="s">
        <v>185</v>
      </c>
      <c r="C11" s="122" t="s">
        <v>472</v>
      </c>
      <c r="D11" s="122" t="s">
        <v>473</v>
      </c>
      <c r="E11" s="122" t="s">
        <v>474</v>
      </c>
      <c r="F11" s="122" t="s">
        <v>475</v>
      </c>
      <c r="G11" s="122" t="s">
        <v>476</v>
      </c>
      <c r="H11" s="122" t="s">
        <v>477</v>
      </c>
      <c r="I11" s="122" t="s">
        <v>478</v>
      </c>
      <c r="J11" s="122" t="s">
        <v>479</v>
      </c>
      <c r="K11" s="122" t="s">
        <v>480</v>
      </c>
      <c r="L11" s="122" t="s">
        <v>481</v>
      </c>
      <c r="M11" s="122" t="s">
        <v>482</v>
      </c>
      <c r="N11" s="122" t="s">
        <v>483</v>
      </c>
      <c r="O11" s="122" t="s">
        <v>484</v>
      </c>
    </row>
    <row r="12" spans="1:15" x14ac:dyDescent="0.25">
      <c r="B12" s="122" t="s">
        <v>183</v>
      </c>
      <c r="C12" s="123" t="s">
        <v>485</v>
      </c>
      <c r="D12" s="123" t="s">
        <v>486</v>
      </c>
      <c r="E12" s="123" t="s">
        <v>487</v>
      </c>
      <c r="F12" s="123" t="s">
        <v>488</v>
      </c>
      <c r="G12" s="123" t="s">
        <v>489</v>
      </c>
      <c r="H12" s="123" t="s">
        <v>490</v>
      </c>
      <c r="I12" s="123" t="s">
        <v>491</v>
      </c>
      <c r="J12" s="123" t="s">
        <v>492</v>
      </c>
      <c r="K12" s="123" t="s">
        <v>493</v>
      </c>
      <c r="L12" s="123" t="s">
        <v>494</v>
      </c>
      <c r="M12" s="122" t="s">
        <v>495</v>
      </c>
      <c r="N12" s="122" t="s">
        <v>496</v>
      </c>
      <c r="O12" s="122" t="s">
        <v>497</v>
      </c>
    </row>
    <row r="13" spans="1:15" x14ac:dyDescent="0.25">
      <c r="B13" s="122" t="s">
        <v>184</v>
      </c>
      <c r="C13" s="123" t="s">
        <v>498</v>
      </c>
      <c r="D13" s="123" t="s">
        <v>499</v>
      </c>
      <c r="E13" s="123" t="s">
        <v>500</v>
      </c>
      <c r="F13" s="123" t="s">
        <v>501</v>
      </c>
      <c r="G13" s="123" t="s">
        <v>502</v>
      </c>
      <c r="H13" s="123" t="s">
        <v>503</v>
      </c>
      <c r="I13" s="123" t="s">
        <v>504</v>
      </c>
      <c r="J13" s="123" t="s">
        <v>505</v>
      </c>
      <c r="K13" s="123" t="s">
        <v>506</v>
      </c>
      <c r="L13" s="123" t="s">
        <v>507</v>
      </c>
      <c r="M13" s="122" t="s">
        <v>508</v>
      </c>
      <c r="N13" s="122" t="s">
        <v>509</v>
      </c>
      <c r="O13" s="122" t="s">
        <v>510</v>
      </c>
    </row>
    <row r="14" spans="1:15" x14ac:dyDescent="0.25">
      <c r="B14" s="122" t="s">
        <v>182</v>
      </c>
      <c r="C14" s="122" t="s">
        <v>511</v>
      </c>
      <c r="D14" s="122" t="s">
        <v>512</v>
      </c>
      <c r="E14" s="122" t="s">
        <v>513</v>
      </c>
      <c r="F14" s="122" t="s">
        <v>514</v>
      </c>
      <c r="G14" s="122" t="s">
        <v>515</v>
      </c>
      <c r="H14" s="122" t="s">
        <v>516</v>
      </c>
      <c r="I14" s="122" t="s">
        <v>517</v>
      </c>
      <c r="J14" s="122" t="s">
        <v>518</v>
      </c>
      <c r="K14" s="122" t="s">
        <v>519</v>
      </c>
      <c r="L14" s="122" t="s">
        <v>520</v>
      </c>
      <c r="M14" s="122" t="s">
        <v>521</v>
      </c>
      <c r="N14" s="122" t="s">
        <v>522</v>
      </c>
      <c r="O14" s="122" t="s">
        <v>523</v>
      </c>
    </row>
    <row r="15" spans="1:15" x14ac:dyDescent="0.25">
      <c r="B15" s="122" t="s">
        <v>181</v>
      </c>
      <c r="C15" s="122" t="s">
        <v>524</v>
      </c>
      <c r="D15" s="122" t="s">
        <v>525</v>
      </c>
      <c r="E15" s="122" t="s">
        <v>526</v>
      </c>
      <c r="F15" s="122" t="s">
        <v>527</v>
      </c>
      <c r="G15" s="122" t="s">
        <v>528</v>
      </c>
      <c r="H15" s="122" t="s">
        <v>529</v>
      </c>
      <c r="I15" s="122" t="s">
        <v>530</v>
      </c>
      <c r="J15" s="122" t="s">
        <v>531</v>
      </c>
      <c r="K15" s="122" t="s">
        <v>532</v>
      </c>
      <c r="L15" s="122" t="s">
        <v>533</v>
      </c>
      <c r="M15" s="122" t="s">
        <v>534</v>
      </c>
      <c r="N15" s="122" t="s">
        <v>535</v>
      </c>
      <c r="O15" s="122" t="s">
        <v>536</v>
      </c>
    </row>
    <row r="16" spans="1:15" x14ac:dyDescent="0.25">
      <c r="B16" s="122" t="s">
        <v>180</v>
      </c>
      <c r="C16" s="122" t="s">
        <v>537</v>
      </c>
      <c r="D16" s="122" t="s">
        <v>538</v>
      </c>
      <c r="E16" s="122" t="s">
        <v>539</v>
      </c>
      <c r="F16" s="122" t="s">
        <v>540</v>
      </c>
      <c r="G16" s="122" t="s">
        <v>541</v>
      </c>
      <c r="H16" s="122" t="s">
        <v>542</v>
      </c>
      <c r="I16" s="122" t="s">
        <v>543</v>
      </c>
      <c r="J16" s="122" t="s">
        <v>544</v>
      </c>
      <c r="K16" s="122" t="s">
        <v>545</v>
      </c>
      <c r="L16" s="122" t="s">
        <v>546</v>
      </c>
      <c r="M16" s="122" t="s">
        <v>547</v>
      </c>
      <c r="N16" s="122" t="s">
        <v>548</v>
      </c>
      <c r="O16" s="122" t="s">
        <v>549</v>
      </c>
    </row>
    <row r="17" spans="1:15" x14ac:dyDescent="0.25">
      <c r="B17" s="122" t="s">
        <v>176</v>
      </c>
      <c r="C17" s="122" t="s">
        <v>550</v>
      </c>
      <c r="D17" s="122" t="s">
        <v>551</v>
      </c>
      <c r="E17" s="122" t="s">
        <v>552</v>
      </c>
      <c r="F17" s="122" t="s">
        <v>553</v>
      </c>
      <c r="G17" s="122" t="s">
        <v>554</v>
      </c>
      <c r="H17" s="122" t="s">
        <v>555</v>
      </c>
      <c r="I17" s="122" t="s">
        <v>556</v>
      </c>
      <c r="J17" s="122" t="s">
        <v>557</v>
      </c>
      <c r="K17" s="122" t="s">
        <v>558</v>
      </c>
      <c r="L17" s="122" t="s">
        <v>559</v>
      </c>
      <c r="M17" s="122" t="s">
        <v>560</v>
      </c>
      <c r="N17" s="122" t="s">
        <v>561</v>
      </c>
      <c r="O17" s="122" t="s">
        <v>562</v>
      </c>
    </row>
    <row r="18" spans="1:15" x14ac:dyDescent="0.25">
      <c r="A18" s="122" t="s">
        <v>369</v>
      </c>
      <c r="B18" s="123"/>
    </row>
    <row r="19" spans="1:15" x14ac:dyDescent="0.25">
      <c r="B19" s="123"/>
    </row>
    <row r="20" spans="1:15" x14ac:dyDescent="0.25">
      <c r="B20" s="125"/>
    </row>
    <row r="21" spans="1:15" x14ac:dyDescent="0.25">
      <c r="B21" s="129"/>
    </row>
    <row r="22" spans="1:15" x14ac:dyDescent="0.25"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</row>
    <row r="23" spans="1:15" x14ac:dyDescent="0.25"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</row>
    <row r="24" spans="1:15" x14ac:dyDescent="0.25"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</row>
    <row r="25" spans="1:15" x14ac:dyDescent="0.25"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</row>
    <row r="26" spans="1:15" x14ac:dyDescent="0.25"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</row>
    <row r="27" spans="1:15" x14ac:dyDescent="0.25"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</row>
    <row r="28" spans="1:15" x14ac:dyDescent="0.25"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</row>
    <row r="29" spans="1:15" x14ac:dyDescent="0.25">
      <c r="B29" s="123"/>
    </row>
    <row r="30" spans="1:15" x14ac:dyDescent="0.25">
      <c r="B30" s="123"/>
    </row>
    <row r="31" spans="1:15" x14ac:dyDescent="0.25">
      <c r="B31" s="123"/>
    </row>
    <row r="32" spans="1:15" x14ac:dyDescent="0.25">
      <c r="B32" s="123"/>
    </row>
    <row r="33" spans="2:2" x14ac:dyDescent="0.25">
      <c r="B33" s="123"/>
    </row>
    <row r="34" spans="2:2" x14ac:dyDescent="0.25">
      <c r="B34" s="123"/>
    </row>
    <row r="35" spans="2:2" x14ac:dyDescent="0.25">
      <c r="B35" s="123"/>
    </row>
    <row r="36" spans="2:2" x14ac:dyDescent="0.25">
      <c r="B36" s="123"/>
    </row>
    <row r="37" spans="2:2" x14ac:dyDescent="0.25">
      <c r="B37" s="123"/>
    </row>
    <row r="38" spans="2:2" x14ac:dyDescent="0.25">
      <c r="B38" s="123"/>
    </row>
    <row r="39" spans="2:2" x14ac:dyDescent="0.25">
      <c r="B39" s="123"/>
    </row>
    <row r="40" spans="2:2" x14ac:dyDescent="0.25">
      <c r="B40" s="123"/>
    </row>
    <row r="41" spans="2:2" x14ac:dyDescent="0.25">
      <c r="B41" s="123"/>
    </row>
    <row r="42" spans="2:2" x14ac:dyDescent="0.25">
      <c r="B42" s="123"/>
    </row>
    <row r="43" spans="2:2" x14ac:dyDescent="0.25">
      <c r="B43" s="123"/>
    </row>
    <row r="44" spans="2:2" x14ac:dyDescent="0.25">
      <c r="B44" s="123"/>
    </row>
    <row r="45" spans="2:2" x14ac:dyDescent="0.25">
      <c r="B45" s="1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6F313B7E2BA43A8431012DAC4086F" ma:contentTypeVersion="7" ma:contentTypeDescription="Create a new document." ma:contentTypeScope="" ma:versionID="39cad56823d66046fa6030d5e9290903">
  <xsd:schema xmlns:xsd="http://www.w3.org/2001/XMLSchema" xmlns:xs="http://www.w3.org/2001/XMLSchema" xmlns:p="http://schemas.microsoft.com/office/2006/metadata/properties" xmlns:ns2="fb2cd5b8-3f55-490d-9309-97b17ec74536" targetNamespace="http://schemas.microsoft.com/office/2006/metadata/properties" ma:root="true" ma:fieldsID="83c55ad3b8e854ad230eec11f6cf0c61" ns2:_="">
    <xsd:import namespace="fb2cd5b8-3f55-490d-9309-97b17ec74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cd5b8-3f55-490d-9309-97b17ec745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848C3D-F5E7-438F-AA89-AD9E9F1AAF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B3D17E-1458-4430-9D76-3CA39A9C0E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7BC8DB-2485-4061-9293-FF71CEAFF8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2cd5b8-3f55-490d-9309-97b17ec74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HPWH Pre-Simulation Sizing</vt:lpstr>
      <vt:lpstr>DHW EUI Tool</vt:lpstr>
      <vt:lpstr>Schedules</vt:lpstr>
      <vt:lpstr>Complete Building Method</vt:lpstr>
      <vt:lpstr>Area Category Method</vt:lpstr>
      <vt:lpstr>For CSV Generation</vt:lpstr>
      <vt:lpstr>FuncSchGrp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Neil Bulger</cp:lastModifiedBy>
  <dcterms:created xsi:type="dcterms:W3CDTF">2025-09-24T20:23:06Z</dcterms:created>
  <dcterms:modified xsi:type="dcterms:W3CDTF">2025-10-22T15:16:09Z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0x0101002FC6F313B7E2BA43A8431012DAC4086F</vt:lpwstr>
  </property>
</Properties>
</file>