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4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5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6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7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6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7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8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19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0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1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2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Ex8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harts/chartEx9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charts/chartEx10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charts/chartEx11.xml" ContentType="application/vnd.ms-office.chartex+xml"/>
  <Override PartName="/xl/charts/style33.xml" ContentType="application/vnd.ms-office.chartstyle+xml"/>
  <Override PartName="/xl/charts/colors33.xml" ContentType="application/vnd.ms-office.chartcolorstyle+xml"/>
  <Override PartName="/xl/drawings/drawing4.xml" ContentType="application/vnd.openxmlformats-officedocument.drawing+xml"/>
  <Override PartName="/xl/charts/chart23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24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5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26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27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28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29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30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/>
  <mc:AlternateContent xmlns:mc="http://schemas.openxmlformats.org/markup-compatibility/2006">
    <mc:Choice Requires="x15">
      <x15ac:absPath xmlns:x15ac="http://schemas.microsoft.com/office/spreadsheetml/2010/11/ac" url="/Users/adavies/Gardners/DocCentral/Analysis/08 Reporting/01 Daily Reports/05 FY 22/01 JAN'22/"/>
    </mc:Choice>
  </mc:AlternateContent>
  <xr:revisionPtr revIDLastSave="0" documentId="13_ncr:1_{679CB60E-2DC8-5248-9B60-713BB0162235}" xr6:coauthVersionLast="47" xr6:coauthVersionMax="47" xr10:uidLastSave="{00000000-0000-0000-0000-000000000000}"/>
  <bookViews>
    <workbookView xWindow="0" yWindow="500" windowWidth="28800" windowHeight="16420" activeTab="4" xr2:uid="{00000000-000D-0000-FFFF-FFFF00000000}"/>
  </bookViews>
  <sheets>
    <sheet name="Factory Log" sheetId="1" r:id="rId1"/>
    <sheet name="Milestones" sheetId="10" state="hidden" r:id="rId2"/>
    <sheet name="Performance" sheetId="15" state="hidden" r:id="rId3"/>
    <sheet name="Material Issued" sheetId="11" state="hidden" r:id="rId4"/>
    <sheet name="Summary" sheetId="9" r:id="rId5"/>
    <sheet name="Hybrid" sheetId="7" r:id="rId6"/>
    <sheet name="WideFormat" sheetId="13" r:id="rId7"/>
    <sheet name="Bureau" sheetId="18" r:id="rId8"/>
    <sheet name="Finishing" sheetId="19" r:id="rId9"/>
  </sheets>
  <definedNames>
    <definedName name="_xlnm._FilterDatabase" localSheetId="0" hidden="1">'Factory Log'!$A$1:$T$121</definedName>
    <definedName name="_xlnm._FilterDatabase" localSheetId="3" hidden="1">'Material Issued'!$A$2:$N$614</definedName>
    <definedName name="_xlnm._FilterDatabase" localSheetId="1" hidden="1">Milestones!$A$1:$AA$171</definedName>
    <definedName name="_xlnm._FilterDatabase" localSheetId="2" hidden="1">Performance!$A$3:$FH$44</definedName>
    <definedName name="_xlchart.v1.0" hidden="1">Hybrid!$B$51:$B$56</definedName>
    <definedName name="_xlchart.v1.1" hidden="1">Hybrid!$C$51:$C$56</definedName>
    <definedName name="_xlchart.v1.10" hidden="1">WideFormat!$B$21:$B$26</definedName>
    <definedName name="_xlchart.v1.11" hidden="1">WideFormat!$C$21:$C$26</definedName>
    <definedName name="_xlchart.v1.12" hidden="1">WideFormat!$B$84:$B$89</definedName>
    <definedName name="_xlchart.v1.13" hidden="1">WideFormat!$C$84:$C$89</definedName>
    <definedName name="_xlchart.v1.14" hidden="1">Bureau!$B$20:$B$22</definedName>
    <definedName name="_xlchart.v1.15" hidden="1">Bureau!$C$20:$C$22</definedName>
    <definedName name="_xlchart.v1.16" hidden="1">Bureau!$B$83:$B$89</definedName>
    <definedName name="_xlchart.v1.17" hidden="1">Bureau!$C$83:$C$89</definedName>
    <definedName name="_xlchart.v1.18" hidden="1">Bureau!$B$114:$B$120</definedName>
    <definedName name="_xlchart.v1.19" hidden="1">Bureau!$C$114:$C$120</definedName>
    <definedName name="_xlchart.v1.2" hidden="1">Hybrid!$B$82:$B$85</definedName>
    <definedName name="_xlchart.v1.20" hidden="1">Bureau!$B$51:$B$56</definedName>
    <definedName name="_xlchart.v1.21" hidden="1">Bureau!$C$51:$C$56</definedName>
    <definedName name="_xlchart.v1.3" hidden="1">Hybrid!$C$82:$C$85</definedName>
    <definedName name="_xlchart.v1.4" hidden="1">Hybrid!$B$20:$B$25</definedName>
    <definedName name="_xlchart.v1.5" hidden="1">Hybrid!$C$20:$C$25</definedName>
    <definedName name="_xlchart.v1.6" hidden="1">WideFormat!$B$52:$B$57</definedName>
    <definedName name="_xlchart.v1.7" hidden="1">WideFormat!$C$52:$C$57</definedName>
    <definedName name="_xlchart.v1.8" hidden="1">WideFormat!$B$116:$B$121</definedName>
    <definedName name="_xlchart.v1.9" hidden="1">WideFormat!$C$116:$C$121</definedName>
    <definedName name="_xlnm.Print_Area" localSheetId="7">Bureau!$A$1:$N$123</definedName>
    <definedName name="_xlnm.Print_Area" localSheetId="8">Finishing!$A$1:$N$125</definedName>
    <definedName name="_xlnm.Print_Area" localSheetId="5">Hybrid!$A$1:$N$93</definedName>
    <definedName name="_xlnm.Print_Area" localSheetId="6">WideFormat!$A$1:$N$126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9" l="1"/>
  <c r="J27" i="9" s="1"/>
  <c r="L18" i="9"/>
  <c r="J18" i="9" s="1"/>
  <c r="L17" i="9"/>
  <c r="J17" i="9" s="1"/>
  <c r="E34" i="1"/>
  <c r="M56" i="1"/>
  <c r="A92" i="1"/>
  <c r="B92" i="1"/>
  <c r="C92" i="1"/>
  <c r="E92" i="1"/>
  <c r="F92" i="1"/>
  <c r="D92" i="1" s="1"/>
  <c r="A93" i="1"/>
  <c r="B93" i="1"/>
  <c r="C93" i="1"/>
  <c r="E93" i="1"/>
  <c r="F93" i="1"/>
  <c r="D93" i="1" s="1"/>
  <c r="A94" i="1"/>
  <c r="B94" i="1"/>
  <c r="C94" i="1"/>
  <c r="E94" i="1"/>
  <c r="F94" i="1"/>
  <c r="D94" i="1" s="1"/>
  <c r="A95" i="1"/>
  <c r="B95" i="1"/>
  <c r="C95" i="1"/>
  <c r="D95" i="1"/>
  <c r="E95" i="1"/>
  <c r="F95" i="1"/>
  <c r="A96" i="1"/>
  <c r="B96" i="1"/>
  <c r="C96" i="1"/>
  <c r="E96" i="1"/>
  <c r="F96" i="1"/>
  <c r="D96" i="1" s="1"/>
  <c r="A97" i="1"/>
  <c r="B97" i="1"/>
  <c r="C97" i="1"/>
  <c r="D97" i="1"/>
  <c r="E97" i="1"/>
  <c r="F97" i="1"/>
  <c r="A98" i="1"/>
  <c r="B98" i="1"/>
  <c r="C98" i="1"/>
  <c r="E98" i="1"/>
  <c r="F98" i="1"/>
  <c r="D98" i="1" s="1"/>
  <c r="A99" i="1"/>
  <c r="B99" i="1"/>
  <c r="C99" i="1"/>
  <c r="E99" i="1"/>
  <c r="F99" i="1"/>
  <c r="D99" i="1" s="1"/>
  <c r="A100" i="1"/>
  <c r="B100" i="1"/>
  <c r="C100" i="1"/>
  <c r="E100" i="1"/>
  <c r="F100" i="1"/>
  <c r="D100" i="1" s="1"/>
  <c r="A101" i="1"/>
  <c r="B101" i="1"/>
  <c r="C101" i="1"/>
  <c r="E101" i="1"/>
  <c r="F101" i="1"/>
  <c r="D101" i="1" s="1"/>
  <c r="A102" i="1"/>
  <c r="B102" i="1"/>
  <c r="C102" i="1"/>
  <c r="E102" i="1"/>
  <c r="F102" i="1"/>
  <c r="D102" i="1" s="1"/>
  <c r="A103" i="1"/>
  <c r="B103" i="1"/>
  <c r="C103" i="1"/>
  <c r="D103" i="1"/>
  <c r="E103" i="1"/>
  <c r="F103" i="1"/>
  <c r="A104" i="1"/>
  <c r="B104" i="1"/>
  <c r="C104" i="1"/>
  <c r="E104" i="1"/>
  <c r="F104" i="1"/>
  <c r="D104" i="1" s="1"/>
  <c r="A105" i="1"/>
  <c r="B105" i="1"/>
  <c r="C105" i="1"/>
  <c r="D105" i="1"/>
  <c r="E105" i="1"/>
  <c r="F105" i="1"/>
  <c r="A106" i="1"/>
  <c r="B106" i="1"/>
  <c r="C106" i="1"/>
  <c r="E106" i="1"/>
  <c r="F106" i="1"/>
  <c r="D106" i="1" s="1"/>
  <c r="A107" i="1"/>
  <c r="B107" i="1"/>
  <c r="C107" i="1"/>
  <c r="E107" i="1"/>
  <c r="F107" i="1"/>
  <c r="D107" i="1" s="1"/>
  <c r="A108" i="1"/>
  <c r="B108" i="1"/>
  <c r="C108" i="1"/>
  <c r="E108" i="1"/>
  <c r="F108" i="1"/>
  <c r="D108" i="1" s="1"/>
  <c r="A109" i="1"/>
  <c r="B109" i="1"/>
  <c r="C109" i="1"/>
  <c r="E109" i="1"/>
  <c r="F109" i="1"/>
  <c r="D109" i="1" s="1"/>
  <c r="A110" i="1"/>
  <c r="B110" i="1"/>
  <c r="C110" i="1"/>
  <c r="E110" i="1"/>
  <c r="F110" i="1"/>
  <c r="D110" i="1" s="1"/>
  <c r="A111" i="1"/>
  <c r="B111" i="1"/>
  <c r="C111" i="1"/>
  <c r="D111" i="1"/>
  <c r="E111" i="1"/>
  <c r="F111" i="1"/>
  <c r="A112" i="1"/>
  <c r="B112" i="1"/>
  <c r="C112" i="1"/>
  <c r="E112" i="1"/>
  <c r="F112" i="1"/>
  <c r="D112" i="1" s="1"/>
  <c r="A113" i="1"/>
  <c r="B113" i="1"/>
  <c r="C113" i="1"/>
  <c r="D113" i="1"/>
  <c r="E113" i="1"/>
  <c r="F113" i="1"/>
  <c r="A114" i="1"/>
  <c r="B114" i="1"/>
  <c r="C114" i="1"/>
  <c r="E114" i="1"/>
  <c r="F114" i="1"/>
  <c r="D114" i="1" s="1"/>
  <c r="A115" i="1"/>
  <c r="B115" i="1"/>
  <c r="C115" i="1"/>
  <c r="E115" i="1"/>
  <c r="F115" i="1"/>
  <c r="D115" i="1" s="1"/>
  <c r="A116" i="1"/>
  <c r="B116" i="1"/>
  <c r="C116" i="1"/>
  <c r="E116" i="1"/>
  <c r="F116" i="1"/>
  <c r="D116" i="1" s="1"/>
  <c r="A117" i="1"/>
  <c r="B117" i="1"/>
  <c r="C117" i="1"/>
  <c r="E117" i="1"/>
  <c r="F117" i="1"/>
  <c r="D117" i="1" s="1"/>
  <c r="A118" i="1"/>
  <c r="B118" i="1"/>
  <c r="C118" i="1"/>
  <c r="E118" i="1"/>
  <c r="F118" i="1"/>
  <c r="D118" i="1" s="1"/>
  <c r="A119" i="1"/>
  <c r="B119" i="1"/>
  <c r="C119" i="1"/>
  <c r="D119" i="1"/>
  <c r="E119" i="1"/>
  <c r="F119" i="1"/>
  <c r="A120" i="1"/>
  <c r="B120" i="1"/>
  <c r="C120" i="1"/>
  <c r="E120" i="1"/>
  <c r="F120" i="1"/>
  <c r="D120" i="1" s="1"/>
  <c r="A121" i="1"/>
  <c r="B121" i="1"/>
  <c r="C121" i="1"/>
  <c r="D121" i="1"/>
  <c r="E121" i="1"/>
  <c r="F121" i="1"/>
  <c r="A80" i="1"/>
  <c r="B80" i="1"/>
  <c r="C80" i="1"/>
  <c r="E80" i="1"/>
  <c r="F80" i="1"/>
  <c r="D80" i="1" s="1"/>
  <c r="A81" i="1"/>
  <c r="B81" i="1"/>
  <c r="C81" i="1"/>
  <c r="E81" i="1"/>
  <c r="F81" i="1"/>
  <c r="D81" i="1" s="1"/>
  <c r="A82" i="1"/>
  <c r="B82" i="1"/>
  <c r="C82" i="1"/>
  <c r="E82" i="1"/>
  <c r="F82" i="1"/>
  <c r="D82" i="1" s="1"/>
  <c r="A83" i="1"/>
  <c r="B83" i="1"/>
  <c r="C83" i="1"/>
  <c r="E83" i="1"/>
  <c r="F83" i="1"/>
  <c r="D83" i="1" s="1"/>
  <c r="A84" i="1"/>
  <c r="B84" i="1"/>
  <c r="C84" i="1"/>
  <c r="E84" i="1"/>
  <c r="F84" i="1"/>
  <c r="D84" i="1" s="1"/>
  <c r="A85" i="1"/>
  <c r="B85" i="1"/>
  <c r="C85" i="1"/>
  <c r="D85" i="1"/>
  <c r="E85" i="1"/>
  <c r="F85" i="1"/>
  <c r="A86" i="1"/>
  <c r="B86" i="1"/>
  <c r="C86" i="1"/>
  <c r="E86" i="1"/>
  <c r="F86" i="1"/>
  <c r="D86" i="1" s="1"/>
  <c r="A87" i="1"/>
  <c r="B87" i="1"/>
  <c r="C87" i="1"/>
  <c r="D87" i="1"/>
  <c r="E87" i="1"/>
  <c r="F87" i="1"/>
  <c r="A88" i="1"/>
  <c r="B88" i="1"/>
  <c r="C88" i="1"/>
  <c r="E88" i="1"/>
  <c r="F88" i="1"/>
  <c r="D88" i="1" s="1"/>
  <c r="A89" i="1"/>
  <c r="B89" i="1"/>
  <c r="C89" i="1"/>
  <c r="E89" i="1"/>
  <c r="F89" i="1"/>
  <c r="D89" i="1" s="1"/>
  <c r="A90" i="1"/>
  <c r="B90" i="1"/>
  <c r="C90" i="1"/>
  <c r="E90" i="1"/>
  <c r="F90" i="1"/>
  <c r="D90" i="1" s="1"/>
  <c r="A91" i="1"/>
  <c r="B91" i="1"/>
  <c r="C91" i="1"/>
  <c r="E91" i="1"/>
  <c r="F91" i="1"/>
  <c r="D91" i="1" s="1"/>
  <c r="A79" i="1"/>
  <c r="B79" i="1"/>
  <c r="C79" i="1"/>
  <c r="E79" i="1"/>
  <c r="F79" i="1"/>
  <c r="D79" i="1" s="1"/>
  <c r="A61" i="1"/>
  <c r="B61" i="1"/>
  <c r="C61" i="1"/>
  <c r="D61" i="1"/>
  <c r="E61" i="1"/>
  <c r="F61" i="1"/>
  <c r="A62" i="1"/>
  <c r="B62" i="1"/>
  <c r="C62" i="1"/>
  <c r="E62" i="1"/>
  <c r="F62" i="1"/>
  <c r="D62" i="1" s="1"/>
  <c r="A63" i="1"/>
  <c r="B63" i="1"/>
  <c r="C63" i="1"/>
  <c r="D63" i="1"/>
  <c r="E63" i="1"/>
  <c r="F63" i="1"/>
  <c r="A64" i="1"/>
  <c r="B64" i="1"/>
  <c r="C64" i="1"/>
  <c r="E64" i="1"/>
  <c r="F64" i="1"/>
  <c r="D64" i="1" s="1"/>
  <c r="A65" i="1"/>
  <c r="B65" i="1"/>
  <c r="C65" i="1"/>
  <c r="E65" i="1"/>
  <c r="F65" i="1"/>
  <c r="D65" i="1" s="1"/>
  <c r="A66" i="1"/>
  <c r="B66" i="1"/>
  <c r="C66" i="1"/>
  <c r="E66" i="1"/>
  <c r="F66" i="1"/>
  <c r="D66" i="1" s="1"/>
  <c r="A67" i="1"/>
  <c r="B67" i="1"/>
  <c r="C67" i="1"/>
  <c r="E67" i="1"/>
  <c r="F67" i="1"/>
  <c r="D67" i="1" s="1"/>
  <c r="A68" i="1"/>
  <c r="B68" i="1"/>
  <c r="C68" i="1"/>
  <c r="E68" i="1"/>
  <c r="F68" i="1"/>
  <c r="D68" i="1" s="1"/>
  <c r="A69" i="1"/>
  <c r="B69" i="1"/>
  <c r="C69" i="1"/>
  <c r="D69" i="1"/>
  <c r="E69" i="1"/>
  <c r="F69" i="1"/>
  <c r="A70" i="1"/>
  <c r="B70" i="1"/>
  <c r="C70" i="1"/>
  <c r="E70" i="1"/>
  <c r="F70" i="1"/>
  <c r="D70" i="1" s="1"/>
  <c r="A71" i="1"/>
  <c r="B71" i="1"/>
  <c r="C71" i="1"/>
  <c r="D71" i="1"/>
  <c r="E71" i="1"/>
  <c r="F71" i="1"/>
  <c r="A72" i="1"/>
  <c r="B72" i="1"/>
  <c r="C72" i="1"/>
  <c r="E72" i="1"/>
  <c r="F72" i="1"/>
  <c r="D72" i="1" s="1"/>
  <c r="A73" i="1"/>
  <c r="B73" i="1"/>
  <c r="C73" i="1"/>
  <c r="E73" i="1"/>
  <c r="F73" i="1"/>
  <c r="D73" i="1" s="1"/>
  <c r="A74" i="1"/>
  <c r="B74" i="1"/>
  <c r="C74" i="1"/>
  <c r="E74" i="1"/>
  <c r="F74" i="1"/>
  <c r="D74" i="1" s="1"/>
  <c r="A75" i="1"/>
  <c r="B75" i="1"/>
  <c r="C75" i="1"/>
  <c r="E75" i="1"/>
  <c r="F75" i="1"/>
  <c r="D75" i="1" s="1"/>
  <c r="A76" i="1"/>
  <c r="B76" i="1"/>
  <c r="C76" i="1"/>
  <c r="E76" i="1"/>
  <c r="F76" i="1"/>
  <c r="D76" i="1" s="1"/>
  <c r="A77" i="1"/>
  <c r="B77" i="1"/>
  <c r="C77" i="1"/>
  <c r="D77" i="1"/>
  <c r="E77" i="1"/>
  <c r="F77" i="1"/>
  <c r="A78" i="1"/>
  <c r="B78" i="1"/>
  <c r="C78" i="1"/>
  <c r="E78" i="1"/>
  <c r="F78" i="1"/>
  <c r="D78" i="1" s="1"/>
  <c r="A37" i="1"/>
  <c r="B37" i="1"/>
  <c r="C37" i="1"/>
  <c r="D37" i="1"/>
  <c r="E37" i="1"/>
  <c r="F37" i="1"/>
  <c r="A38" i="1"/>
  <c r="B38" i="1"/>
  <c r="C38" i="1"/>
  <c r="E38" i="1"/>
  <c r="F38" i="1"/>
  <c r="D38" i="1" s="1"/>
  <c r="A39" i="1"/>
  <c r="B39" i="1"/>
  <c r="C39" i="1"/>
  <c r="E39" i="1"/>
  <c r="F39" i="1"/>
  <c r="D39" i="1" s="1"/>
  <c r="A40" i="1"/>
  <c r="B40" i="1"/>
  <c r="C40" i="1"/>
  <c r="E40" i="1"/>
  <c r="F40" i="1"/>
  <c r="D40" i="1" s="1"/>
  <c r="A41" i="1"/>
  <c r="B41" i="1"/>
  <c r="C41" i="1"/>
  <c r="E41" i="1"/>
  <c r="F41" i="1"/>
  <c r="D41" i="1" s="1"/>
  <c r="A42" i="1"/>
  <c r="B42" i="1"/>
  <c r="C42" i="1"/>
  <c r="E42" i="1"/>
  <c r="F42" i="1"/>
  <c r="D42" i="1" s="1"/>
  <c r="A43" i="1"/>
  <c r="B43" i="1"/>
  <c r="C43" i="1"/>
  <c r="D43" i="1"/>
  <c r="E43" i="1"/>
  <c r="F43" i="1"/>
  <c r="A44" i="1"/>
  <c r="B44" i="1"/>
  <c r="C44" i="1"/>
  <c r="E44" i="1"/>
  <c r="F44" i="1"/>
  <c r="D44" i="1" s="1"/>
  <c r="A45" i="1"/>
  <c r="B45" i="1"/>
  <c r="C45" i="1"/>
  <c r="D45" i="1"/>
  <c r="E45" i="1"/>
  <c r="F45" i="1"/>
  <c r="A46" i="1"/>
  <c r="B46" i="1"/>
  <c r="C46" i="1"/>
  <c r="E46" i="1"/>
  <c r="F46" i="1"/>
  <c r="D46" i="1" s="1"/>
  <c r="A47" i="1"/>
  <c r="B47" i="1"/>
  <c r="C47" i="1"/>
  <c r="E47" i="1"/>
  <c r="F47" i="1"/>
  <c r="D47" i="1" s="1"/>
  <c r="A48" i="1"/>
  <c r="B48" i="1"/>
  <c r="C48" i="1"/>
  <c r="E48" i="1"/>
  <c r="F48" i="1"/>
  <c r="D48" i="1" s="1"/>
  <c r="A49" i="1"/>
  <c r="B49" i="1"/>
  <c r="C49" i="1"/>
  <c r="E49" i="1"/>
  <c r="F49" i="1"/>
  <c r="D49" i="1" s="1"/>
  <c r="A50" i="1"/>
  <c r="B50" i="1"/>
  <c r="C50" i="1"/>
  <c r="E50" i="1"/>
  <c r="F50" i="1"/>
  <c r="D50" i="1" s="1"/>
  <c r="A51" i="1"/>
  <c r="B51" i="1"/>
  <c r="C51" i="1"/>
  <c r="D51" i="1"/>
  <c r="E51" i="1"/>
  <c r="F51" i="1"/>
  <c r="A52" i="1"/>
  <c r="B52" i="1"/>
  <c r="C52" i="1"/>
  <c r="E52" i="1"/>
  <c r="F52" i="1"/>
  <c r="D52" i="1" s="1"/>
  <c r="A53" i="1"/>
  <c r="B53" i="1"/>
  <c r="C53" i="1"/>
  <c r="D53" i="1"/>
  <c r="E53" i="1"/>
  <c r="F53" i="1"/>
  <c r="A54" i="1"/>
  <c r="B54" i="1"/>
  <c r="C54" i="1"/>
  <c r="E54" i="1"/>
  <c r="F54" i="1"/>
  <c r="D54" i="1" s="1"/>
  <c r="M54" i="1" s="1"/>
  <c r="A55" i="1"/>
  <c r="B55" i="1"/>
  <c r="C55" i="1"/>
  <c r="E55" i="1"/>
  <c r="F55" i="1"/>
  <c r="D55" i="1" s="1"/>
  <c r="A56" i="1"/>
  <c r="B56" i="1"/>
  <c r="C56" i="1"/>
  <c r="E56" i="1"/>
  <c r="F56" i="1"/>
  <c r="D56" i="1" s="1"/>
  <c r="A57" i="1"/>
  <c r="B57" i="1"/>
  <c r="C57" i="1"/>
  <c r="E57" i="1"/>
  <c r="F57" i="1"/>
  <c r="D57" i="1" s="1"/>
  <c r="A58" i="1"/>
  <c r="B58" i="1"/>
  <c r="C58" i="1"/>
  <c r="E58" i="1"/>
  <c r="F58" i="1"/>
  <c r="D58" i="1" s="1"/>
  <c r="A59" i="1"/>
  <c r="B59" i="1"/>
  <c r="C59" i="1"/>
  <c r="D59" i="1"/>
  <c r="E59" i="1"/>
  <c r="F59" i="1"/>
  <c r="A60" i="1"/>
  <c r="B60" i="1"/>
  <c r="C60" i="1"/>
  <c r="E60" i="1"/>
  <c r="F60" i="1"/>
  <c r="D60" i="1" s="1"/>
  <c r="A27" i="1"/>
  <c r="B27" i="1"/>
  <c r="C27" i="1"/>
  <c r="D27" i="1"/>
  <c r="E27" i="1"/>
  <c r="F27" i="1"/>
  <c r="A28" i="1"/>
  <c r="B28" i="1"/>
  <c r="C28" i="1"/>
  <c r="E28" i="1"/>
  <c r="F28" i="1"/>
  <c r="D28" i="1" s="1"/>
  <c r="A29" i="1"/>
  <c r="B29" i="1"/>
  <c r="C29" i="1"/>
  <c r="E29" i="1"/>
  <c r="F29" i="1"/>
  <c r="D29" i="1" s="1"/>
  <c r="A9" i="1"/>
  <c r="B9" i="1"/>
  <c r="C9" i="1"/>
  <c r="E9" i="1"/>
  <c r="F9" i="1"/>
  <c r="D9" i="1" s="1"/>
  <c r="A10" i="1"/>
  <c r="B10" i="1"/>
  <c r="C10" i="1"/>
  <c r="E10" i="1"/>
  <c r="F10" i="1"/>
  <c r="D10" i="1" s="1"/>
  <c r="A11" i="1"/>
  <c r="B11" i="1"/>
  <c r="C11" i="1"/>
  <c r="E11" i="1"/>
  <c r="F11" i="1"/>
  <c r="D11" i="1" s="1"/>
  <c r="A12" i="1"/>
  <c r="B12" i="1"/>
  <c r="C12" i="1"/>
  <c r="D12" i="1"/>
  <c r="E12" i="1"/>
  <c r="F12" i="1"/>
  <c r="A13" i="1"/>
  <c r="B13" i="1"/>
  <c r="C13" i="1"/>
  <c r="E13" i="1"/>
  <c r="F13" i="1"/>
  <c r="D13" i="1" s="1"/>
  <c r="A14" i="1"/>
  <c r="B14" i="1"/>
  <c r="C14" i="1"/>
  <c r="D14" i="1"/>
  <c r="E14" i="1"/>
  <c r="F14" i="1"/>
  <c r="A15" i="1"/>
  <c r="B15" i="1"/>
  <c r="C15" i="1"/>
  <c r="E15" i="1"/>
  <c r="F15" i="1"/>
  <c r="D15" i="1" s="1"/>
  <c r="A16" i="1"/>
  <c r="B16" i="1"/>
  <c r="C16" i="1"/>
  <c r="E16" i="1"/>
  <c r="F16" i="1"/>
  <c r="D16" i="1" s="1"/>
  <c r="A17" i="1"/>
  <c r="B17" i="1"/>
  <c r="C17" i="1"/>
  <c r="E17" i="1"/>
  <c r="F17" i="1"/>
  <c r="D17" i="1" s="1"/>
  <c r="A18" i="1"/>
  <c r="B18" i="1"/>
  <c r="C18" i="1"/>
  <c r="E18" i="1"/>
  <c r="F18" i="1"/>
  <c r="D18" i="1" s="1"/>
  <c r="A19" i="1"/>
  <c r="B19" i="1"/>
  <c r="C19" i="1"/>
  <c r="E19" i="1"/>
  <c r="F19" i="1"/>
  <c r="D19" i="1" s="1"/>
  <c r="A20" i="1"/>
  <c r="B20" i="1"/>
  <c r="C20" i="1"/>
  <c r="D20" i="1"/>
  <c r="E20" i="1"/>
  <c r="F20" i="1"/>
  <c r="A21" i="1"/>
  <c r="B21" i="1"/>
  <c r="C21" i="1"/>
  <c r="E21" i="1"/>
  <c r="F21" i="1"/>
  <c r="D21" i="1" s="1"/>
  <c r="A22" i="1"/>
  <c r="B22" i="1"/>
  <c r="C22" i="1"/>
  <c r="D22" i="1"/>
  <c r="E22" i="1"/>
  <c r="F22" i="1"/>
  <c r="A23" i="1"/>
  <c r="B23" i="1"/>
  <c r="C23" i="1"/>
  <c r="E23" i="1"/>
  <c r="F23" i="1"/>
  <c r="D23" i="1" s="1"/>
  <c r="A24" i="1"/>
  <c r="B24" i="1"/>
  <c r="C24" i="1"/>
  <c r="E24" i="1"/>
  <c r="F24" i="1"/>
  <c r="D24" i="1" s="1"/>
  <c r="A25" i="1"/>
  <c r="B25" i="1"/>
  <c r="C25" i="1"/>
  <c r="E25" i="1"/>
  <c r="F25" i="1"/>
  <c r="D25" i="1" s="1"/>
  <c r="A26" i="1"/>
  <c r="B26" i="1"/>
  <c r="C26" i="1"/>
  <c r="E26" i="1"/>
  <c r="F26" i="1"/>
  <c r="D26" i="1" s="1"/>
  <c r="A30" i="1"/>
  <c r="B30" i="1"/>
  <c r="C30" i="1"/>
  <c r="E30" i="1"/>
  <c r="F30" i="1"/>
  <c r="D30" i="1" s="1"/>
  <c r="A31" i="1"/>
  <c r="B31" i="1"/>
  <c r="C31" i="1"/>
  <c r="D31" i="1"/>
  <c r="E31" i="1"/>
  <c r="F31" i="1"/>
  <c r="A32" i="1"/>
  <c r="B32" i="1"/>
  <c r="C32" i="1"/>
  <c r="E32" i="1"/>
  <c r="F32" i="1"/>
  <c r="D32" i="1" s="1"/>
  <c r="A33" i="1"/>
  <c r="B33" i="1"/>
  <c r="C33" i="1"/>
  <c r="D33" i="1"/>
  <c r="E33" i="1"/>
  <c r="F33" i="1"/>
  <c r="A34" i="1"/>
  <c r="B34" i="1"/>
  <c r="C34" i="1"/>
  <c r="F34" i="1"/>
  <c r="D34" i="1" s="1"/>
  <c r="A35" i="1"/>
  <c r="B35" i="1"/>
  <c r="C35" i="1"/>
  <c r="E35" i="1"/>
  <c r="F35" i="1"/>
  <c r="D35" i="1" s="1"/>
  <c r="A36" i="1"/>
  <c r="B36" i="1"/>
  <c r="C36" i="1"/>
  <c r="E36" i="1"/>
  <c r="F36" i="1"/>
  <c r="D36" i="1" s="1"/>
  <c r="A2" i="1"/>
  <c r="B2" i="1"/>
  <c r="C2" i="1"/>
  <c r="D2" i="1"/>
  <c r="E2" i="1"/>
  <c r="F2" i="1"/>
  <c r="A3" i="1"/>
  <c r="B3" i="1"/>
  <c r="C3" i="1"/>
  <c r="E3" i="1"/>
  <c r="F3" i="1"/>
  <c r="D3" i="1" s="1"/>
  <c r="A4" i="1"/>
  <c r="B4" i="1"/>
  <c r="C4" i="1"/>
  <c r="D4" i="1"/>
  <c r="E4" i="1"/>
  <c r="F4" i="1"/>
  <c r="A5" i="1"/>
  <c r="B5" i="1"/>
  <c r="C5" i="1"/>
  <c r="E5" i="1"/>
  <c r="F5" i="1"/>
  <c r="D5" i="1" s="1"/>
  <c r="A6" i="1"/>
  <c r="B6" i="1"/>
  <c r="C6" i="1"/>
  <c r="E6" i="1"/>
  <c r="F6" i="1"/>
  <c r="D6" i="1" s="1"/>
  <c r="A7" i="1"/>
  <c r="B7" i="1"/>
  <c r="C7" i="1"/>
  <c r="E7" i="1"/>
  <c r="F7" i="1"/>
  <c r="D7" i="1" s="1"/>
  <c r="E8" i="1"/>
  <c r="A8" i="1"/>
  <c r="B8" i="1"/>
  <c r="C8" i="1"/>
  <c r="F8" i="1"/>
  <c r="D8" i="1" s="1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" i="10"/>
  <c r="Z5" i="10"/>
  <c r="Z6" i="10"/>
  <c r="Z7" i="10"/>
  <c r="Z8" i="10"/>
  <c r="Z9" i="10"/>
  <c r="Z10" i="10"/>
  <c r="Z11" i="10"/>
  <c r="Z12" i="10"/>
  <c r="Z13" i="10"/>
  <c r="Z14" i="10"/>
  <c r="Z15" i="10"/>
  <c r="Z16" i="10"/>
  <c r="Z17" i="10"/>
  <c r="Z18" i="10"/>
  <c r="Z19" i="10"/>
  <c r="L24" i="9" l="1"/>
  <c r="BU33" i="15" a="1"/>
  <c r="BU33" i="15" s="1"/>
  <c r="Z3" i="10"/>
  <c r="Z2" i="10"/>
  <c r="G42" i="15" l="1" a="1"/>
  <c r="G42" i="15" s="1"/>
  <c r="G38" i="15" a="1"/>
  <c r="G38" i="15" s="1"/>
  <c r="G34" i="15" a="1"/>
  <c r="G34" i="15" s="1"/>
  <c r="G29" i="15" a="1"/>
  <c r="G29" i="15" s="1"/>
  <c r="G25" i="15" a="1"/>
  <c r="G25" i="15" s="1"/>
  <c r="G21" i="15" a="1"/>
  <c r="G21" i="15" s="1"/>
  <c r="G17" i="15" a="1"/>
  <c r="G17" i="15" s="1"/>
  <c r="G13" i="15" a="1"/>
  <c r="G13" i="15" s="1"/>
  <c r="G9" i="15" a="1"/>
  <c r="G9" i="15" s="1"/>
  <c r="G5" i="15" a="1"/>
  <c r="G5" i="15" s="1"/>
  <c r="R10" i="15" a="1"/>
  <c r="R10" i="15" s="1"/>
  <c r="R14" i="15" a="1"/>
  <c r="R14" i="15" s="1"/>
  <c r="R18" i="15" a="1"/>
  <c r="R18" i="15" s="1"/>
  <c r="R22" i="15" a="1"/>
  <c r="R22" i="15" s="1"/>
  <c r="R26" i="15" a="1"/>
  <c r="R26" i="15" s="1"/>
  <c r="R30" i="15" a="1"/>
  <c r="R30" i="15" s="1"/>
  <c r="R34" i="15" a="1"/>
  <c r="R34" i="15" s="1"/>
  <c r="R38" i="15" a="1"/>
  <c r="R38" i="15" s="1"/>
  <c r="R42" i="15" a="1"/>
  <c r="R42" i="15" s="1"/>
  <c r="AC9" i="15" a="1"/>
  <c r="AC9" i="15" s="1"/>
  <c r="AC13" i="15" a="1"/>
  <c r="AC13" i="15" s="1"/>
  <c r="AC17" i="15" a="1"/>
  <c r="AC17" i="15" s="1"/>
  <c r="AC21" i="15" a="1"/>
  <c r="AC21" i="15" s="1"/>
  <c r="AC25" i="15" a="1"/>
  <c r="AC25" i="15" s="1"/>
  <c r="AC29" i="15" a="1"/>
  <c r="AC29" i="15" s="1"/>
  <c r="AC33" i="15" a="1"/>
  <c r="AC33" i="15" s="1"/>
  <c r="AC37" i="15" a="1"/>
  <c r="AC37" i="15" s="1"/>
  <c r="AC41" i="15" a="1"/>
  <c r="AC41" i="15" s="1"/>
  <c r="AN8" i="15" a="1"/>
  <c r="AN8" i="15" s="1"/>
  <c r="AN12" i="15" a="1"/>
  <c r="AN12" i="15" s="1"/>
  <c r="AN16" i="15" a="1"/>
  <c r="AN16" i="15" s="1"/>
  <c r="AN20" i="15" a="1"/>
  <c r="AN20" i="15" s="1"/>
  <c r="AN24" i="15" a="1"/>
  <c r="AN24" i="15" s="1"/>
  <c r="AN28" i="15" a="1"/>
  <c r="AN28" i="15" s="1"/>
  <c r="AN32" i="15" a="1"/>
  <c r="AN32" i="15" s="1"/>
  <c r="AN36" i="15" a="1"/>
  <c r="AN36" i="15" s="1"/>
  <c r="AN40" i="15" a="1"/>
  <c r="AN40" i="15" s="1"/>
  <c r="AN44" i="15" a="1"/>
  <c r="AN44" i="15" s="1"/>
  <c r="AY11" i="15" a="1"/>
  <c r="AY11" i="15" s="1"/>
  <c r="AY15" i="15" a="1"/>
  <c r="AY15" i="15" s="1"/>
  <c r="AY19" i="15" a="1"/>
  <c r="AY19" i="15" s="1"/>
  <c r="AY23" i="15" a="1"/>
  <c r="AY23" i="15" s="1"/>
  <c r="AY27" i="15" a="1"/>
  <c r="AY27" i="15" s="1"/>
  <c r="AY31" i="15" a="1"/>
  <c r="AY31" i="15" s="1"/>
  <c r="AY35" i="15" a="1"/>
  <c r="AY35" i="15" s="1"/>
  <c r="AY39" i="15" a="1"/>
  <c r="AY39" i="15" s="1"/>
  <c r="AY43" i="15" a="1"/>
  <c r="AY43" i="15" s="1"/>
  <c r="BJ10" i="15" a="1"/>
  <c r="BJ10" i="15" s="1"/>
  <c r="BJ14" i="15" a="1"/>
  <c r="BJ14" i="15" s="1"/>
  <c r="BJ18" i="15" a="1"/>
  <c r="BJ18" i="15" s="1"/>
  <c r="BJ22" i="15" a="1"/>
  <c r="BJ22" i="15" s="1"/>
  <c r="BJ26" i="15" a="1"/>
  <c r="BJ26" i="15" s="1"/>
  <c r="BJ30" i="15" a="1"/>
  <c r="BJ30" i="15" s="1"/>
  <c r="BJ34" i="15" a="1"/>
  <c r="BJ34" i="15" s="1"/>
  <c r="BJ38" i="15" a="1"/>
  <c r="BJ38" i="15" s="1"/>
  <c r="BJ42" i="15" a="1"/>
  <c r="BJ42" i="15" s="1"/>
  <c r="BU9" i="15" a="1"/>
  <c r="BU9" i="15" s="1"/>
  <c r="BU13" i="15" a="1"/>
  <c r="BU13" i="15" s="1"/>
  <c r="BU17" i="15" a="1"/>
  <c r="BU17" i="15" s="1"/>
  <c r="BU21" i="15" a="1"/>
  <c r="BU21" i="15" s="1"/>
  <c r="BU25" i="15" a="1"/>
  <c r="BU25" i="15" s="1"/>
  <c r="BU29" i="15" a="1"/>
  <c r="BU29" i="15" s="1"/>
  <c r="CQ28" i="15" a="1"/>
  <c r="CQ28" i="15" s="1"/>
  <c r="CQ46" i="15" a="1"/>
  <c r="CQ46" i="15" s="1"/>
  <c r="CQ42" i="15" a="1"/>
  <c r="CQ42" i="15" s="1"/>
  <c r="CQ38" i="15" a="1"/>
  <c r="CQ38" i="15" s="1"/>
  <c r="CQ34" i="15" a="1"/>
  <c r="CQ34" i="15" s="1"/>
  <c r="CQ30" i="15" a="1"/>
  <c r="CQ30" i="15" s="1"/>
  <c r="CQ25" i="15" a="1"/>
  <c r="CQ25" i="15" s="1"/>
  <c r="CQ21" i="15" a="1"/>
  <c r="CQ21" i="15" s="1"/>
  <c r="CQ17" i="15" a="1"/>
  <c r="CQ17" i="15" s="1"/>
  <c r="CQ13" i="15" a="1"/>
  <c r="CQ13" i="15" s="1"/>
  <c r="FE41" i="15" a="1"/>
  <c r="FE41" i="15" s="1"/>
  <c r="FE37" i="15" a="1"/>
  <c r="FE37" i="15" s="1"/>
  <c r="FE33" i="15" a="1"/>
  <c r="FE33" i="15" s="1"/>
  <c r="FE29" i="15" a="1"/>
  <c r="FE29" i="15" s="1"/>
  <c r="FE25" i="15" a="1"/>
  <c r="FE25" i="15" s="1"/>
  <c r="FE21" i="15" a="1"/>
  <c r="FE21" i="15" s="1"/>
  <c r="FE17" i="15" a="1"/>
  <c r="FE17" i="15" s="1"/>
  <c r="FE13" i="15" a="1"/>
  <c r="FE13" i="15" s="1"/>
  <c r="ET42" i="15" a="1"/>
  <c r="ET42" i="15" s="1"/>
  <c r="ET38" i="15" a="1"/>
  <c r="ET38" i="15" s="1"/>
  <c r="ET34" i="15" a="1"/>
  <c r="ET34" i="15" s="1"/>
  <c r="ET30" i="15" a="1"/>
  <c r="ET30" i="15" s="1"/>
  <c r="ET26" i="15" a="1"/>
  <c r="ET26" i="15" s="1"/>
  <c r="ET22" i="15" a="1"/>
  <c r="ET22" i="15" s="1"/>
  <c r="ET18" i="15" a="1"/>
  <c r="ET18" i="15" s="1"/>
  <c r="ET14" i="15" a="1"/>
  <c r="ET14" i="15" s="1"/>
  <c r="ET10" i="15" a="1"/>
  <c r="ET10" i="15" s="1"/>
  <c r="EI43" i="15" a="1"/>
  <c r="EI43" i="15" s="1"/>
  <c r="EI39" i="15" a="1"/>
  <c r="EI39" i="15" s="1"/>
  <c r="EI35" i="15" a="1"/>
  <c r="EI35" i="15" s="1"/>
  <c r="EI31" i="15" a="1"/>
  <c r="EI31" i="15" s="1"/>
  <c r="EI27" i="15" a="1"/>
  <c r="EI27" i="15" s="1"/>
  <c r="EI23" i="15" a="1"/>
  <c r="EI23" i="15" s="1"/>
  <c r="EI19" i="15" a="1"/>
  <c r="EI19" i="15" s="1"/>
  <c r="EI15" i="15" a="1"/>
  <c r="EI15" i="15" s="1"/>
  <c r="EI11" i="15" a="1"/>
  <c r="EI11" i="15" s="1"/>
  <c r="EI7" i="15" a="1"/>
  <c r="EI7" i="15" s="1"/>
  <c r="DX44" i="15" a="1"/>
  <c r="DX44" i="15" s="1"/>
  <c r="DX40" i="15" a="1"/>
  <c r="DX40" i="15" s="1"/>
  <c r="DX36" i="15" a="1"/>
  <c r="DX36" i="15" s="1"/>
  <c r="DX32" i="15" a="1"/>
  <c r="DX32" i="15" s="1"/>
  <c r="DX28" i="15" a="1"/>
  <c r="DX28" i="15" s="1"/>
  <c r="DX24" i="15" a="1"/>
  <c r="DX24" i="15" s="1"/>
  <c r="DX20" i="15" a="1"/>
  <c r="DX20" i="15" s="1"/>
  <c r="DX16" i="15" a="1"/>
  <c r="DX16" i="15" s="1"/>
  <c r="DX12" i="15" a="1"/>
  <c r="DX12" i="15" s="1"/>
  <c r="DX8" i="15" a="1"/>
  <c r="DX8" i="15" s="1"/>
  <c r="DM41" i="15" a="1"/>
  <c r="DM41" i="15" s="1"/>
  <c r="DM37" i="15" a="1"/>
  <c r="DM37" i="15" s="1"/>
  <c r="DM33" i="15" a="1"/>
  <c r="DM33" i="15" s="1"/>
  <c r="DM29" i="15" a="1"/>
  <c r="DM29" i="15" s="1"/>
  <c r="DM25" i="15" a="1"/>
  <c r="DM25" i="15" s="1"/>
  <c r="DM21" i="15" a="1"/>
  <c r="DM21" i="15" s="1"/>
  <c r="DM17" i="15" a="1"/>
  <c r="DM17" i="15" s="1"/>
  <c r="DM13" i="15" a="1"/>
  <c r="DM13" i="15" s="1"/>
  <c r="DM9" i="15" a="1"/>
  <c r="DM9" i="15" s="1"/>
  <c r="DB42" i="15" a="1"/>
  <c r="DB42" i="15" s="1"/>
  <c r="DB38" i="15" a="1"/>
  <c r="DB38" i="15" s="1"/>
  <c r="DB34" i="15" a="1"/>
  <c r="DB34" i="15" s="1"/>
  <c r="DB30" i="15" a="1"/>
  <c r="DB30" i="15" s="1"/>
  <c r="DB26" i="15" a="1"/>
  <c r="DB26" i="15" s="1"/>
  <c r="DB22" i="15" a="1"/>
  <c r="DB22" i="15" s="1"/>
  <c r="DB18" i="15" a="1"/>
  <c r="DB18" i="15" s="1"/>
  <c r="DB14" i="15" a="1"/>
  <c r="DB14" i="15" s="1"/>
  <c r="DB10" i="15" a="1"/>
  <c r="DB10" i="15" s="1"/>
  <c r="CF43" i="15" a="1"/>
  <c r="CF43" i="15" s="1"/>
  <c r="CF39" i="15" a="1"/>
  <c r="CF39" i="15" s="1"/>
  <c r="CF35" i="15" a="1"/>
  <c r="CF35" i="15" s="1"/>
  <c r="CF31" i="15" a="1"/>
  <c r="CF31" i="15" s="1"/>
  <c r="CF27" i="15" a="1"/>
  <c r="CF27" i="15" s="1"/>
  <c r="CF23" i="15" a="1"/>
  <c r="CF23" i="15" s="1"/>
  <c r="CF19" i="15" a="1"/>
  <c r="CF19" i="15" s="1"/>
  <c r="CF15" i="15" a="1"/>
  <c r="CF15" i="15" s="1"/>
  <c r="CF11" i="15" a="1"/>
  <c r="CF11" i="15" s="1"/>
  <c r="CF7" i="15" a="1"/>
  <c r="CF7" i="15" s="1"/>
  <c r="BU44" i="15" a="1"/>
  <c r="BU44" i="15" s="1"/>
  <c r="BU40" i="15" a="1"/>
  <c r="BU40" i="15" s="1"/>
  <c r="CQ47" i="15" a="1"/>
  <c r="CQ47" i="15" s="1"/>
  <c r="CQ41" i="15" a="1"/>
  <c r="CQ41" i="15" s="1"/>
  <c r="CQ37" i="15" a="1"/>
  <c r="CQ37" i="15" s="1"/>
  <c r="CQ33" i="15" a="1"/>
  <c r="CQ33" i="15" s="1"/>
  <c r="CQ29" i="15" a="1"/>
  <c r="CQ29" i="15" s="1"/>
  <c r="CQ24" i="15" a="1"/>
  <c r="CQ24" i="15" s="1"/>
  <c r="CQ20" i="15" a="1"/>
  <c r="CQ20" i="15" s="1"/>
  <c r="CQ16" i="15" a="1"/>
  <c r="CQ16" i="15" s="1"/>
  <c r="CQ12" i="15" a="1"/>
  <c r="CQ12" i="15" s="1"/>
  <c r="FE44" i="15" a="1"/>
  <c r="FE44" i="15" s="1"/>
  <c r="FE40" i="15" a="1"/>
  <c r="FE40" i="15" s="1"/>
  <c r="FE36" i="15" a="1"/>
  <c r="FE36" i="15" s="1"/>
  <c r="FE32" i="15" a="1"/>
  <c r="FE32" i="15" s="1"/>
  <c r="FE28" i="15" a="1"/>
  <c r="FE28" i="15" s="1"/>
  <c r="FE24" i="15" a="1"/>
  <c r="FE24" i="15" s="1"/>
  <c r="FE20" i="15" a="1"/>
  <c r="FE20" i="15" s="1"/>
  <c r="FE16" i="15" a="1"/>
  <c r="FE16" i="15" s="1"/>
  <c r="FE12" i="15" a="1"/>
  <c r="FE12" i="15" s="1"/>
  <c r="ET41" i="15" a="1"/>
  <c r="ET41" i="15" s="1"/>
  <c r="ET37" i="15" a="1"/>
  <c r="ET37" i="15" s="1"/>
  <c r="ET33" i="15" a="1"/>
  <c r="ET33" i="15" s="1"/>
  <c r="ET29" i="15" a="1"/>
  <c r="ET29" i="15" s="1"/>
  <c r="ET25" i="15" a="1"/>
  <c r="ET25" i="15" s="1"/>
  <c r="ET21" i="15" a="1"/>
  <c r="ET21" i="15" s="1"/>
  <c r="ET17" i="15" a="1"/>
  <c r="ET17" i="15" s="1"/>
  <c r="ET13" i="15" a="1"/>
  <c r="ET13" i="15" s="1"/>
  <c r="ET9" i="15" a="1"/>
  <c r="ET9" i="15" s="1"/>
  <c r="EI42" i="15" a="1"/>
  <c r="EI42" i="15" s="1"/>
  <c r="EI38" i="15" a="1"/>
  <c r="EI38" i="15" s="1"/>
  <c r="EI34" i="15" a="1"/>
  <c r="EI34" i="15" s="1"/>
  <c r="EI30" i="15" a="1"/>
  <c r="EI30" i="15" s="1"/>
  <c r="EI26" i="15" a="1"/>
  <c r="EI26" i="15" s="1"/>
  <c r="EI22" i="15" a="1"/>
  <c r="EI22" i="15" s="1"/>
  <c r="EI18" i="15" a="1"/>
  <c r="EI18" i="15" s="1"/>
  <c r="EI14" i="15" a="1"/>
  <c r="EI14" i="15" s="1"/>
  <c r="EI10" i="15" a="1"/>
  <c r="EI10" i="15" s="1"/>
  <c r="EI6" i="15" a="1"/>
  <c r="EI6" i="15" s="1"/>
  <c r="DX43" i="15" a="1"/>
  <c r="DX43" i="15" s="1"/>
  <c r="DX39" i="15" a="1"/>
  <c r="DX39" i="15" s="1"/>
  <c r="DX35" i="15" a="1"/>
  <c r="DX35" i="15" s="1"/>
  <c r="DX31" i="15" a="1"/>
  <c r="DX31" i="15" s="1"/>
  <c r="DX27" i="15" a="1"/>
  <c r="DX27" i="15" s="1"/>
  <c r="DX23" i="15" a="1"/>
  <c r="DX23" i="15" s="1"/>
  <c r="DX19" i="15" a="1"/>
  <c r="DX19" i="15" s="1"/>
  <c r="DX15" i="15" a="1"/>
  <c r="DX15" i="15" s="1"/>
  <c r="DX11" i="15" a="1"/>
  <c r="DX11" i="15" s="1"/>
  <c r="DX7" i="15" a="1"/>
  <c r="DX7" i="15" s="1"/>
  <c r="DM44" i="15" a="1"/>
  <c r="DM44" i="15" s="1"/>
  <c r="DM40" i="15" a="1"/>
  <c r="DM40" i="15" s="1"/>
  <c r="DM36" i="15" a="1"/>
  <c r="DM36" i="15" s="1"/>
  <c r="DM32" i="15" a="1"/>
  <c r="DM32" i="15" s="1"/>
  <c r="DM28" i="15" a="1"/>
  <c r="DM28" i="15" s="1"/>
  <c r="DM24" i="15" a="1"/>
  <c r="DM24" i="15" s="1"/>
  <c r="DM20" i="15" a="1"/>
  <c r="DM20" i="15" s="1"/>
  <c r="DM16" i="15" a="1"/>
  <c r="DM16" i="15" s="1"/>
  <c r="DM12" i="15" a="1"/>
  <c r="DM12" i="15" s="1"/>
  <c r="DM8" i="15" a="1"/>
  <c r="DM8" i="15" s="1"/>
  <c r="DB41" i="15" a="1"/>
  <c r="DB41" i="15" s="1"/>
  <c r="DB37" i="15" a="1"/>
  <c r="DB37" i="15" s="1"/>
  <c r="DB33" i="15" a="1"/>
  <c r="DB33" i="15" s="1"/>
  <c r="DB29" i="15" a="1"/>
  <c r="DB29" i="15" s="1"/>
  <c r="DB25" i="15" a="1"/>
  <c r="DB25" i="15" s="1"/>
  <c r="DB21" i="15" a="1"/>
  <c r="DB21" i="15" s="1"/>
  <c r="DB17" i="15" a="1"/>
  <c r="DB17" i="15" s="1"/>
  <c r="DB13" i="15" a="1"/>
  <c r="DB13" i="15" s="1"/>
  <c r="DB9" i="15" a="1"/>
  <c r="DB9" i="15" s="1"/>
  <c r="CF42" i="15" a="1"/>
  <c r="CF42" i="15" s="1"/>
  <c r="CF38" i="15" a="1"/>
  <c r="CF38" i="15" s="1"/>
  <c r="CF34" i="15" a="1"/>
  <c r="CF34" i="15" s="1"/>
  <c r="CF30" i="15" a="1"/>
  <c r="CF30" i="15" s="1"/>
  <c r="CF26" i="15" a="1"/>
  <c r="CF26" i="15" s="1"/>
  <c r="CF22" i="15" a="1"/>
  <c r="CF22" i="15" s="1"/>
  <c r="CF18" i="15" a="1"/>
  <c r="CF18" i="15" s="1"/>
  <c r="CF14" i="15" a="1"/>
  <c r="CF14" i="15" s="1"/>
  <c r="CF10" i="15" a="1"/>
  <c r="CF10" i="15" s="1"/>
  <c r="CF6" i="15" a="1"/>
  <c r="CF6" i="15" s="1"/>
  <c r="BU43" i="15" a="1"/>
  <c r="BU43" i="15" s="1"/>
  <c r="BU39" i="15" a="1"/>
  <c r="BU39" i="15" s="1"/>
  <c r="CQ44" i="15" a="1"/>
  <c r="CQ44" i="15" s="1"/>
  <c r="CQ48" i="15" a="1"/>
  <c r="CQ48" i="15" s="1"/>
  <c r="CQ40" i="15" a="1"/>
  <c r="CQ40" i="15" s="1"/>
  <c r="CQ36" i="15" a="1"/>
  <c r="CQ36" i="15" s="1"/>
  <c r="CQ32" i="15" a="1"/>
  <c r="CQ32" i="15" s="1"/>
  <c r="CQ27" i="15" a="1"/>
  <c r="CQ27" i="15" s="1"/>
  <c r="CQ23" i="15" a="1"/>
  <c r="CQ23" i="15" s="1"/>
  <c r="CQ19" i="15" a="1"/>
  <c r="CQ19" i="15" s="1"/>
  <c r="CQ15" i="15" a="1"/>
  <c r="CQ15" i="15" s="1"/>
  <c r="FE43" i="15" a="1"/>
  <c r="FE43" i="15" s="1"/>
  <c r="FE39" i="15" a="1"/>
  <c r="FE39" i="15" s="1"/>
  <c r="FE35" i="15" a="1"/>
  <c r="FE35" i="15" s="1"/>
  <c r="FE31" i="15" a="1"/>
  <c r="FE31" i="15" s="1"/>
  <c r="FE27" i="15" a="1"/>
  <c r="FE27" i="15" s="1"/>
  <c r="FE23" i="15" a="1"/>
  <c r="FE23" i="15" s="1"/>
  <c r="FE19" i="15" a="1"/>
  <c r="FE19" i="15" s="1"/>
  <c r="FE15" i="15" a="1"/>
  <c r="FE15" i="15" s="1"/>
  <c r="FE11" i="15" a="1"/>
  <c r="FE11" i="15" s="1"/>
  <c r="ET44" i="15" a="1"/>
  <c r="ET44" i="15" s="1"/>
  <c r="ET40" i="15" a="1"/>
  <c r="ET40" i="15" s="1"/>
  <c r="ET36" i="15" a="1"/>
  <c r="ET36" i="15" s="1"/>
  <c r="ET32" i="15" a="1"/>
  <c r="ET32" i="15" s="1"/>
  <c r="ET28" i="15" a="1"/>
  <c r="ET28" i="15" s="1"/>
  <c r="ET24" i="15" a="1"/>
  <c r="ET24" i="15" s="1"/>
  <c r="ET20" i="15" a="1"/>
  <c r="ET20" i="15" s="1"/>
  <c r="ET16" i="15" a="1"/>
  <c r="ET16" i="15" s="1"/>
  <c r="ET12" i="15" a="1"/>
  <c r="ET12" i="15" s="1"/>
  <c r="ET8" i="15" a="1"/>
  <c r="ET8" i="15" s="1"/>
  <c r="EI41" i="15" a="1"/>
  <c r="EI41" i="15" s="1"/>
  <c r="EI37" i="15" a="1"/>
  <c r="EI37" i="15" s="1"/>
  <c r="EI33" i="15" a="1"/>
  <c r="EI33" i="15" s="1"/>
  <c r="EI29" i="15" a="1"/>
  <c r="EI29" i="15" s="1"/>
  <c r="EI25" i="15" a="1"/>
  <c r="EI25" i="15" s="1"/>
  <c r="EI21" i="15" a="1"/>
  <c r="EI21" i="15" s="1"/>
  <c r="EI17" i="15" a="1"/>
  <c r="EI17" i="15" s="1"/>
  <c r="EI13" i="15" a="1"/>
  <c r="EI13" i="15" s="1"/>
  <c r="EI9" i="15" a="1"/>
  <c r="EI9" i="15" s="1"/>
  <c r="EI5" i="15" a="1"/>
  <c r="EI5" i="15" s="1"/>
  <c r="DX42" i="15" a="1"/>
  <c r="DX42" i="15" s="1"/>
  <c r="DX38" i="15" a="1"/>
  <c r="DX38" i="15" s="1"/>
  <c r="DX34" i="15" a="1"/>
  <c r="DX34" i="15" s="1"/>
  <c r="DX30" i="15" a="1"/>
  <c r="DX30" i="15" s="1"/>
  <c r="DX26" i="15" a="1"/>
  <c r="DX26" i="15" s="1"/>
  <c r="DX22" i="15" a="1"/>
  <c r="DX22" i="15" s="1"/>
  <c r="DX18" i="15" a="1"/>
  <c r="DX18" i="15" s="1"/>
  <c r="DX14" i="15" a="1"/>
  <c r="DX14" i="15" s="1"/>
  <c r="DX10" i="15" a="1"/>
  <c r="DX10" i="15" s="1"/>
  <c r="DX6" i="15" a="1"/>
  <c r="DX6" i="15" s="1"/>
  <c r="DM43" i="15" a="1"/>
  <c r="DM43" i="15" s="1"/>
  <c r="DM39" i="15" a="1"/>
  <c r="DM39" i="15" s="1"/>
  <c r="DM35" i="15" a="1"/>
  <c r="DM35" i="15" s="1"/>
  <c r="DM31" i="15" a="1"/>
  <c r="DM31" i="15" s="1"/>
  <c r="DM27" i="15" a="1"/>
  <c r="DM27" i="15" s="1"/>
  <c r="DM23" i="15" a="1"/>
  <c r="DM23" i="15" s="1"/>
  <c r="DM19" i="15" a="1"/>
  <c r="DM19" i="15" s="1"/>
  <c r="DM15" i="15" a="1"/>
  <c r="DM15" i="15" s="1"/>
  <c r="DM11" i="15" a="1"/>
  <c r="DM11" i="15" s="1"/>
  <c r="DB44" i="15" a="1"/>
  <c r="DB44" i="15" s="1"/>
  <c r="DB40" i="15" a="1"/>
  <c r="DB40" i="15" s="1"/>
  <c r="DB36" i="15" a="1"/>
  <c r="DB36" i="15" s="1"/>
  <c r="DB32" i="15" a="1"/>
  <c r="DB32" i="15" s="1"/>
  <c r="DB28" i="15" a="1"/>
  <c r="DB28" i="15" s="1"/>
  <c r="DB24" i="15" a="1"/>
  <c r="DB24" i="15" s="1"/>
  <c r="DB20" i="15" a="1"/>
  <c r="DB20" i="15" s="1"/>
  <c r="DB16" i="15" a="1"/>
  <c r="DB16" i="15" s="1"/>
  <c r="DB12" i="15" a="1"/>
  <c r="DB12" i="15" s="1"/>
  <c r="DB8" i="15" a="1"/>
  <c r="DB8" i="15" s="1"/>
  <c r="CF41" i="15" a="1"/>
  <c r="CF41" i="15" s="1"/>
  <c r="CF37" i="15" a="1"/>
  <c r="CF37" i="15" s="1"/>
  <c r="CF33" i="15" a="1"/>
  <c r="CF33" i="15" s="1"/>
  <c r="CF29" i="15" a="1"/>
  <c r="CF29" i="15" s="1"/>
  <c r="CF25" i="15" a="1"/>
  <c r="CF25" i="15" s="1"/>
  <c r="CF21" i="15" a="1"/>
  <c r="CF21" i="15" s="1"/>
  <c r="CF17" i="15" a="1"/>
  <c r="CF17" i="15" s="1"/>
  <c r="CF13" i="15" a="1"/>
  <c r="CF13" i="15" s="1"/>
  <c r="CF9" i="15" a="1"/>
  <c r="CF9" i="15" s="1"/>
  <c r="CF5" i="15" a="1"/>
  <c r="CF5" i="15" s="1"/>
  <c r="BU42" i="15" a="1"/>
  <c r="BU42" i="15" s="1"/>
  <c r="BU38" i="15" a="1"/>
  <c r="BU38" i="15" s="1"/>
  <c r="CQ45" i="15" a="1"/>
  <c r="CQ45" i="15" s="1"/>
  <c r="CQ43" i="15" a="1"/>
  <c r="CQ43" i="15" s="1"/>
  <c r="CQ39" i="15" a="1"/>
  <c r="CQ39" i="15" s="1"/>
  <c r="CQ35" i="15" a="1"/>
  <c r="CQ35" i="15" s="1"/>
  <c r="CQ31" i="15" a="1"/>
  <c r="CQ31" i="15" s="1"/>
  <c r="CQ26" i="15" a="1"/>
  <c r="CQ26" i="15" s="1"/>
  <c r="CQ22" i="15" a="1"/>
  <c r="CQ22" i="15" s="1"/>
  <c r="CQ18" i="15" a="1"/>
  <c r="CQ18" i="15" s="1"/>
  <c r="CQ14" i="15" a="1"/>
  <c r="CQ14" i="15" s="1"/>
  <c r="FE42" i="15" a="1"/>
  <c r="FE42" i="15" s="1"/>
  <c r="FE38" i="15" a="1"/>
  <c r="FE38" i="15" s="1"/>
  <c r="FE34" i="15" a="1"/>
  <c r="FE34" i="15" s="1"/>
  <c r="FE30" i="15" a="1"/>
  <c r="FE30" i="15" s="1"/>
  <c r="FE26" i="15" a="1"/>
  <c r="FE26" i="15" s="1"/>
  <c r="FE22" i="15" a="1"/>
  <c r="FE22" i="15" s="1"/>
  <c r="FE18" i="15" a="1"/>
  <c r="FE18" i="15" s="1"/>
  <c r="FE14" i="15" a="1"/>
  <c r="FE14" i="15" s="1"/>
  <c r="ET43" i="15" a="1"/>
  <c r="ET43" i="15" s="1"/>
  <c r="ET39" i="15" a="1"/>
  <c r="ET39" i="15" s="1"/>
  <c r="ET35" i="15" a="1"/>
  <c r="ET35" i="15" s="1"/>
  <c r="ET31" i="15" a="1"/>
  <c r="ET31" i="15" s="1"/>
  <c r="ET27" i="15" a="1"/>
  <c r="ET27" i="15" s="1"/>
  <c r="ET23" i="15" a="1"/>
  <c r="ET23" i="15" s="1"/>
  <c r="ET19" i="15" a="1"/>
  <c r="ET19" i="15" s="1"/>
  <c r="ET15" i="15" a="1"/>
  <c r="ET15" i="15" s="1"/>
  <c r="ET11" i="15" a="1"/>
  <c r="ET11" i="15" s="1"/>
  <c r="ET7" i="15" a="1"/>
  <c r="ET7" i="15" s="1"/>
  <c r="EI44" i="15" a="1"/>
  <c r="EI44" i="15" s="1"/>
  <c r="EI40" i="15" a="1"/>
  <c r="EI40" i="15" s="1"/>
  <c r="EI36" i="15" a="1"/>
  <c r="EI36" i="15" s="1"/>
  <c r="EI32" i="15" a="1"/>
  <c r="EI32" i="15" s="1"/>
  <c r="EI28" i="15" a="1"/>
  <c r="EI28" i="15" s="1"/>
  <c r="EI24" i="15" a="1"/>
  <c r="EI24" i="15" s="1"/>
  <c r="EI20" i="15" a="1"/>
  <c r="EI20" i="15" s="1"/>
  <c r="EI16" i="15" a="1"/>
  <c r="EI16" i="15" s="1"/>
  <c r="EI12" i="15" a="1"/>
  <c r="EI12" i="15" s="1"/>
  <c r="EI8" i="15" a="1"/>
  <c r="EI8" i="15" s="1"/>
  <c r="DX41" i="15" a="1"/>
  <c r="DX41" i="15" s="1"/>
  <c r="DX37" i="15" a="1"/>
  <c r="DX37" i="15" s="1"/>
  <c r="DX33" i="15" a="1"/>
  <c r="DX33" i="15" s="1"/>
  <c r="DX29" i="15" a="1"/>
  <c r="DX29" i="15" s="1"/>
  <c r="DX25" i="15" a="1"/>
  <c r="DX25" i="15" s="1"/>
  <c r="DX21" i="15" a="1"/>
  <c r="DX21" i="15" s="1"/>
  <c r="DX17" i="15" a="1"/>
  <c r="DX17" i="15" s="1"/>
  <c r="DX13" i="15" a="1"/>
  <c r="DX13" i="15" s="1"/>
  <c r="DX9" i="15" a="1"/>
  <c r="DX9" i="15" s="1"/>
  <c r="DM42" i="15" a="1"/>
  <c r="DM42" i="15" s="1"/>
  <c r="DM38" i="15" a="1"/>
  <c r="DM38" i="15" s="1"/>
  <c r="DM34" i="15" a="1"/>
  <c r="DM34" i="15" s="1"/>
  <c r="DM30" i="15" a="1"/>
  <c r="DM30" i="15" s="1"/>
  <c r="DM26" i="15" a="1"/>
  <c r="DM26" i="15" s="1"/>
  <c r="DM22" i="15" a="1"/>
  <c r="DM22" i="15" s="1"/>
  <c r="DM18" i="15" a="1"/>
  <c r="DM18" i="15" s="1"/>
  <c r="DM14" i="15" a="1"/>
  <c r="DM14" i="15" s="1"/>
  <c r="DM10" i="15" a="1"/>
  <c r="DM10" i="15" s="1"/>
  <c r="DB43" i="15" a="1"/>
  <c r="DB43" i="15" s="1"/>
  <c r="DB39" i="15" a="1"/>
  <c r="DB39" i="15" s="1"/>
  <c r="DB35" i="15" a="1"/>
  <c r="DB35" i="15" s="1"/>
  <c r="DB31" i="15" a="1"/>
  <c r="DB31" i="15" s="1"/>
  <c r="DB27" i="15" a="1"/>
  <c r="DB27" i="15" s="1"/>
  <c r="DB23" i="15" a="1"/>
  <c r="DB23" i="15" s="1"/>
  <c r="DB19" i="15" a="1"/>
  <c r="DB19" i="15" s="1"/>
  <c r="DB15" i="15" a="1"/>
  <c r="DB15" i="15" s="1"/>
  <c r="DB11" i="15" a="1"/>
  <c r="DB11" i="15" s="1"/>
  <c r="DB7" i="15" a="1"/>
  <c r="DB7" i="15" s="1"/>
  <c r="CF44" i="15" a="1"/>
  <c r="CF44" i="15" s="1"/>
  <c r="CF40" i="15" a="1"/>
  <c r="CF40" i="15" s="1"/>
  <c r="CF36" i="15" a="1"/>
  <c r="CF36" i="15" s="1"/>
  <c r="CF32" i="15" a="1"/>
  <c r="CF32" i="15" s="1"/>
  <c r="CF28" i="15" a="1"/>
  <c r="CF28" i="15" s="1"/>
  <c r="CF24" i="15" a="1"/>
  <c r="CF24" i="15" s="1"/>
  <c r="CF20" i="15" a="1"/>
  <c r="CF20" i="15" s="1"/>
  <c r="CF16" i="15" a="1"/>
  <c r="CF16" i="15" s="1"/>
  <c r="CF12" i="15" a="1"/>
  <c r="CF12" i="15" s="1"/>
  <c r="CF8" i="15" a="1"/>
  <c r="CF8" i="15" s="1"/>
  <c r="BU41" i="15" a="1"/>
  <c r="BU41" i="15" s="1"/>
  <c r="BU37" i="15" a="1"/>
  <c r="BU37" i="15" s="1"/>
  <c r="G41" i="15" a="1"/>
  <c r="G41" i="15" s="1"/>
  <c r="G37" i="15" a="1"/>
  <c r="G37" i="15" s="1"/>
  <c r="G33" i="15" a="1"/>
  <c r="G33" i="15" s="1"/>
  <c r="G28" i="15" a="1"/>
  <c r="G28" i="15" s="1"/>
  <c r="G24" i="15" a="1"/>
  <c r="G24" i="15" s="1"/>
  <c r="G20" i="15" a="1"/>
  <c r="G20" i="15" s="1"/>
  <c r="G16" i="15" a="1"/>
  <c r="G16" i="15" s="1"/>
  <c r="G12" i="15" a="1"/>
  <c r="G12" i="15" s="1"/>
  <c r="G8" i="15" a="1"/>
  <c r="G8" i="15" s="1"/>
  <c r="G31" i="15" a="1"/>
  <c r="G31" i="15" s="1"/>
  <c r="R7" i="15" a="1"/>
  <c r="R7" i="15" s="1"/>
  <c r="R11" i="15" a="1"/>
  <c r="R11" i="15" s="1"/>
  <c r="R15" i="15" a="1"/>
  <c r="R15" i="15" s="1"/>
  <c r="R19" i="15" a="1"/>
  <c r="R19" i="15" s="1"/>
  <c r="R23" i="15" a="1"/>
  <c r="R23" i="15" s="1"/>
  <c r="R27" i="15" a="1"/>
  <c r="R27" i="15" s="1"/>
  <c r="R31" i="15" a="1"/>
  <c r="R31" i="15" s="1"/>
  <c r="R35" i="15" a="1"/>
  <c r="R35" i="15" s="1"/>
  <c r="R39" i="15" a="1"/>
  <c r="R39" i="15" s="1"/>
  <c r="R43" i="15" a="1"/>
  <c r="R43" i="15" s="1"/>
  <c r="AC10" i="15" a="1"/>
  <c r="AC10" i="15" s="1"/>
  <c r="AC14" i="15" a="1"/>
  <c r="AC14" i="15" s="1"/>
  <c r="AC18" i="15" a="1"/>
  <c r="AC18" i="15" s="1"/>
  <c r="AC22" i="15" a="1"/>
  <c r="AC22" i="15" s="1"/>
  <c r="AC26" i="15" a="1"/>
  <c r="AC26" i="15" s="1"/>
  <c r="AC30" i="15" a="1"/>
  <c r="AC30" i="15" s="1"/>
  <c r="AC34" i="15" a="1"/>
  <c r="AC34" i="15" s="1"/>
  <c r="AC38" i="15" a="1"/>
  <c r="AC38" i="15" s="1"/>
  <c r="AC42" i="15" a="1"/>
  <c r="AC42" i="15" s="1"/>
  <c r="AN9" i="15" a="1"/>
  <c r="AN9" i="15" s="1"/>
  <c r="AN13" i="15" a="1"/>
  <c r="AN13" i="15" s="1"/>
  <c r="AN17" i="15" a="1"/>
  <c r="AN17" i="15" s="1"/>
  <c r="AN21" i="15" a="1"/>
  <c r="AN21" i="15" s="1"/>
  <c r="AN25" i="15" a="1"/>
  <c r="AN25" i="15" s="1"/>
  <c r="AN29" i="15" a="1"/>
  <c r="AN29" i="15" s="1"/>
  <c r="AN33" i="15" a="1"/>
  <c r="AN33" i="15" s="1"/>
  <c r="AN37" i="15" a="1"/>
  <c r="AN37" i="15" s="1"/>
  <c r="AN41" i="15" a="1"/>
  <c r="AN41" i="15" s="1"/>
  <c r="AY8" i="15" a="1"/>
  <c r="AY8" i="15" s="1"/>
  <c r="AY12" i="15" a="1"/>
  <c r="AY12" i="15" s="1"/>
  <c r="AY16" i="15" a="1"/>
  <c r="AY16" i="15" s="1"/>
  <c r="AY20" i="15" a="1"/>
  <c r="AY20" i="15" s="1"/>
  <c r="AY24" i="15" a="1"/>
  <c r="AY24" i="15" s="1"/>
  <c r="AY28" i="15" a="1"/>
  <c r="AY28" i="15" s="1"/>
  <c r="AY32" i="15" a="1"/>
  <c r="AY32" i="15" s="1"/>
  <c r="AY36" i="15" a="1"/>
  <c r="AY36" i="15" s="1"/>
  <c r="AY40" i="15" a="1"/>
  <c r="AY40" i="15" s="1"/>
  <c r="AY44" i="15" a="1"/>
  <c r="AY44" i="15" s="1"/>
  <c r="BJ11" i="15" a="1"/>
  <c r="BJ11" i="15" s="1"/>
  <c r="BJ15" i="15" a="1"/>
  <c r="BJ15" i="15" s="1"/>
  <c r="BJ19" i="15" a="1"/>
  <c r="BJ19" i="15" s="1"/>
  <c r="BJ23" i="15" a="1"/>
  <c r="BJ23" i="15" s="1"/>
  <c r="BJ27" i="15" a="1"/>
  <c r="BJ27" i="15" s="1"/>
  <c r="BJ31" i="15" a="1"/>
  <c r="BJ31" i="15" s="1"/>
  <c r="BJ35" i="15" a="1"/>
  <c r="BJ35" i="15" s="1"/>
  <c r="BJ39" i="15" a="1"/>
  <c r="BJ39" i="15" s="1"/>
  <c r="BJ43" i="15" a="1"/>
  <c r="BJ43" i="15" s="1"/>
  <c r="BU10" i="15" a="1"/>
  <c r="BU10" i="15" s="1"/>
  <c r="BU14" i="15" a="1"/>
  <c r="BU14" i="15" s="1"/>
  <c r="BU18" i="15" a="1"/>
  <c r="BU18" i="15" s="1"/>
  <c r="BU22" i="15" a="1"/>
  <c r="BU22" i="15" s="1"/>
  <c r="BU26" i="15" a="1"/>
  <c r="BU26" i="15" s="1"/>
  <c r="BU30" i="15" a="1"/>
  <c r="BU30" i="15" s="1"/>
  <c r="BU34" i="15" a="1"/>
  <c r="BU34" i="15" s="1"/>
  <c r="G44" i="15" a="1"/>
  <c r="G44" i="15" s="1"/>
  <c r="G40" i="15" a="1"/>
  <c r="G40" i="15" s="1"/>
  <c r="G36" i="15" a="1"/>
  <c r="G36" i="15" s="1"/>
  <c r="G32" i="15" a="1"/>
  <c r="G32" i="15" s="1"/>
  <c r="G27" i="15" a="1"/>
  <c r="G27" i="15" s="1"/>
  <c r="G23" i="15" a="1"/>
  <c r="G23" i="15" s="1"/>
  <c r="G19" i="15" a="1"/>
  <c r="G19" i="15" s="1"/>
  <c r="G15" i="15" a="1"/>
  <c r="G15" i="15" s="1"/>
  <c r="G11" i="15" a="1"/>
  <c r="G11" i="15" s="1"/>
  <c r="G7" i="15" a="1"/>
  <c r="G7" i="15" s="1"/>
  <c r="R8" i="15" a="1"/>
  <c r="R8" i="15" s="1"/>
  <c r="R12" i="15" a="1"/>
  <c r="R12" i="15" s="1"/>
  <c r="R16" i="15" a="1"/>
  <c r="R16" i="15" s="1"/>
  <c r="R20" i="15" a="1"/>
  <c r="R20" i="15" s="1"/>
  <c r="R24" i="15" a="1"/>
  <c r="R24" i="15" s="1"/>
  <c r="R28" i="15" a="1"/>
  <c r="R28" i="15" s="1"/>
  <c r="R32" i="15" a="1"/>
  <c r="R32" i="15" s="1"/>
  <c r="R36" i="15" a="1"/>
  <c r="R36" i="15" s="1"/>
  <c r="R40" i="15" a="1"/>
  <c r="R40" i="15" s="1"/>
  <c r="R44" i="15" a="1"/>
  <c r="R44" i="15" s="1"/>
  <c r="AC7" i="15" a="1"/>
  <c r="AC7" i="15" s="1"/>
  <c r="AC11" i="15" a="1"/>
  <c r="AC11" i="15" s="1"/>
  <c r="AC15" i="15" a="1"/>
  <c r="AC15" i="15" s="1"/>
  <c r="AC19" i="15" a="1"/>
  <c r="AC19" i="15" s="1"/>
  <c r="AC23" i="15" a="1"/>
  <c r="AC23" i="15" s="1"/>
  <c r="AC27" i="15" a="1"/>
  <c r="AC27" i="15" s="1"/>
  <c r="AC31" i="15" a="1"/>
  <c r="AC31" i="15" s="1"/>
  <c r="AC35" i="15" a="1"/>
  <c r="AC35" i="15" s="1"/>
  <c r="AC39" i="15" a="1"/>
  <c r="AC39" i="15" s="1"/>
  <c r="AC43" i="15" a="1"/>
  <c r="AC43" i="15" s="1"/>
  <c r="AN10" i="15" a="1"/>
  <c r="AN10" i="15" s="1"/>
  <c r="AN14" i="15" a="1"/>
  <c r="AN14" i="15" s="1"/>
  <c r="AN18" i="15" a="1"/>
  <c r="AN18" i="15" s="1"/>
  <c r="AN22" i="15" a="1"/>
  <c r="AN22" i="15" s="1"/>
  <c r="AN26" i="15" a="1"/>
  <c r="AN26" i="15" s="1"/>
  <c r="AN30" i="15" a="1"/>
  <c r="AN30" i="15" s="1"/>
  <c r="AN34" i="15" a="1"/>
  <c r="AN34" i="15" s="1"/>
  <c r="AN38" i="15" a="1"/>
  <c r="AN38" i="15" s="1"/>
  <c r="AN42" i="15" a="1"/>
  <c r="AN42" i="15" s="1"/>
  <c r="AY9" i="15" a="1"/>
  <c r="AY9" i="15" s="1"/>
  <c r="AY13" i="15" a="1"/>
  <c r="AY13" i="15" s="1"/>
  <c r="AY17" i="15" a="1"/>
  <c r="AY17" i="15" s="1"/>
  <c r="AY21" i="15" a="1"/>
  <c r="AY21" i="15" s="1"/>
  <c r="AY25" i="15" a="1"/>
  <c r="AY25" i="15" s="1"/>
  <c r="AY29" i="15" a="1"/>
  <c r="AY29" i="15" s="1"/>
  <c r="AY33" i="15" a="1"/>
  <c r="AY33" i="15" s="1"/>
  <c r="AY37" i="15" a="1"/>
  <c r="AY37" i="15" s="1"/>
  <c r="AY41" i="15" a="1"/>
  <c r="AY41" i="15" s="1"/>
  <c r="BJ12" i="15" a="1"/>
  <c r="BJ12" i="15" s="1"/>
  <c r="BJ16" i="15" a="1"/>
  <c r="BJ16" i="15" s="1"/>
  <c r="BJ20" i="15" a="1"/>
  <c r="BJ20" i="15" s="1"/>
  <c r="BJ24" i="15" a="1"/>
  <c r="BJ24" i="15" s="1"/>
  <c r="BJ28" i="15" a="1"/>
  <c r="BJ28" i="15" s="1"/>
  <c r="BJ32" i="15" a="1"/>
  <c r="BJ32" i="15" s="1"/>
  <c r="BJ36" i="15" a="1"/>
  <c r="BJ36" i="15" s="1"/>
  <c r="BJ40" i="15" a="1"/>
  <c r="BJ40" i="15" s="1"/>
  <c r="BJ44" i="15" a="1"/>
  <c r="BJ44" i="15" s="1"/>
  <c r="BU7" i="15" a="1"/>
  <c r="BU7" i="15" s="1"/>
  <c r="BU11" i="15" a="1"/>
  <c r="BU11" i="15" s="1"/>
  <c r="BU15" i="15" a="1"/>
  <c r="BU15" i="15" s="1"/>
  <c r="BU19" i="15" a="1"/>
  <c r="BU19" i="15" s="1"/>
  <c r="BU23" i="15" a="1"/>
  <c r="BU23" i="15" s="1"/>
  <c r="BU27" i="15" a="1"/>
  <c r="BU27" i="15" s="1"/>
  <c r="BU31" i="15" a="1"/>
  <c r="BU31" i="15" s="1"/>
  <c r="BU35" i="15" a="1"/>
  <c r="BU35" i="15" s="1"/>
  <c r="G43" i="15" a="1"/>
  <c r="G43" i="15" s="1"/>
  <c r="G39" i="15" a="1"/>
  <c r="G39" i="15" s="1"/>
  <c r="G35" i="15" a="1"/>
  <c r="G35" i="15" s="1"/>
  <c r="G30" i="15" a="1"/>
  <c r="G30" i="15" s="1"/>
  <c r="G26" i="15" a="1"/>
  <c r="G26" i="15" s="1"/>
  <c r="G22" i="15" a="1"/>
  <c r="G22" i="15" s="1"/>
  <c r="G18" i="15" a="1"/>
  <c r="G18" i="15" s="1"/>
  <c r="G14" i="15" a="1"/>
  <c r="G14" i="15" s="1"/>
  <c r="G10" i="15" a="1"/>
  <c r="G10" i="15" s="1"/>
  <c r="G6" i="15" a="1"/>
  <c r="G6" i="15" s="1"/>
  <c r="R9" i="15" a="1"/>
  <c r="R9" i="15" s="1"/>
  <c r="R13" i="15" a="1"/>
  <c r="R13" i="15" s="1"/>
  <c r="R17" i="15" a="1"/>
  <c r="R17" i="15" s="1"/>
  <c r="R21" i="15" a="1"/>
  <c r="R21" i="15" s="1"/>
  <c r="R25" i="15" a="1"/>
  <c r="R25" i="15" s="1"/>
  <c r="R29" i="15" a="1"/>
  <c r="R29" i="15" s="1"/>
  <c r="R33" i="15" a="1"/>
  <c r="R33" i="15" s="1"/>
  <c r="R37" i="15" a="1"/>
  <c r="R37" i="15" s="1"/>
  <c r="R41" i="15" a="1"/>
  <c r="R41" i="15" s="1"/>
  <c r="AC8" i="15" a="1"/>
  <c r="AC8" i="15" s="1"/>
  <c r="AC12" i="15" a="1"/>
  <c r="AC12" i="15" s="1"/>
  <c r="AC16" i="15" a="1"/>
  <c r="AC16" i="15" s="1"/>
  <c r="AC20" i="15" a="1"/>
  <c r="AC20" i="15" s="1"/>
  <c r="AC24" i="15" a="1"/>
  <c r="AC24" i="15" s="1"/>
  <c r="AC28" i="15" a="1"/>
  <c r="AC28" i="15" s="1"/>
  <c r="AC32" i="15" a="1"/>
  <c r="AC32" i="15" s="1"/>
  <c r="AC36" i="15" a="1"/>
  <c r="AC36" i="15" s="1"/>
  <c r="AC40" i="15" a="1"/>
  <c r="AC40" i="15" s="1"/>
  <c r="AC44" i="15" a="1"/>
  <c r="AC44" i="15" s="1"/>
  <c r="AN11" i="15" a="1"/>
  <c r="AN11" i="15" s="1"/>
  <c r="AN15" i="15" a="1"/>
  <c r="AN15" i="15" s="1"/>
  <c r="AN19" i="15" a="1"/>
  <c r="AN19" i="15" s="1"/>
  <c r="AN23" i="15" a="1"/>
  <c r="AN23" i="15" s="1"/>
  <c r="AN27" i="15" a="1"/>
  <c r="AN27" i="15" s="1"/>
  <c r="AN31" i="15" a="1"/>
  <c r="AN31" i="15" s="1"/>
  <c r="AN35" i="15" a="1"/>
  <c r="AN35" i="15" s="1"/>
  <c r="AN39" i="15" a="1"/>
  <c r="AN39" i="15" s="1"/>
  <c r="AN43" i="15" a="1"/>
  <c r="AN43" i="15" s="1"/>
  <c r="AY10" i="15" a="1"/>
  <c r="AY10" i="15" s="1"/>
  <c r="AY14" i="15" a="1"/>
  <c r="AY14" i="15" s="1"/>
  <c r="AY18" i="15" a="1"/>
  <c r="AY18" i="15" s="1"/>
  <c r="AY22" i="15" a="1"/>
  <c r="AY22" i="15" s="1"/>
  <c r="AY26" i="15" a="1"/>
  <c r="AY26" i="15" s="1"/>
  <c r="AY30" i="15" a="1"/>
  <c r="AY30" i="15" s="1"/>
  <c r="AY34" i="15" a="1"/>
  <c r="AY34" i="15" s="1"/>
  <c r="AY38" i="15" a="1"/>
  <c r="AY38" i="15" s="1"/>
  <c r="AY42" i="15" a="1"/>
  <c r="AY42" i="15" s="1"/>
  <c r="BJ13" i="15" a="1"/>
  <c r="BJ13" i="15" s="1"/>
  <c r="BJ17" i="15" a="1"/>
  <c r="BJ17" i="15" s="1"/>
  <c r="BJ21" i="15" a="1"/>
  <c r="BJ21" i="15" s="1"/>
  <c r="BJ25" i="15" a="1"/>
  <c r="BJ25" i="15" s="1"/>
  <c r="BJ29" i="15" a="1"/>
  <c r="BJ29" i="15" s="1"/>
  <c r="BJ33" i="15" a="1"/>
  <c r="BJ33" i="15" s="1"/>
  <c r="BJ37" i="15" a="1"/>
  <c r="BJ37" i="15" s="1"/>
  <c r="BJ41" i="15" a="1"/>
  <c r="BJ41" i="15" s="1"/>
  <c r="BU8" i="15" a="1"/>
  <c r="BU8" i="15" s="1"/>
  <c r="BU12" i="15" a="1"/>
  <c r="BU12" i="15" s="1"/>
  <c r="BU16" i="15" a="1"/>
  <c r="BU16" i="15" s="1"/>
  <c r="BU20" i="15" a="1"/>
  <c r="BU20" i="15" s="1"/>
  <c r="BU24" i="15" a="1"/>
  <c r="BU24" i="15" s="1"/>
  <c r="BU28" i="15" a="1"/>
  <c r="BU28" i="15" s="1"/>
  <c r="BU32" i="15" a="1"/>
  <c r="BU32" i="15" s="1"/>
  <c r="BU36" i="15" a="1"/>
  <c r="BU36" i="15" s="1"/>
  <c r="Q45" i="9"/>
  <c r="S45" i="9"/>
  <c r="S35" i="9"/>
  <c r="Q36" i="9"/>
  <c r="Q27" i="9"/>
  <c r="S25" i="9"/>
  <c r="S17" i="9"/>
  <c r="Q42" i="9"/>
  <c r="S42" i="9"/>
  <c r="S33" i="9"/>
  <c r="Q33" i="9"/>
  <c r="Q24" i="9"/>
  <c r="S26" i="9"/>
  <c r="S18" i="9"/>
  <c r="Q43" i="9"/>
  <c r="S43" i="9"/>
  <c r="S36" i="9"/>
  <c r="Q34" i="9"/>
  <c r="Q25" i="9"/>
  <c r="Q17" i="9"/>
  <c r="S27" i="9"/>
  <c r="S16" i="9"/>
  <c r="Q44" i="9"/>
  <c r="S44" i="9"/>
  <c r="S34" i="9"/>
  <c r="Q35" i="9"/>
  <c r="Q26" i="9"/>
  <c r="Q18" i="9"/>
  <c r="S24" i="9"/>
  <c r="Q16" i="9"/>
  <c r="K16" i="9"/>
  <c r="AG16" i="9" s="1"/>
  <c r="X33" i="9"/>
  <c r="Y33" i="9"/>
  <c r="AH16" i="9" l="1"/>
  <c r="AF16" i="9"/>
  <c r="AE16" i="9"/>
  <c r="AD16" i="9"/>
  <c r="AI16" i="9"/>
  <c r="K45" i="9"/>
  <c r="L34" i="9"/>
  <c r="K44" i="9"/>
  <c r="L26" i="9"/>
  <c r="K42" i="9"/>
  <c r="L25" i="9"/>
  <c r="L16" i="9"/>
  <c r="D4" i="7" s="1"/>
  <c r="L36" i="9"/>
  <c r="Z11" i="9"/>
  <c r="G10" i="9"/>
  <c r="AB45" i="9" l="1"/>
  <c r="N125" i="19" s="1"/>
  <c r="AB44" i="9"/>
  <c r="N94" i="19" s="1"/>
  <c r="AB43" i="9"/>
  <c r="N62" i="19" s="1"/>
  <c r="AA46" i="9"/>
  <c r="Z46" i="9"/>
  <c r="A97" i="19"/>
  <c r="A65" i="19"/>
  <c r="A33" i="19"/>
  <c r="A2" i="19"/>
  <c r="FF44" i="15"/>
  <c r="FB44" i="15"/>
  <c r="FA44" i="15"/>
  <c r="EZ44" i="15"/>
  <c r="FF43" i="15"/>
  <c r="FB43" i="15"/>
  <c r="FA43" i="15"/>
  <c r="EZ43" i="15"/>
  <c r="FF42" i="15"/>
  <c r="FB42" i="15"/>
  <c r="FA42" i="15"/>
  <c r="EZ42" i="15"/>
  <c r="FF41" i="15"/>
  <c r="FB41" i="15"/>
  <c r="FA41" i="15"/>
  <c r="EZ41" i="15"/>
  <c r="FF40" i="15"/>
  <c r="FB40" i="15"/>
  <c r="FA40" i="15"/>
  <c r="EZ40" i="15"/>
  <c r="FF39" i="15"/>
  <c r="FB39" i="15"/>
  <c r="FA39" i="15"/>
  <c r="EZ39" i="15"/>
  <c r="FF38" i="15"/>
  <c r="FB38" i="15"/>
  <c r="FA38" i="15"/>
  <c r="EZ38" i="15"/>
  <c r="FF37" i="15"/>
  <c r="FB37" i="15"/>
  <c r="FA37" i="15"/>
  <c r="EZ37" i="15"/>
  <c r="FF36" i="15"/>
  <c r="FB36" i="15"/>
  <c r="FA36" i="15"/>
  <c r="EZ36" i="15"/>
  <c r="FF35" i="15"/>
  <c r="FB35" i="15"/>
  <c r="FA35" i="15"/>
  <c r="EZ35" i="15"/>
  <c r="FF34" i="15"/>
  <c r="FB34" i="15"/>
  <c r="FA34" i="15"/>
  <c r="EZ34" i="15"/>
  <c r="EU44" i="15"/>
  <c r="EQ44" i="15"/>
  <c r="EP44" i="15"/>
  <c r="EO44" i="15"/>
  <c r="EU43" i="15"/>
  <c r="EQ43" i="15"/>
  <c r="EP43" i="15"/>
  <c r="EO43" i="15"/>
  <c r="EU42" i="15"/>
  <c r="EQ42" i="15"/>
  <c r="EP42" i="15"/>
  <c r="EO42" i="15"/>
  <c r="EU41" i="15"/>
  <c r="EQ41" i="15"/>
  <c r="EP41" i="15"/>
  <c r="EO41" i="15"/>
  <c r="EU40" i="15"/>
  <c r="EQ40" i="15"/>
  <c r="EP40" i="15"/>
  <c r="EO40" i="15"/>
  <c r="EU39" i="15"/>
  <c r="EQ39" i="15"/>
  <c r="EP39" i="15"/>
  <c r="EO39" i="15"/>
  <c r="EU38" i="15"/>
  <c r="EQ38" i="15"/>
  <c r="EP38" i="15"/>
  <c r="EO38" i="15"/>
  <c r="EU37" i="15"/>
  <c r="EQ37" i="15"/>
  <c r="EP37" i="15"/>
  <c r="EO37" i="15"/>
  <c r="EU36" i="15"/>
  <c r="EQ36" i="15"/>
  <c r="EP36" i="15"/>
  <c r="EO36" i="15"/>
  <c r="EU35" i="15"/>
  <c r="EQ35" i="15"/>
  <c r="EP35" i="15"/>
  <c r="EO35" i="15"/>
  <c r="EU34" i="15"/>
  <c r="EQ34" i="15"/>
  <c r="EP34" i="15"/>
  <c r="EO34" i="15"/>
  <c r="EU33" i="15"/>
  <c r="EQ33" i="15"/>
  <c r="EP33" i="15"/>
  <c r="EO33" i="15"/>
  <c r="EU32" i="15"/>
  <c r="EQ32" i="15"/>
  <c r="EP32" i="15"/>
  <c r="EO32" i="15"/>
  <c r="EU31" i="15"/>
  <c r="EQ31" i="15"/>
  <c r="EP31" i="15"/>
  <c r="EO31" i="15"/>
  <c r="EU30" i="15"/>
  <c r="EQ30" i="15"/>
  <c r="EP30" i="15"/>
  <c r="EO30" i="15"/>
  <c r="EU29" i="15"/>
  <c r="EQ29" i="15"/>
  <c r="EP29" i="15"/>
  <c r="EO29" i="15"/>
  <c r="EU28" i="15"/>
  <c r="EQ28" i="15"/>
  <c r="EP28" i="15"/>
  <c r="EO28" i="15"/>
  <c r="EU27" i="15"/>
  <c r="EQ27" i="15"/>
  <c r="EP27" i="15"/>
  <c r="EO27" i="15"/>
  <c r="EU26" i="15"/>
  <c r="EQ26" i="15"/>
  <c r="EP26" i="15"/>
  <c r="EO26" i="15"/>
  <c r="EU25" i="15"/>
  <c r="EQ25" i="15"/>
  <c r="EP25" i="15"/>
  <c r="EO25" i="15"/>
  <c r="EU24" i="15"/>
  <c r="EQ24" i="15"/>
  <c r="EP24" i="15"/>
  <c r="EO24" i="15"/>
  <c r="EU23" i="15"/>
  <c r="EQ23" i="15"/>
  <c r="EP23" i="15"/>
  <c r="EO23" i="15"/>
  <c r="EU22" i="15"/>
  <c r="EQ22" i="15"/>
  <c r="EP22" i="15"/>
  <c r="EO22" i="15"/>
  <c r="EU21" i="15"/>
  <c r="EQ21" i="15"/>
  <c r="EP21" i="15"/>
  <c r="EO21" i="15"/>
  <c r="EU20" i="15"/>
  <c r="EQ20" i="15"/>
  <c r="EP20" i="15"/>
  <c r="EO20" i="15"/>
  <c r="EU19" i="15"/>
  <c r="EQ19" i="15"/>
  <c r="EP19" i="15"/>
  <c r="EO19" i="15"/>
  <c r="EJ44" i="15"/>
  <c r="EF44" i="15"/>
  <c r="EE44" i="15"/>
  <c r="ED44" i="15"/>
  <c r="EJ43" i="15"/>
  <c r="EF43" i="15"/>
  <c r="EE43" i="15"/>
  <c r="ED43" i="15"/>
  <c r="EJ42" i="15"/>
  <c r="EF42" i="15"/>
  <c r="EE42" i="15"/>
  <c r="ED42" i="15"/>
  <c r="EJ41" i="15"/>
  <c r="EF41" i="15"/>
  <c r="EE41" i="15"/>
  <c r="ED41" i="15"/>
  <c r="EJ40" i="15"/>
  <c r="EF40" i="15"/>
  <c r="EE40" i="15"/>
  <c r="ED40" i="15"/>
  <c r="EJ39" i="15"/>
  <c r="EF39" i="15"/>
  <c r="EE39" i="15"/>
  <c r="ED39" i="15"/>
  <c r="EJ38" i="15"/>
  <c r="EF38" i="15"/>
  <c r="EE38" i="15"/>
  <c r="ED38" i="15"/>
  <c r="EJ37" i="15"/>
  <c r="EF37" i="15"/>
  <c r="EE37" i="15"/>
  <c r="ED37" i="15"/>
  <c r="EJ36" i="15"/>
  <c r="EF36" i="15"/>
  <c r="EE36" i="15"/>
  <c r="ED36" i="15"/>
  <c r="EJ35" i="15"/>
  <c r="EF35" i="15"/>
  <c r="EE35" i="15"/>
  <c r="ED35" i="15"/>
  <c r="EJ34" i="15"/>
  <c r="EF34" i="15"/>
  <c r="EE34" i="15"/>
  <c r="ED34" i="15"/>
  <c r="EJ33" i="15"/>
  <c r="EF33" i="15"/>
  <c r="EE33" i="15"/>
  <c r="ED33" i="15"/>
  <c r="EJ32" i="15"/>
  <c r="EF32" i="15"/>
  <c r="EE32" i="15"/>
  <c r="ED32" i="15"/>
  <c r="EJ31" i="15"/>
  <c r="EF31" i="15"/>
  <c r="EE31" i="15"/>
  <c r="ED31" i="15"/>
  <c r="EJ30" i="15"/>
  <c r="EF30" i="15"/>
  <c r="EE30" i="15"/>
  <c r="ED30" i="15"/>
  <c r="EJ29" i="15"/>
  <c r="EF29" i="15"/>
  <c r="EE29" i="15"/>
  <c r="ED29" i="15"/>
  <c r="EJ28" i="15"/>
  <c r="EF28" i="15"/>
  <c r="EE28" i="15"/>
  <c r="ED28" i="15"/>
  <c r="EJ27" i="15"/>
  <c r="EF27" i="15"/>
  <c r="EE27" i="15"/>
  <c r="ED27" i="15"/>
  <c r="EJ26" i="15"/>
  <c r="EF26" i="15"/>
  <c r="EE26" i="15"/>
  <c r="ED26" i="15"/>
  <c r="EJ25" i="15"/>
  <c r="EF25" i="15"/>
  <c r="EE25" i="15"/>
  <c r="ED25" i="15"/>
  <c r="EJ24" i="15"/>
  <c r="EF24" i="15"/>
  <c r="EE24" i="15"/>
  <c r="ED24" i="15"/>
  <c r="EJ23" i="15"/>
  <c r="EF23" i="15"/>
  <c r="EE23" i="15"/>
  <c r="ED23" i="15"/>
  <c r="EJ22" i="15"/>
  <c r="EF22" i="15"/>
  <c r="EE22" i="15"/>
  <c r="ED22" i="15"/>
  <c r="EJ21" i="15"/>
  <c r="EF21" i="15"/>
  <c r="EE21" i="15"/>
  <c r="ED21" i="15"/>
  <c r="EJ20" i="15"/>
  <c r="EF20" i="15"/>
  <c r="EE20" i="15"/>
  <c r="ED20" i="15"/>
  <c r="EJ19" i="15"/>
  <c r="EF19" i="15"/>
  <c r="EE19" i="15"/>
  <c r="ED19" i="15"/>
  <c r="EJ18" i="15"/>
  <c r="EF18" i="15"/>
  <c r="EE18" i="15"/>
  <c r="ED18" i="15"/>
  <c r="EJ17" i="15"/>
  <c r="EF17" i="15"/>
  <c r="EE17" i="15"/>
  <c r="ED17" i="15"/>
  <c r="EJ16" i="15"/>
  <c r="EF16" i="15"/>
  <c r="EE16" i="15"/>
  <c r="ED16" i="15"/>
  <c r="EJ15" i="15"/>
  <c r="EF15" i="15"/>
  <c r="EE15" i="15"/>
  <c r="ED15" i="15"/>
  <c r="EJ14" i="15"/>
  <c r="EF14" i="15"/>
  <c r="EE14" i="15"/>
  <c r="ED14" i="15"/>
  <c r="EJ13" i="15"/>
  <c r="EF13" i="15"/>
  <c r="EE13" i="15"/>
  <c r="ED13" i="15"/>
  <c r="EJ12" i="15"/>
  <c r="EF12" i="15"/>
  <c r="EE12" i="15"/>
  <c r="ED12" i="15"/>
  <c r="EJ11" i="15"/>
  <c r="EF11" i="15"/>
  <c r="EE11" i="15"/>
  <c r="ED11" i="15"/>
  <c r="EJ10" i="15"/>
  <c r="EF10" i="15"/>
  <c r="EE10" i="15"/>
  <c r="ED10" i="15"/>
  <c r="EJ9" i="15"/>
  <c r="EF9" i="15"/>
  <c r="EE9" i="15"/>
  <c r="ED9" i="15"/>
  <c r="DY44" i="15"/>
  <c r="DU44" i="15"/>
  <c r="DT44" i="15"/>
  <c r="DS44" i="15"/>
  <c r="DY43" i="15"/>
  <c r="DU43" i="15"/>
  <c r="DT43" i="15"/>
  <c r="DS43" i="15"/>
  <c r="DY42" i="15"/>
  <c r="DU42" i="15"/>
  <c r="DT42" i="15"/>
  <c r="DS42" i="15"/>
  <c r="DY41" i="15"/>
  <c r="DU41" i="15"/>
  <c r="DT41" i="15"/>
  <c r="DS41" i="15"/>
  <c r="DY40" i="15"/>
  <c r="DU40" i="15"/>
  <c r="DT40" i="15"/>
  <c r="DS40" i="15"/>
  <c r="DY39" i="15"/>
  <c r="DU39" i="15"/>
  <c r="DT39" i="15"/>
  <c r="DS39" i="15"/>
  <c r="DY38" i="15"/>
  <c r="DU38" i="15"/>
  <c r="DT38" i="15"/>
  <c r="DS38" i="15"/>
  <c r="DY37" i="15"/>
  <c r="DU37" i="15"/>
  <c r="DT37" i="15"/>
  <c r="DS37" i="15"/>
  <c r="DY36" i="15"/>
  <c r="DU36" i="15"/>
  <c r="DT36" i="15"/>
  <c r="DS36" i="15"/>
  <c r="DY35" i="15"/>
  <c r="DU35" i="15"/>
  <c r="DT35" i="15"/>
  <c r="DS35" i="15"/>
  <c r="DY34" i="15"/>
  <c r="DU34" i="15"/>
  <c r="DT34" i="15"/>
  <c r="DS34" i="15"/>
  <c r="DY33" i="15"/>
  <c r="DU33" i="15"/>
  <c r="DT33" i="15"/>
  <c r="DS33" i="15"/>
  <c r="DY32" i="15"/>
  <c r="DU32" i="15"/>
  <c r="DT32" i="15"/>
  <c r="DS32" i="15"/>
  <c r="DY31" i="15"/>
  <c r="DU31" i="15"/>
  <c r="DT31" i="15"/>
  <c r="DS31" i="15"/>
  <c r="DY30" i="15"/>
  <c r="DU30" i="15"/>
  <c r="DT30" i="15"/>
  <c r="DS30" i="15"/>
  <c r="DY29" i="15"/>
  <c r="DU29" i="15"/>
  <c r="DT29" i="15"/>
  <c r="DS29" i="15"/>
  <c r="DY28" i="15"/>
  <c r="DU28" i="15"/>
  <c r="DT28" i="15"/>
  <c r="DS28" i="15"/>
  <c r="DY27" i="15"/>
  <c r="DU27" i="15"/>
  <c r="DT27" i="15"/>
  <c r="DS27" i="15"/>
  <c r="DY26" i="15"/>
  <c r="DU26" i="15"/>
  <c r="DT26" i="15"/>
  <c r="DS26" i="15"/>
  <c r="DY25" i="15"/>
  <c r="DU25" i="15"/>
  <c r="DT25" i="15"/>
  <c r="DS25" i="15"/>
  <c r="DY24" i="15"/>
  <c r="DU24" i="15"/>
  <c r="DT24" i="15"/>
  <c r="DS24" i="15"/>
  <c r="DY23" i="15"/>
  <c r="DU23" i="15"/>
  <c r="DT23" i="15"/>
  <c r="DS23" i="15"/>
  <c r="DY22" i="15"/>
  <c r="DU22" i="15"/>
  <c r="DT22" i="15"/>
  <c r="DS22" i="15"/>
  <c r="DY21" i="15"/>
  <c r="DU21" i="15"/>
  <c r="DT21" i="15"/>
  <c r="DS21" i="15"/>
  <c r="DY20" i="15"/>
  <c r="DU20" i="15"/>
  <c r="DT20" i="15"/>
  <c r="DS20" i="15"/>
  <c r="DY19" i="15"/>
  <c r="DU19" i="15"/>
  <c r="DT19" i="15"/>
  <c r="DS19" i="15"/>
  <c r="DY18" i="15"/>
  <c r="DU18" i="15"/>
  <c r="DT18" i="15"/>
  <c r="DS18" i="15"/>
  <c r="DY17" i="15"/>
  <c r="DU17" i="15"/>
  <c r="DT17" i="15"/>
  <c r="DS17" i="15"/>
  <c r="DY16" i="15"/>
  <c r="DU16" i="15"/>
  <c r="DT16" i="15"/>
  <c r="DS16" i="15"/>
  <c r="DY15" i="15"/>
  <c r="DU15" i="15"/>
  <c r="DT15" i="15"/>
  <c r="DS15" i="15"/>
  <c r="DY14" i="15"/>
  <c r="DU14" i="15"/>
  <c r="DT14" i="15"/>
  <c r="DS14" i="15"/>
  <c r="DY13" i="15"/>
  <c r="DU13" i="15"/>
  <c r="DT13" i="15"/>
  <c r="DS13" i="15"/>
  <c r="DY12" i="15"/>
  <c r="DU12" i="15"/>
  <c r="DT12" i="15"/>
  <c r="DS12" i="15"/>
  <c r="DY11" i="15"/>
  <c r="DU11" i="15"/>
  <c r="DT11" i="15"/>
  <c r="DS11" i="15"/>
  <c r="DY10" i="15"/>
  <c r="DU10" i="15"/>
  <c r="DT10" i="15"/>
  <c r="DS10" i="15"/>
  <c r="DY9" i="15"/>
  <c r="DU9" i="15"/>
  <c r="DT9" i="15"/>
  <c r="DS9" i="15"/>
  <c r="AA11" i="9"/>
  <c r="AA36" i="9"/>
  <c r="Z36" i="9"/>
  <c r="Y36" i="9"/>
  <c r="M123" i="18" s="1"/>
  <c r="X36" i="9"/>
  <c r="L123" i="18" s="1"/>
  <c r="AA35" i="9"/>
  <c r="AB35" i="9" s="1"/>
  <c r="N93" i="18" s="1"/>
  <c r="Z35" i="9"/>
  <c r="Y35" i="9"/>
  <c r="M93" i="18" s="1"/>
  <c r="X35" i="9"/>
  <c r="L93" i="18" s="1"/>
  <c r="AA34" i="9"/>
  <c r="AB34" i="9" s="1"/>
  <c r="N61" i="18" s="1"/>
  <c r="Z34" i="9"/>
  <c r="X34" i="9"/>
  <c r="AA33" i="9"/>
  <c r="Z33" i="9"/>
  <c r="Z37" i="9" s="1"/>
  <c r="M30" i="18"/>
  <c r="L30" i="18"/>
  <c r="DN44" i="15"/>
  <c r="DJ44" i="15"/>
  <c r="DI44" i="15"/>
  <c r="DH44" i="15"/>
  <c r="DN43" i="15"/>
  <c r="DJ43" i="15"/>
  <c r="DI43" i="15"/>
  <c r="DH43" i="15"/>
  <c r="DN42" i="15"/>
  <c r="DJ42" i="15"/>
  <c r="DI42" i="15"/>
  <c r="DH42" i="15"/>
  <c r="DN41" i="15"/>
  <c r="DJ41" i="15"/>
  <c r="DI41" i="15"/>
  <c r="DH41" i="15"/>
  <c r="DN40" i="15"/>
  <c r="DJ40" i="15"/>
  <c r="DI40" i="15"/>
  <c r="DH40" i="15"/>
  <c r="DN39" i="15"/>
  <c r="DJ39" i="15"/>
  <c r="DI39" i="15"/>
  <c r="DH39" i="15"/>
  <c r="DN38" i="15"/>
  <c r="DJ38" i="15"/>
  <c r="DI38" i="15"/>
  <c r="DH38" i="15"/>
  <c r="DN37" i="15"/>
  <c r="DJ37" i="15"/>
  <c r="DI37" i="15"/>
  <c r="DH37" i="15"/>
  <c r="DN36" i="15"/>
  <c r="DJ36" i="15"/>
  <c r="DI36" i="15"/>
  <c r="DH36" i="15"/>
  <c r="DN35" i="15"/>
  <c r="DJ35" i="15"/>
  <c r="DI35" i="15"/>
  <c r="DH35" i="15"/>
  <c r="DN34" i="15"/>
  <c r="DJ34" i="15"/>
  <c r="DI34" i="15"/>
  <c r="DH34" i="15"/>
  <c r="DN33" i="15"/>
  <c r="DJ33" i="15"/>
  <c r="DI33" i="15"/>
  <c r="DH33" i="15"/>
  <c r="DN32" i="15"/>
  <c r="DJ32" i="15"/>
  <c r="DI32" i="15"/>
  <c r="DH32" i="15"/>
  <c r="DN31" i="15"/>
  <c r="DJ31" i="15"/>
  <c r="DI31" i="15"/>
  <c r="DH31" i="15"/>
  <c r="DN30" i="15"/>
  <c r="DJ30" i="15"/>
  <c r="DI30" i="15"/>
  <c r="DH30" i="15"/>
  <c r="DN29" i="15"/>
  <c r="DJ29" i="15"/>
  <c r="DI29" i="15"/>
  <c r="DH29" i="15"/>
  <c r="DN28" i="15"/>
  <c r="DJ28" i="15"/>
  <c r="DI28" i="15"/>
  <c r="DH28" i="15"/>
  <c r="DN27" i="15"/>
  <c r="DJ27" i="15"/>
  <c r="DI27" i="15"/>
  <c r="DH27" i="15"/>
  <c r="DN26" i="15"/>
  <c r="DJ26" i="15"/>
  <c r="DI26" i="15"/>
  <c r="DH26" i="15"/>
  <c r="DN25" i="15"/>
  <c r="DJ25" i="15"/>
  <c r="DI25" i="15"/>
  <c r="DH25" i="15"/>
  <c r="DN24" i="15"/>
  <c r="DJ24" i="15"/>
  <c r="DI24" i="15"/>
  <c r="DH24" i="15"/>
  <c r="DN23" i="15"/>
  <c r="DJ23" i="15"/>
  <c r="DI23" i="15"/>
  <c r="DH23" i="15"/>
  <c r="DN22" i="15"/>
  <c r="DJ22" i="15"/>
  <c r="DI22" i="15"/>
  <c r="DH22" i="15"/>
  <c r="DN21" i="15"/>
  <c r="DJ21" i="15"/>
  <c r="DI21" i="15"/>
  <c r="DH21" i="15"/>
  <c r="DC44" i="15"/>
  <c r="CY44" i="15"/>
  <c r="CX44" i="15"/>
  <c r="CW44" i="15"/>
  <c r="DC43" i="15"/>
  <c r="CY43" i="15"/>
  <c r="CX43" i="15"/>
  <c r="CW43" i="15"/>
  <c r="DC42" i="15"/>
  <c r="CY42" i="15"/>
  <c r="CX42" i="15"/>
  <c r="CW42" i="15"/>
  <c r="DC41" i="15"/>
  <c r="CY41" i="15"/>
  <c r="CX41" i="15"/>
  <c r="CW41" i="15"/>
  <c r="DC40" i="15"/>
  <c r="CY40" i="15"/>
  <c r="CX40" i="15"/>
  <c r="CW40" i="15"/>
  <c r="DC39" i="15"/>
  <c r="CY39" i="15"/>
  <c r="CX39" i="15"/>
  <c r="CW39" i="15"/>
  <c r="DC38" i="15"/>
  <c r="CY38" i="15"/>
  <c r="CX38" i="15"/>
  <c r="CW38" i="15"/>
  <c r="DC37" i="15"/>
  <c r="CY37" i="15"/>
  <c r="CX37" i="15"/>
  <c r="CW37" i="15"/>
  <c r="DC36" i="15"/>
  <c r="CY36" i="15"/>
  <c r="CX36" i="15"/>
  <c r="CW36" i="15"/>
  <c r="DC35" i="15"/>
  <c r="CY35" i="15"/>
  <c r="CX35" i="15"/>
  <c r="CW35" i="15"/>
  <c r="DC34" i="15"/>
  <c r="CY34" i="15"/>
  <c r="CX34" i="15"/>
  <c r="CW34" i="15"/>
  <c r="DC33" i="15"/>
  <c r="CY33" i="15"/>
  <c r="CX33" i="15"/>
  <c r="CW33" i="15"/>
  <c r="DC32" i="15"/>
  <c r="CY32" i="15"/>
  <c r="CX32" i="15"/>
  <c r="CW32" i="15"/>
  <c r="DC31" i="15"/>
  <c r="CY31" i="15"/>
  <c r="CX31" i="15"/>
  <c r="CW31" i="15"/>
  <c r="DC30" i="15"/>
  <c r="CY30" i="15"/>
  <c r="CX30" i="15"/>
  <c r="CW30" i="15"/>
  <c r="DC29" i="15"/>
  <c r="CY29" i="15"/>
  <c r="CX29" i="15"/>
  <c r="CW29" i="15"/>
  <c r="DC28" i="15"/>
  <c r="CY28" i="15"/>
  <c r="CX28" i="15"/>
  <c r="CW28" i="15"/>
  <c r="DC27" i="15"/>
  <c r="CY27" i="15"/>
  <c r="CX27" i="15"/>
  <c r="CW27" i="15"/>
  <c r="DC26" i="15"/>
  <c r="CY26" i="15"/>
  <c r="CX26" i="15"/>
  <c r="CW26" i="15"/>
  <c r="DC25" i="15"/>
  <c r="CY25" i="15"/>
  <c r="CX25" i="15"/>
  <c r="CW25" i="15"/>
  <c r="DC24" i="15"/>
  <c r="CY24" i="15"/>
  <c r="CX24" i="15"/>
  <c r="CW24" i="15"/>
  <c r="DC23" i="15"/>
  <c r="CY23" i="15"/>
  <c r="CX23" i="15"/>
  <c r="CW23" i="15"/>
  <c r="DC22" i="15"/>
  <c r="CY22" i="15"/>
  <c r="CX22" i="15"/>
  <c r="CW22" i="15"/>
  <c r="DC21" i="15"/>
  <c r="CY21" i="15"/>
  <c r="CX21" i="15"/>
  <c r="CW21" i="15"/>
  <c r="DC20" i="15"/>
  <c r="CY20" i="15"/>
  <c r="CX20" i="15"/>
  <c r="CW20" i="15"/>
  <c r="DC19" i="15"/>
  <c r="CY19" i="15"/>
  <c r="CX19" i="15"/>
  <c r="CW19" i="15"/>
  <c r="DC18" i="15"/>
  <c r="CY18" i="15"/>
  <c r="CX18" i="15"/>
  <c r="CW18" i="15"/>
  <c r="CG44" i="15"/>
  <c r="CC44" i="15"/>
  <c r="CB44" i="15"/>
  <c r="CA44" i="15"/>
  <c r="CG43" i="15"/>
  <c r="CC43" i="15"/>
  <c r="CB43" i="15"/>
  <c r="CA43" i="15"/>
  <c r="CG42" i="15"/>
  <c r="CC42" i="15"/>
  <c r="CB42" i="15"/>
  <c r="CA42" i="15"/>
  <c r="CG41" i="15"/>
  <c r="CC41" i="15"/>
  <c r="CB41" i="15"/>
  <c r="CA41" i="15"/>
  <c r="CG40" i="15"/>
  <c r="CC40" i="15"/>
  <c r="CB40" i="15"/>
  <c r="CA40" i="15"/>
  <c r="CG39" i="15"/>
  <c r="CC39" i="15"/>
  <c r="CB39" i="15"/>
  <c r="CA39" i="15"/>
  <c r="CG38" i="15"/>
  <c r="CC38" i="15"/>
  <c r="CB38" i="15"/>
  <c r="CA38" i="15"/>
  <c r="CG37" i="15"/>
  <c r="CC37" i="15"/>
  <c r="CB37" i="15"/>
  <c r="CA37" i="15"/>
  <c r="CG36" i="15"/>
  <c r="CC36" i="15"/>
  <c r="CB36" i="15"/>
  <c r="CA36" i="15"/>
  <c r="CG35" i="15"/>
  <c r="CC35" i="15"/>
  <c r="CB35" i="15"/>
  <c r="CA35" i="15"/>
  <c r="CG34" i="15"/>
  <c r="CC34" i="15"/>
  <c r="CB34" i="15"/>
  <c r="CA34" i="15"/>
  <c r="CG33" i="15"/>
  <c r="CC33" i="15"/>
  <c r="CB33" i="15"/>
  <c r="CA33" i="15"/>
  <c r="CG32" i="15"/>
  <c r="CC32" i="15"/>
  <c r="CB32" i="15"/>
  <c r="CA32" i="15"/>
  <c r="CG31" i="15"/>
  <c r="CC31" i="15"/>
  <c r="CB31" i="15"/>
  <c r="CA31" i="15"/>
  <c r="CG30" i="15"/>
  <c r="CC30" i="15"/>
  <c r="CB30" i="15"/>
  <c r="CA30" i="15"/>
  <c r="CG29" i="15"/>
  <c r="CC29" i="15"/>
  <c r="CB29" i="15"/>
  <c r="CA29" i="15"/>
  <c r="CG28" i="15"/>
  <c r="CC28" i="15"/>
  <c r="CB28" i="15"/>
  <c r="CA28" i="15"/>
  <c r="CG27" i="15"/>
  <c r="CC27" i="15"/>
  <c r="CB27" i="15"/>
  <c r="CA27" i="15"/>
  <c r="CG26" i="15"/>
  <c r="CC26" i="15"/>
  <c r="CB26" i="15"/>
  <c r="CA26" i="15"/>
  <c r="CG25" i="15"/>
  <c r="CC25" i="15"/>
  <c r="CB25" i="15"/>
  <c r="CA25" i="15"/>
  <c r="CG24" i="15"/>
  <c r="CC24" i="15"/>
  <c r="CB24" i="15"/>
  <c r="CA24" i="15"/>
  <c r="CG23" i="15"/>
  <c r="CC23" i="15"/>
  <c r="CB23" i="15"/>
  <c r="CA23" i="15"/>
  <c r="CG22" i="15"/>
  <c r="CC22" i="15"/>
  <c r="CB22" i="15"/>
  <c r="CA22" i="15"/>
  <c r="CG21" i="15"/>
  <c r="CC21" i="15"/>
  <c r="CB21" i="15"/>
  <c r="CA21" i="15"/>
  <c r="CG20" i="15"/>
  <c r="CC20" i="15"/>
  <c r="CB20" i="15"/>
  <c r="CA20" i="15"/>
  <c r="CG19" i="15"/>
  <c r="CC19" i="15"/>
  <c r="CB19" i="15"/>
  <c r="CA19" i="15"/>
  <c r="CG18" i="15"/>
  <c r="CC18" i="15"/>
  <c r="CB18" i="15"/>
  <c r="CA18" i="15"/>
  <c r="CG17" i="15"/>
  <c r="CC17" i="15"/>
  <c r="CB17" i="15"/>
  <c r="CA17" i="15"/>
  <c r="CG16" i="15"/>
  <c r="CC16" i="15"/>
  <c r="CB16" i="15"/>
  <c r="CA16" i="15"/>
  <c r="CG15" i="15"/>
  <c r="CC15" i="15"/>
  <c r="CB15" i="15"/>
  <c r="CA15" i="15"/>
  <c r="CG14" i="15"/>
  <c r="CC14" i="15"/>
  <c r="CB14" i="15"/>
  <c r="CA14" i="15"/>
  <c r="CG13" i="15"/>
  <c r="CC13" i="15"/>
  <c r="CB13" i="15"/>
  <c r="CA13" i="15"/>
  <c r="CG12" i="15"/>
  <c r="CC12" i="15"/>
  <c r="CB12" i="15"/>
  <c r="CA12" i="15"/>
  <c r="CG11" i="15"/>
  <c r="CC11" i="15"/>
  <c r="CB11" i="15"/>
  <c r="CA11" i="15"/>
  <c r="A95" i="18"/>
  <c r="A64" i="18"/>
  <c r="A32" i="18"/>
  <c r="A1" i="18"/>
  <c r="L61" i="18" l="1"/>
  <c r="Y34" i="9"/>
  <c r="M61" i="18" s="1"/>
  <c r="AB46" i="9"/>
  <c r="AB42" i="9"/>
  <c r="G43" i="9"/>
  <c r="G45" i="9"/>
  <c r="G44" i="9"/>
  <c r="X46" i="9"/>
  <c r="Y46" i="9"/>
  <c r="G42" i="9"/>
  <c r="AA37" i="9"/>
  <c r="AB37" i="9" s="1"/>
  <c r="X37" i="9"/>
  <c r="G36" i="9"/>
  <c r="F123" i="18" s="1"/>
  <c r="G35" i="9"/>
  <c r="F93" i="18" s="1"/>
  <c r="AB36" i="9"/>
  <c r="N123" i="18" s="1"/>
  <c r="AB33" i="9"/>
  <c r="N30" i="18" s="1"/>
  <c r="G33" i="9"/>
  <c r="F30" i="18" s="1"/>
  <c r="Y37" i="9" l="1"/>
  <c r="G37" i="9" s="1"/>
  <c r="G34" i="9"/>
  <c r="F61" i="18" s="1"/>
  <c r="G46" i="9"/>
  <c r="A63" i="7" l="1"/>
  <c r="A32" i="7"/>
  <c r="A97" i="13"/>
  <c r="A65" i="13"/>
  <c r="A2" i="13"/>
  <c r="A33" i="13"/>
  <c r="A1" i="7"/>
  <c r="X25" i="9" l="1"/>
  <c r="Y25" i="9"/>
  <c r="X26" i="9"/>
  <c r="Y26" i="9"/>
  <c r="X27" i="9"/>
  <c r="Y27" i="9"/>
  <c r="Y24" i="9"/>
  <c r="X24" i="9"/>
  <c r="Y17" i="9"/>
  <c r="Y18" i="9"/>
  <c r="Y16" i="9"/>
  <c r="D5" i="9"/>
  <c r="K24" i="9" l="1"/>
  <c r="K25" i="9"/>
  <c r="AG25" i="9" s="1"/>
  <c r="K18" i="9"/>
  <c r="K17" i="9"/>
  <c r="K36" i="9"/>
  <c r="K26" i="9"/>
  <c r="K34" i="9"/>
  <c r="D112" i="19"/>
  <c r="D79" i="19"/>
  <c r="D50" i="19"/>
  <c r="D46" i="19"/>
  <c r="D18" i="19"/>
  <c r="D14" i="19"/>
  <c r="D107" i="19"/>
  <c r="K106" i="19" s="1"/>
  <c r="O45" i="9"/>
  <c r="D103" i="19" s="1"/>
  <c r="K102" i="19" s="1"/>
  <c r="D73" i="19"/>
  <c r="K72" i="19" s="1"/>
  <c r="M44" i="9"/>
  <c r="D69" i="19" s="1"/>
  <c r="K68" i="19" s="1"/>
  <c r="D41" i="19"/>
  <c r="K40" i="19" s="1"/>
  <c r="M43" i="9"/>
  <c r="D37" i="19" s="1"/>
  <c r="K36" i="19" s="1"/>
  <c r="O42" i="9"/>
  <c r="FD43" i="15"/>
  <c r="FG43" i="15" s="1"/>
  <c r="FH43" i="15" s="1"/>
  <c r="FD41" i="15"/>
  <c r="FG41" i="15" s="1"/>
  <c r="FH41" i="15" s="1"/>
  <c r="FD39" i="15"/>
  <c r="FG39" i="15" s="1"/>
  <c r="FH39" i="15" s="1"/>
  <c r="FD37" i="15"/>
  <c r="FG37" i="15" s="1"/>
  <c r="FH37" i="15" s="1"/>
  <c r="FD35" i="15"/>
  <c r="FG35" i="15" s="1"/>
  <c r="FH35" i="15" s="1"/>
  <c r="ER44" i="15"/>
  <c r="ER42" i="15"/>
  <c r="ER40" i="15"/>
  <c r="ER38" i="15"/>
  <c r="ER36" i="15"/>
  <c r="ES34" i="15"/>
  <c r="EV34" i="15" s="1"/>
  <c r="EW34" i="15" s="1"/>
  <c r="ES32" i="15"/>
  <c r="EV32" i="15" s="1"/>
  <c r="EW32" i="15" s="1"/>
  <c r="ES30" i="15"/>
  <c r="EV30" i="15" s="1"/>
  <c r="EW30" i="15" s="1"/>
  <c r="ES28" i="15"/>
  <c r="EV28" i="15" s="1"/>
  <c r="EW28" i="15" s="1"/>
  <c r="ES26" i="15"/>
  <c r="EV26" i="15" s="1"/>
  <c r="EW26" i="15" s="1"/>
  <c r="ES24" i="15"/>
  <c r="EV24" i="15" s="1"/>
  <c r="EW24" i="15" s="1"/>
  <c r="ES22" i="15"/>
  <c r="EV22" i="15" s="1"/>
  <c r="EW22" i="15" s="1"/>
  <c r="ES20" i="15"/>
  <c r="EV20" i="15" s="1"/>
  <c r="EW20" i="15" s="1"/>
  <c r="EG43" i="15"/>
  <c r="EG41" i="15"/>
  <c r="EG39" i="15"/>
  <c r="EH37" i="15"/>
  <c r="EK37" i="15" s="1"/>
  <c r="EL37" i="15" s="1"/>
  <c r="EH35" i="15"/>
  <c r="EK35" i="15" s="1"/>
  <c r="EL35" i="15" s="1"/>
  <c r="EH33" i="15"/>
  <c r="EK33" i="15" s="1"/>
  <c r="EL33" i="15" s="1"/>
  <c r="EH31" i="15"/>
  <c r="EK31" i="15" s="1"/>
  <c r="EL31" i="15" s="1"/>
  <c r="EH29" i="15"/>
  <c r="EK29" i="15" s="1"/>
  <c r="EL29" i="15" s="1"/>
  <c r="EH27" i="15"/>
  <c r="EK27" i="15" s="1"/>
  <c r="EL27" i="15" s="1"/>
  <c r="EH25" i="15"/>
  <c r="EK25" i="15" s="1"/>
  <c r="EL25" i="15" s="1"/>
  <c r="D111" i="19"/>
  <c r="D82" i="19"/>
  <c r="D77" i="19"/>
  <c r="D47" i="19"/>
  <c r="D17" i="19"/>
  <c r="P45" i="9"/>
  <c r="D104" i="19" s="1"/>
  <c r="K103" i="19" s="1"/>
  <c r="T44" i="9"/>
  <c r="D76" i="19" s="1"/>
  <c r="K75" i="19" s="1"/>
  <c r="O44" i="9"/>
  <c r="D71" i="19" s="1"/>
  <c r="K70" i="19" s="1"/>
  <c r="R43" i="9"/>
  <c r="D42" i="19" s="1"/>
  <c r="K41" i="19" s="1"/>
  <c r="L43" i="9"/>
  <c r="D36" i="19" s="1"/>
  <c r="K35" i="19" s="1"/>
  <c r="L42" i="9"/>
  <c r="FC43" i="15"/>
  <c r="FD40" i="15"/>
  <c r="FG40" i="15" s="1"/>
  <c r="FH40" i="15" s="1"/>
  <c r="FC38" i="15"/>
  <c r="FC35" i="15"/>
  <c r="ES43" i="15"/>
  <c r="EV43" i="15" s="1"/>
  <c r="EW43" i="15" s="1"/>
  <c r="ER41" i="15"/>
  <c r="ES38" i="15"/>
  <c r="EV38" i="15" s="1"/>
  <c r="EW38" i="15" s="1"/>
  <c r="ES35" i="15"/>
  <c r="EV35" i="15" s="1"/>
  <c r="EW35" i="15" s="1"/>
  <c r="ES33" i="15"/>
  <c r="EV33" i="15" s="1"/>
  <c r="EW33" i="15" s="1"/>
  <c r="ER31" i="15"/>
  <c r="ER28" i="15"/>
  <c r="ES25" i="15"/>
  <c r="EV25" i="15" s="1"/>
  <c r="EW25" i="15" s="1"/>
  <c r="ER23" i="15"/>
  <c r="ER20" i="15"/>
  <c r="EH42" i="15"/>
  <c r="EK42" i="15" s="1"/>
  <c r="EL42" i="15" s="1"/>
  <c r="EG40" i="15"/>
  <c r="EG37" i="15"/>
  <c r="EH34" i="15"/>
  <c r="EK34" i="15" s="1"/>
  <c r="EL34" i="15" s="1"/>
  <c r="EG32" i="15"/>
  <c r="EG29" i="15"/>
  <c r="EH26" i="15"/>
  <c r="EK26" i="15" s="1"/>
  <c r="EL26" i="15" s="1"/>
  <c r="EG24" i="15"/>
  <c r="EG22" i="15"/>
  <c r="EG20" i="15"/>
  <c r="EG18" i="15"/>
  <c r="EG16" i="15"/>
  <c r="EG14" i="15"/>
  <c r="EG12" i="15"/>
  <c r="EG10" i="15"/>
  <c r="DW44" i="15"/>
  <c r="DZ44" i="15" s="1"/>
  <c r="EA44" i="15" s="1"/>
  <c r="DV41" i="15"/>
  <c r="DV39" i="15"/>
  <c r="DV37" i="15"/>
  <c r="DV35" i="15"/>
  <c r="DV33" i="15"/>
  <c r="DV31" i="15"/>
  <c r="DV29" i="15"/>
  <c r="DV27" i="15"/>
  <c r="DV25" i="15"/>
  <c r="DV23" i="15"/>
  <c r="DW21" i="15"/>
  <c r="DZ21" i="15" s="1"/>
  <c r="EA21" i="15" s="1"/>
  <c r="DW19" i="15"/>
  <c r="DZ19" i="15" s="1"/>
  <c r="EA19" i="15" s="1"/>
  <c r="DW17" i="15"/>
  <c r="DZ17" i="15" s="1"/>
  <c r="EA17" i="15" s="1"/>
  <c r="D110" i="19"/>
  <c r="D81" i="19"/>
  <c r="D45" i="19"/>
  <c r="D16" i="19"/>
  <c r="T45" i="9"/>
  <c r="D108" i="19" s="1"/>
  <c r="K107" i="19" s="1"/>
  <c r="N45" i="9"/>
  <c r="D75" i="19"/>
  <c r="K74" i="19" s="1"/>
  <c r="N44" i="9"/>
  <c r="P43" i="9"/>
  <c r="D40" i="19" s="1"/>
  <c r="K39" i="19" s="1"/>
  <c r="K43" i="9"/>
  <c r="P42" i="9"/>
  <c r="FD42" i="15"/>
  <c r="FG42" i="15" s="1"/>
  <c r="FH42" i="15" s="1"/>
  <c r="FC40" i="15"/>
  <c r="FC37" i="15"/>
  <c r="FD34" i="15"/>
  <c r="FG34" i="15" s="1"/>
  <c r="FH34" i="15" s="1"/>
  <c r="EY4" i="15" a="1"/>
  <c r="D114" i="19"/>
  <c r="D109" i="19"/>
  <c r="D80" i="19"/>
  <c r="D49" i="19"/>
  <c r="D15" i="19"/>
  <c r="R45" i="9"/>
  <c r="D106" i="19" s="1"/>
  <c r="K105" i="19" s="1"/>
  <c r="M45" i="9"/>
  <c r="D101" i="19" s="1"/>
  <c r="K100" i="19" s="1"/>
  <c r="R44" i="9"/>
  <c r="D74" i="19" s="1"/>
  <c r="K73" i="19" s="1"/>
  <c r="L44" i="9"/>
  <c r="D68" i="19" s="1"/>
  <c r="K67" i="19" s="1"/>
  <c r="T43" i="9"/>
  <c r="D44" i="19" s="1"/>
  <c r="K43" i="19" s="1"/>
  <c r="O43" i="9"/>
  <c r="D39" i="19" s="1"/>
  <c r="K38" i="19" s="1"/>
  <c r="T42" i="9"/>
  <c r="N42" i="9"/>
  <c r="FD44" i="15"/>
  <c r="FG44" i="15" s="1"/>
  <c r="FH44" i="15" s="1"/>
  <c r="FC42" i="15"/>
  <c r="FC39" i="15"/>
  <c r="FD36" i="15"/>
  <c r="FG36" i="15" s="1"/>
  <c r="FH36" i="15" s="1"/>
  <c r="FC34" i="15"/>
  <c r="ES42" i="15"/>
  <c r="EV42" i="15" s="1"/>
  <c r="EW42" i="15" s="1"/>
  <c r="ES39" i="15"/>
  <c r="EV39" i="15" s="1"/>
  <c r="EW39" i="15" s="1"/>
  <c r="ER37" i="15"/>
  <c r="ER32" i="15"/>
  <c r="ES29" i="15"/>
  <c r="EV29" i="15" s="1"/>
  <c r="EW29" i="15" s="1"/>
  <c r="ER27" i="15"/>
  <c r="ER24" i="15"/>
  <c r="ES21" i="15"/>
  <c r="EV21" i="15" s="1"/>
  <c r="EW21" i="15" s="1"/>
  <c r="ER19" i="15"/>
  <c r="EG44" i="15"/>
  <c r="EH41" i="15"/>
  <c r="EK41" i="15" s="1"/>
  <c r="EL41" i="15" s="1"/>
  <c r="EH38" i="15"/>
  <c r="EK38" i="15" s="1"/>
  <c r="EL38" i="15" s="1"/>
  <c r="EG36" i="15"/>
  <c r="EG33" i="15"/>
  <c r="EH30" i="15"/>
  <c r="EK30" i="15" s="1"/>
  <c r="EL30" i="15" s="1"/>
  <c r="EG28" i="15"/>
  <c r="EG25" i="15"/>
  <c r="EG23" i="15"/>
  <c r="EG21" i="15"/>
  <c r="EG19" i="15"/>
  <c r="EG17" i="15"/>
  <c r="EG15" i="15"/>
  <c r="EG13" i="15"/>
  <c r="EG11" i="15"/>
  <c r="EG9" i="15"/>
  <c r="EC4" i="15" a="1"/>
  <c r="D113" i="19"/>
  <c r="D78" i="19"/>
  <c r="D48" i="19"/>
  <c r="D19" i="19"/>
  <c r="D105" i="19"/>
  <c r="K104" i="19" s="1"/>
  <c r="L45" i="9"/>
  <c r="D100" i="19" s="1"/>
  <c r="K99" i="19" s="1"/>
  <c r="P44" i="9"/>
  <c r="D72" i="19" s="1"/>
  <c r="K71" i="19" s="1"/>
  <c r="D43" i="19"/>
  <c r="K42" i="19" s="1"/>
  <c r="N43" i="9"/>
  <c r="R42" i="9"/>
  <c r="M42" i="9"/>
  <c r="FC44" i="15"/>
  <c r="FC41" i="15"/>
  <c r="FD38" i="15"/>
  <c r="FG38" i="15" s="1"/>
  <c r="FH38" i="15" s="1"/>
  <c r="FC36" i="15"/>
  <c r="ES44" i="15"/>
  <c r="EV44" i="15" s="1"/>
  <c r="EW44" i="15" s="1"/>
  <c r="ES41" i="15"/>
  <c r="EV41" i="15" s="1"/>
  <c r="EW41" i="15" s="1"/>
  <c r="ER39" i="15"/>
  <c r="ES36" i="15"/>
  <c r="EV36" i="15" s="1"/>
  <c r="EW36" i="15" s="1"/>
  <c r="ER34" i="15"/>
  <c r="ES31" i="15"/>
  <c r="EV31" i="15" s="1"/>
  <c r="EW31" i="15" s="1"/>
  <c r="ER29" i="15"/>
  <c r="ER26" i="15"/>
  <c r="ES23" i="15"/>
  <c r="EV23" i="15" s="1"/>
  <c r="EW23" i="15" s="1"/>
  <c r="ER21" i="15"/>
  <c r="EN4" i="15" a="1"/>
  <c r="ES40" i="15"/>
  <c r="EV40" i="15" s="1"/>
  <c r="EW40" i="15" s="1"/>
  <c r="ER33" i="15"/>
  <c r="ER22" i="15"/>
  <c r="EH43" i="15"/>
  <c r="EK43" i="15" s="1"/>
  <c r="EL43" i="15" s="1"/>
  <c r="EG38" i="15"/>
  <c r="EH32" i="15"/>
  <c r="EK32" i="15" s="1"/>
  <c r="EL32" i="15" s="1"/>
  <c r="EG27" i="15"/>
  <c r="EH22" i="15"/>
  <c r="EK22" i="15" s="1"/>
  <c r="EL22" i="15" s="1"/>
  <c r="EH18" i="15"/>
  <c r="EK18" i="15" s="1"/>
  <c r="EL18" i="15" s="1"/>
  <c r="EH14" i="15"/>
  <c r="EK14" i="15" s="1"/>
  <c r="EL14" i="15" s="1"/>
  <c r="EH10" i="15"/>
  <c r="DV43" i="15"/>
  <c r="DW41" i="15"/>
  <c r="DZ41" i="15" s="1"/>
  <c r="EA41" i="15" s="1"/>
  <c r="DW38" i="15"/>
  <c r="DZ38" i="15" s="1"/>
  <c r="EA38" i="15" s="1"/>
  <c r="DV36" i="15"/>
  <c r="DW33" i="15"/>
  <c r="DZ33" i="15" s="1"/>
  <c r="EA33" i="15" s="1"/>
  <c r="DW30" i="15"/>
  <c r="DZ30" i="15" s="1"/>
  <c r="EA30" i="15" s="1"/>
  <c r="DV28" i="15"/>
  <c r="DW25" i="15"/>
  <c r="DZ25" i="15" s="1"/>
  <c r="EA25" i="15" s="1"/>
  <c r="DW22" i="15"/>
  <c r="DZ22" i="15" s="1"/>
  <c r="EA22" i="15" s="1"/>
  <c r="DW20" i="15"/>
  <c r="DZ20" i="15" s="1"/>
  <c r="EA20" i="15" s="1"/>
  <c r="DV18" i="15"/>
  <c r="DW15" i="15"/>
  <c r="DZ15" i="15" s="1"/>
  <c r="EA15" i="15" s="1"/>
  <c r="DW13" i="15"/>
  <c r="DZ13" i="15" s="1"/>
  <c r="EA13" i="15" s="1"/>
  <c r="DW11" i="15"/>
  <c r="DW9" i="15"/>
  <c r="O34" i="9"/>
  <c r="D38" i="18" s="1"/>
  <c r="K37" i="18" s="1"/>
  <c r="D109" i="18"/>
  <c r="D80" i="18"/>
  <c r="D76" i="18"/>
  <c r="D46" i="18"/>
  <c r="D17" i="18"/>
  <c r="D13" i="18"/>
  <c r="R36" i="9"/>
  <c r="D104" i="18" s="1"/>
  <c r="K103" i="18" s="1"/>
  <c r="N36" i="9"/>
  <c r="T35" i="9"/>
  <c r="D75" i="18" s="1"/>
  <c r="K74" i="18" s="1"/>
  <c r="P35" i="9"/>
  <c r="D71" i="18" s="1"/>
  <c r="K70" i="18" s="1"/>
  <c r="L35" i="9"/>
  <c r="D67" i="18" s="1"/>
  <c r="K66" i="18" s="1"/>
  <c r="R34" i="9"/>
  <c r="D41" i="18" s="1"/>
  <c r="K40" i="18" s="1"/>
  <c r="M34" i="9"/>
  <c r="D36" i="18" s="1"/>
  <c r="K35" i="18" s="1"/>
  <c r="O33" i="9"/>
  <c r="K33" i="9"/>
  <c r="DL43" i="15"/>
  <c r="DO43" i="15" s="1"/>
  <c r="DP43" i="15" s="1"/>
  <c r="DL41" i="15"/>
  <c r="DO41" i="15" s="1"/>
  <c r="DP41" i="15" s="1"/>
  <c r="DL39" i="15"/>
  <c r="DO39" i="15" s="1"/>
  <c r="DP39" i="15" s="1"/>
  <c r="DL37" i="15"/>
  <c r="DO37" i="15" s="1"/>
  <c r="DP37" i="15" s="1"/>
  <c r="DL35" i="15"/>
  <c r="DO35" i="15" s="1"/>
  <c r="DP35" i="15" s="1"/>
  <c r="DL33" i="15"/>
  <c r="DO33" i="15" s="1"/>
  <c r="DP33" i="15" s="1"/>
  <c r="DL31" i="15"/>
  <c r="DO31" i="15" s="1"/>
  <c r="DP31" i="15" s="1"/>
  <c r="DL29" i="15"/>
  <c r="DO29" i="15" s="1"/>
  <c r="DP29" i="15" s="1"/>
  <c r="DL27" i="15"/>
  <c r="DO27" i="15" s="1"/>
  <c r="DP27" i="15" s="1"/>
  <c r="DL25" i="15"/>
  <c r="DO25" i="15" s="1"/>
  <c r="DP25" i="15" s="1"/>
  <c r="DL23" i="15"/>
  <c r="DO23" i="15" s="1"/>
  <c r="DP23" i="15" s="1"/>
  <c r="DL21" i="15"/>
  <c r="DO21" i="15" s="1"/>
  <c r="DP21" i="15" s="1"/>
  <c r="CZ44" i="15"/>
  <c r="CZ42" i="15"/>
  <c r="CZ40" i="15"/>
  <c r="CZ38" i="15"/>
  <c r="CZ36" i="15"/>
  <c r="CZ34" i="15"/>
  <c r="CZ32" i="15"/>
  <c r="CZ30" i="15"/>
  <c r="CZ28" i="15"/>
  <c r="CZ26" i="15"/>
  <c r="ES37" i="15"/>
  <c r="EV37" i="15" s="1"/>
  <c r="EW37" i="15" s="1"/>
  <c r="ER30" i="15"/>
  <c r="ES19" i="15"/>
  <c r="EV19" i="15" s="1"/>
  <c r="EW19" i="15" s="1"/>
  <c r="EG42" i="15"/>
  <c r="EH36" i="15"/>
  <c r="EK36" i="15" s="1"/>
  <c r="EL36" i="15" s="1"/>
  <c r="EG31" i="15"/>
  <c r="EG26" i="15"/>
  <c r="EH21" i="15"/>
  <c r="EK21" i="15" s="1"/>
  <c r="EL21" i="15" s="1"/>
  <c r="EH17" i="15"/>
  <c r="EK17" i="15" s="1"/>
  <c r="EL17" i="15" s="1"/>
  <c r="EH13" i="15"/>
  <c r="EK13" i="15" s="1"/>
  <c r="EL13" i="15" s="1"/>
  <c r="EH9" i="15"/>
  <c r="DW40" i="15"/>
  <c r="DZ40" i="15" s="1"/>
  <c r="EA40" i="15" s="1"/>
  <c r="DV38" i="15"/>
  <c r="DW35" i="15"/>
  <c r="DZ35" i="15" s="1"/>
  <c r="EA35" i="15" s="1"/>
  <c r="DW32" i="15"/>
  <c r="DZ32" i="15" s="1"/>
  <c r="EA32" i="15" s="1"/>
  <c r="DV30" i="15"/>
  <c r="DW27" i="15"/>
  <c r="DZ27" i="15" s="1"/>
  <c r="EA27" i="15" s="1"/>
  <c r="DW24" i="15"/>
  <c r="DZ24" i="15" s="1"/>
  <c r="EA24" i="15" s="1"/>
  <c r="DV22" i="15"/>
  <c r="DV20" i="15"/>
  <c r="DV17" i="15"/>
  <c r="DV15" i="15"/>
  <c r="DV13" i="15"/>
  <c r="DV11" i="15"/>
  <c r="DV9" i="15"/>
  <c r="DR4" i="15" a="1"/>
  <c r="DX5" i="15" s="1" a="1"/>
  <c r="DX5" i="15" s="1"/>
  <c r="ER35" i="15"/>
  <c r="ES27" i="15"/>
  <c r="EV27" i="15" s="1"/>
  <c r="EW27" i="15" s="1"/>
  <c r="EH40" i="15"/>
  <c r="EK40" i="15" s="1"/>
  <c r="EL40" i="15" s="1"/>
  <c r="EG35" i="15"/>
  <c r="EG30" i="15"/>
  <c r="EH24" i="15"/>
  <c r="EK24" i="15" s="1"/>
  <c r="EL24" i="15" s="1"/>
  <c r="EH20" i="15"/>
  <c r="EK20" i="15" s="1"/>
  <c r="EL20" i="15" s="1"/>
  <c r="EH16" i="15"/>
  <c r="EK16" i="15" s="1"/>
  <c r="EL16" i="15" s="1"/>
  <c r="EH12" i="15"/>
  <c r="EK12" i="15" s="1"/>
  <c r="EL12" i="15" s="1"/>
  <c r="DV44" i="15"/>
  <c r="DW42" i="15"/>
  <c r="DZ42" i="15" s="1"/>
  <c r="EA42" i="15" s="1"/>
  <c r="DV40" i="15"/>
  <c r="DW37" i="15"/>
  <c r="DZ37" i="15" s="1"/>
  <c r="EA37" i="15" s="1"/>
  <c r="DW34" i="15"/>
  <c r="DZ34" i="15" s="1"/>
  <c r="EA34" i="15" s="1"/>
  <c r="DV32" i="15"/>
  <c r="DW29" i="15"/>
  <c r="DZ29" i="15" s="1"/>
  <c r="EA29" i="15" s="1"/>
  <c r="DW26" i="15"/>
  <c r="DZ26" i="15" s="1"/>
  <c r="EA26" i="15" s="1"/>
  <c r="DV24" i="15"/>
  <c r="DV19" i="15"/>
  <c r="DW16" i="15"/>
  <c r="DZ16" i="15" s="1"/>
  <c r="EA16" i="15" s="1"/>
  <c r="DW14" i="15"/>
  <c r="DZ14" i="15" s="1"/>
  <c r="EA14" i="15" s="1"/>
  <c r="DW12" i="15"/>
  <c r="DZ12" i="15" s="1"/>
  <c r="EA12" i="15" s="1"/>
  <c r="DW10" i="15"/>
  <c r="D111" i="18"/>
  <c r="D107" i="18"/>
  <c r="D78" i="18"/>
  <c r="D48" i="18"/>
  <c r="D44" i="18"/>
  <c r="D15" i="18"/>
  <c r="T36" i="9"/>
  <c r="D106" i="18" s="1"/>
  <c r="K105" i="18" s="1"/>
  <c r="P36" i="9"/>
  <c r="D102" i="18" s="1"/>
  <c r="K101" i="18" s="1"/>
  <c r="D98" i="18"/>
  <c r="K97" i="18" s="1"/>
  <c r="R35" i="9"/>
  <c r="D73" i="18" s="1"/>
  <c r="K72" i="18" s="1"/>
  <c r="N35" i="9"/>
  <c r="T34" i="9"/>
  <c r="D43" i="18" s="1"/>
  <c r="K42" i="18" s="1"/>
  <c r="P34" i="9"/>
  <c r="D39" i="18" s="1"/>
  <c r="K38" i="18" s="1"/>
  <c r="M33" i="9"/>
  <c r="DL44" i="15"/>
  <c r="DO44" i="15" s="1"/>
  <c r="DP44" i="15" s="1"/>
  <c r="DL42" i="15"/>
  <c r="DO42" i="15" s="1"/>
  <c r="DP42" i="15" s="1"/>
  <c r="DL40" i="15"/>
  <c r="DO40" i="15" s="1"/>
  <c r="DP40" i="15" s="1"/>
  <c r="DL38" i="15"/>
  <c r="DO38" i="15" s="1"/>
  <c r="DP38" i="15" s="1"/>
  <c r="DL36" i="15"/>
  <c r="DO36" i="15" s="1"/>
  <c r="DP36" i="15" s="1"/>
  <c r="DL34" i="15"/>
  <c r="DO34" i="15" s="1"/>
  <c r="DP34" i="15" s="1"/>
  <c r="DL32" i="15"/>
  <c r="DO32" i="15" s="1"/>
  <c r="DP32" i="15" s="1"/>
  <c r="DL30" i="15"/>
  <c r="DO30" i="15" s="1"/>
  <c r="DP30" i="15" s="1"/>
  <c r="DL28" i="15"/>
  <c r="DO28" i="15" s="1"/>
  <c r="DP28" i="15" s="1"/>
  <c r="DL26" i="15"/>
  <c r="DO26" i="15" s="1"/>
  <c r="DP26" i="15" s="1"/>
  <c r="DL24" i="15"/>
  <c r="DO24" i="15" s="1"/>
  <c r="DP24" i="15" s="1"/>
  <c r="DL22" i="15"/>
  <c r="DO22" i="15" s="1"/>
  <c r="DP22" i="15" s="1"/>
  <c r="CZ43" i="15"/>
  <c r="CZ41" i="15"/>
  <c r="CZ39" i="15"/>
  <c r="CZ37" i="15"/>
  <c r="CZ35" i="15"/>
  <c r="CZ33" i="15"/>
  <c r="CZ31" i="15"/>
  <c r="CZ29" i="15"/>
  <c r="CZ27" i="15"/>
  <c r="ER43" i="15"/>
  <c r="ER25" i="15"/>
  <c r="EH44" i="15"/>
  <c r="EK44" i="15" s="1"/>
  <c r="EL44" i="15" s="1"/>
  <c r="EH39" i="15"/>
  <c r="EK39" i="15" s="1"/>
  <c r="EL39" i="15" s="1"/>
  <c r="EG34" i="15"/>
  <c r="EH28" i="15"/>
  <c r="EK28" i="15" s="1"/>
  <c r="EL28" i="15" s="1"/>
  <c r="EH23" i="15"/>
  <c r="EK23" i="15" s="1"/>
  <c r="EL23" i="15" s="1"/>
  <c r="EH19" i="15"/>
  <c r="EK19" i="15" s="1"/>
  <c r="EL19" i="15" s="1"/>
  <c r="EH15" i="15"/>
  <c r="EK15" i="15" s="1"/>
  <c r="EL15" i="15" s="1"/>
  <c r="EH11" i="15"/>
  <c r="DW43" i="15"/>
  <c r="DZ43" i="15" s="1"/>
  <c r="EA43" i="15" s="1"/>
  <c r="DV42" i="15"/>
  <c r="DW39" i="15"/>
  <c r="DZ39" i="15" s="1"/>
  <c r="EA39" i="15" s="1"/>
  <c r="DW36" i="15"/>
  <c r="DZ36" i="15" s="1"/>
  <c r="EA36" i="15" s="1"/>
  <c r="DV34" i="15"/>
  <c r="DW31" i="15"/>
  <c r="DZ31" i="15" s="1"/>
  <c r="EA31" i="15" s="1"/>
  <c r="DW28" i="15"/>
  <c r="DZ28" i="15" s="1"/>
  <c r="EA28" i="15" s="1"/>
  <c r="DV26" i="15"/>
  <c r="DW23" i="15"/>
  <c r="DZ23" i="15" s="1"/>
  <c r="EA23" i="15" s="1"/>
  <c r="DV21" i="15"/>
  <c r="DW18" i="15"/>
  <c r="DZ18" i="15" s="1"/>
  <c r="EA18" i="15" s="1"/>
  <c r="DV16" i="15"/>
  <c r="DV14" i="15"/>
  <c r="DV12" i="15"/>
  <c r="DV10" i="15"/>
  <c r="D110" i="18"/>
  <c r="D81" i="18"/>
  <c r="D77" i="18"/>
  <c r="D47" i="18"/>
  <c r="D18" i="18"/>
  <c r="D14" i="18"/>
  <c r="D105" i="18"/>
  <c r="K104" i="18" s="1"/>
  <c r="O36" i="9"/>
  <c r="D101" i="18" s="1"/>
  <c r="K100" i="18" s="1"/>
  <c r="D72" i="18"/>
  <c r="K71" i="18" s="1"/>
  <c r="M35" i="9"/>
  <c r="D68" i="18" s="1"/>
  <c r="K67" i="18" s="1"/>
  <c r="D42" i="18"/>
  <c r="K41" i="18" s="1"/>
  <c r="N34" i="9"/>
  <c r="T33" i="9"/>
  <c r="P33" i="9"/>
  <c r="L33" i="9"/>
  <c r="DK44" i="15"/>
  <c r="DK42" i="15"/>
  <c r="DK40" i="15"/>
  <c r="DK38" i="15"/>
  <c r="DK36" i="15"/>
  <c r="DK34" i="15"/>
  <c r="DK32" i="15"/>
  <c r="DK30" i="15"/>
  <c r="DK28" i="15"/>
  <c r="DK26" i="15"/>
  <c r="DK24" i="15"/>
  <c r="DK22" i="15"/>
  <c r="DA44" i="15"/>
  <c r="DD44" i="15" s="1"/>
  <c r="DE44" i="15" s="1"/>
  <c r="DA42" i="15"/>
  <c r="DD42" i="15" s="1"/>
  <c r="DE42" i="15" s="1"/>
  <c r="DA40" i="15"/>
  <c r="DD40" i="15" s="1"/>
  <c r="DE40" i="15" s="1"/>
  <c r="DA38" i="15"/>
  <c r="DD38" i="15" s="1"/>
  <c r="DE38" i="15" s="1"/>
  <c r="DA36" i="15"/>
  <c r="DD36" i="15" s="1"/>
  <c r="DE36" i="15" s="1"/>
  <c r="DA34" i="15"/>
  <c r="DD34" i="15" s="1"/>
  <c r="DE34" i="15" s="1"/>
  <c r="DA32" i="15"/>
  <c r="DD32" i="15" s="1"/>
  <c r="DE32" i="15" s="1"/>
  <c r="DA30" i="15"/>
  <c r="DD30" i="15" s="1"/>
  <c r="DE30" i="15" s="1"/>
  <c r="DA28" i="15"/>
  <c r="DD28" i="15" s="1"/>
  <c r="DE28" i="15" s="1"/>
  <c r="DA26" i="15"/>
  <c r="DD26" i="15" s="1"/>
  <c r="DE26" i="15" s="1"/>
  <c r="D49" i="18"/>
  <c r="D103" i="18"/>
  <c r="K102" i="18" s="1"/>
  <c r="K35" i="9"/>
  <c r="N33" i="9"/>
  <c r="DK39" i="15"/>
  <c r="DK31" i="15"/>
  <c r="DK23" i="15"/>
  <c r="DA41" i="15"/>
  <c r="DD41" i="15" s="1"/>
  <c r="DE41" i="15" s="1"/>
  <c r="DA33" i="15"/>
  <c r="DD33" i="15" s="1"/>
  <c r="DE33" i="15" s="1"/>
  <c r="DA25" i="15"/>
  <c r="DD25" i="15" s="1"/>
  <c r="DE25" i="15" s="1"/>
  <c r="DA23" i="15"/>
  <c r="DD23" i="15" s="1"/>
  <c r="DE23" i="15" s="1"/>
  <c r="DA21" i="15"/>
  <c r="DD21" i="15" s="1"/>
  <c r="DE21" i="15" s="1"/>
  <c r="DA19" i="15"/>
  <c r="DD19" i="15" s="1"/>
  <c r="DE19" i="15" s="1"/>
  <c r="CD43" i="15"/>
  <c r="CD41" i="15"/>
  <c r="CD39" i="15"/>
  <c r="CD37" i="15"/>
  <c r="CD35" i="15"/>
  <c r="CD33" i="15"/>
  <c r="CD31" i="15"/>
  <c r="CD29" i="15"/>
  <c r="CD27" i="15"/>
  <c r="CD25" i="15"/>
  <c r="CD23" i="15"/>
  <c r="CD21" i="15"/>
  <c r="CD19" i="15"/>
  <c r="CD17" i="15"/>
  <c r="CD15" i="15"/>
  <c r="CD13" i="15"/>
  <c r="CD11" i="15"/>
  <c r="BZ4" i="15" a="1"/>
  <c r="D112" i="18"/>
  <c r="D45" i="18"/>
  <c r="M36" i="9"/>
  <c r="D99" i="18" s="1"/>
  <c r="K98" i="18" s="1"/>
  <c r="D40" i="18"/>
  <c r="K39" i="18" s="1"/>
  <c r="DK37" i="15"/>
  <c r="DK29" i="15"/>
  <c r="DK21" i="15"/>
  <c r="DG4" i="15" a="1"/>
  <c r="DM7" i="15" s="1" a="1"/>
  <c r="DM7" i="15" s="1"/>
  <c r="CE44" i="15"/>
  <c r="CH44" i="15" s="1"/>
  <c r="CI44" i="15" s="1"/>
  <c r="CE42" i="15"/>
  <c r="CH42" i="15" s="1"/>
  <c r="CI42" i="15" s="1"/>
  <c r="CE40" i="15"/>
  <c r="CH40" i="15" s="1"/>
  <c r="CI40" i="15" s="1"/>
  <c r="CE38" i="15"/>
  <c r="CH38" i="15" s="1"/>
  <c r="CI38" i="15" s="1"/>
  <c r="CE36" i="15"/>
  <c r="CH36" i="15" s="1"/>
  <c r="CI36" i="15" s="1"/>
  <c r="CE34" i="15"/>
  <c r="CH34" i="15" s="1"/>
  <c r="CI34" i="15" s="1"/>
  <c r="CE32" i="15"/>
  <c r="CH32" i="15" s="1"/>
  <c r="CI32" i="15" s="1"/>
  <c r="CE30" i="15"/>
  <c r="CH30" i="15" s="1"/>
  <c r="CI30" i="15" s="1"/>
  <c r="CE28" i="15"/>
  <c r="CH28" i="15" s="1"/>
  <c r="CI28" i="15" s="1"/>
  <c r="CE26" i="15"/>
  <c r="CH26" i="15" s="1"/>
  <c r="CI26" i="15" s="1"/>
  <c r="CE24" i="15"/>
  <c r="CH24" i="15" s="1"/>
  <c r="CI24" i="15" s="1"/>
  <c r="CE22" i="15"/>
  <c r="CH22" i="15" s="1"/>
  <c r="CI22" i="15" s="1"/>
  <c r="CE20" i="15"/>
  <c r="CH20" i="15" s="1"/>
  <c r="CI20" i="15" s="1"/>
  <c r="CE18" i="15"/>
  <c r="CH18" i="15" s="1"/>
  <c r="CI18" i="15" s="1"/>
  <c r="CE16" i="15"/>
  <c r="CH16" i="15" s="1"/>
  <c r="CI16" i="15" s="1"/>
  <c r="CE14" i="15"/>
  <c r="CH14" i="15" s="1"/>
  <c r="CI14" i="15" s="1"/>
  <c r="CE12" i="15"/>
  <c r="CH12" i="15" s="1"/>
  <c r="CI12" i="15" s="1"/>
  <c r="D108" i="18"/>
  <c r="D16" i="18"/>
  <c r="D74" i="18"/>
  <c r="K73" i="18" s="1"/>
  <c r="D35" i="18"/>
  <c r="K34" i="18" s="1"/>
  <c r="DK43" i="15"/>
  <c r="DK35" i="15"/>
  <c r="DK27" i="15"/>
  <c r="DA37" i="15"/>
  <c r="DD37" i="15" s="1"/>
  <c r="DE37" i="15" s="1"/>
  <c r="DA29" i="15"/>
  <c r="DD29" i="15" s="1"/>
  <c r="DE29" i="15" s="1"/>
  <c r="DA24" i="15"/>
  <c r="DD24" i="15" s="1"/>
  <c r="DE24" i="15" s="1"/>
  <c r="DA22" i="15"/>
  <c r="DD22" i="15" s="1"/>
  <c r="DE22" i="15" s="1"/>
  <c r="DA20" i="15"/>
  <c r="DD20" i="15" s="1"/>
  <c r="DE20" i="15" s="1"/>
  <c r="DA18" i="15"/>
  <c r="DD18" i="15" s="1"/>
  <c r="DE18" i="15" s="1"/>
  <c r="CD44" i="15"/>
  <c r="CD42" i="15"/>
  <c r="CD40" i="15"/>
  <c r="CD38" i="15"/>
  <c r="CD36" i="15"/>
  <c r="CD34" i="15"/>
  <c r="CD32" i="15"/>
  <c r="CD30" i="15"/>
  <c r="CD28" i="15"/>
  <c r="CD26" i="15"/>
  <c r="CD24" i="15"/>
  <c r="CD22" i="15"/>
  <c r="CD20" i="15"/>
  <c r="CD18" i="15"/>
  <c r="CD16" i="15"/>
  <c r="CD14" i="15"/>
  <c r="CD12" i="15"/>
  <c r="CE43" i="15"/>
  <c r="CH43" i="15" s="1"/>
  <c r="CI43" i="15" s="1"/>
  <c r="CE41" i="15"/>
  <c r="CH41" i="15" s="1"/>
  <c r="CI41" i="15" s="1"/>
  <c r="CE39" i="15"/>
  <c r="CH39" i="15" s="1"/>
  <c r="CI39" i="15" s="1"/>
  <c r="CE37" i="15"/>
  <c r="CH37" i="15" s="1"/>
  <c r="CI37" i="15" s="1"/>
  <c r="CE35" i="15"/>
  <c r="CH35" i="15" s="1"/>
  <c r="CI35" i="15" s="1"/>
  <c r="CE33" i="15"/>
  <c r="CH33" i="15" s="1"/>
  <c r="CI33" i="15" s="1"/>
  <c r="CE31" i="15"/>
  <c r="CH31" i="15" s="1"/>
  <c r="CI31" i="15" s="1"/>
  <c r="CE29" i="15"/>
  <c r="CH29" i="15" s="1"/>
  <c r="CI29" i="15" s="1"/>
  <c r="CE27" i="15"/>
  <c r="CH27" i="15" s="1"/>
  <c r="CI27" i="15" s="1"/>
  <c r="CE25" i="15"/>
  <c r="CH25" i="15" s="1"/>
  <c r="CI25" i="15" s="1"/>
  <c r="CE23" i="15"/>
  <c r="CH23" i="15" s="1"/>
  <c r="CI23" i="15" s="1"/>
  <c r="CE21" i="15"/>
  <c r="CH21" i="15" s="1"/>
  <c r="CI21" i="15" s="1"/>
  <c r="CE19" i="15"/>
  <c r="CH19" i="15" s="1"/>
  <c r="CI19" i="15" s="1"/>
  <c r="CE17" i="15"/>
  <c r="CH17" i="15" s="1"/>
  <c r="CI17" i="15" s="1"/>
  <c r="CE15" i="15"/>
  <c r="CH15" i="15" s="1"/>
  <c r="CI15" i="15" s="1"/>
  <c r="CE13" i="15"/>
  <c r="CH13" i="15" s="1"/>
  <c r="CI13" i="15" s="1"/>
  <c r="CE11" i="15"/>
  <c r="DA39" i="15"/>
  <c r="DD39" i="15" s="1"/>
  <c r="DE39" i="15" s="1"/>
  <c r="DA31" i="15"/>
  <c r="DD31" i="15" s="1"/>
  <c r="DE31" i="15" s="1"/>
  <c r="CZ25" i="15"/>
  <c r="CZ23" i="15"/>
  <c r="CZ21" i="15"/>
  <c r="CZ19" i="15"/>
  <c r="CV4" i="15" a="1"/>
  <c r="D79" i="18"/>
  <c r="O35" i="9"/>
  <c r="D70" i="18" s="1"/>
  <c r="K69" i="18" s="1"/>
  <c r="R33" i="9"/>
  <c r="DK41" i="15"/>
  <c r="DK33" i="15"/>
  <c r="DK25" i="15"/>
  <c r="DA43" i="15"/>
  <c r="DD43" i="15" s="1"/>
  <c r="DE43" i="15" s="1"/>
  <c r="DA35" i="15"/>
  <c r="DD35" i="15" s="1"/>
  <c r="DE35" i="15" s="1"/>
  <c r="DA27" i="15"/>
  <c r="DD27" i="15" s="1"/>
  <c r="DE27" i="15" s="1"/>
  <c r="CZ24" i="15"/>
  <c r="CZ22" i="15"/>
  <c r="CZ20" i="15"/>
  <c r="CZ18" i="15"/>
  <c r="CK4" i="15" a="1"/>
  <c r="CQ11" i="15" s="1" a="1"/>
  <c r="CQ11" i="15" s="1"/>
  <c r="H42" i="9"/>
  <c r="H45" i="9"/>
  <c r="D45" i="9" s="1"/>
  <c r="H44" i="9"/>
  <c r="D44" i="9" s="1"/>
  <c r="H43" i="9"/>
  <c r="D43" i="9" s="1"/>
  <c r="H16" i="9"/>
  <c r="H35" i="9"/>
  <c r="H34" i="9"/>
  <c r="D34" i="9" s="1"/>
  <c r="H33" i="9"/>
  <c r="H36" i="9"/>
  <c r="D3" i="9"/>
  <c r="D4" i="9" s="1"/>
  <c r="ET5" i="15" l="1" a="1"/>
  <c r="ET5" i="15" s="1"/>
  <c r="ET6" i="15" a="1"/>
  <c r="ET6" i="15" s="1"/>
  <c r="DB5" i="15" a="1"/>
  <c r="DB5" i="15" s="1"/>
  <c r="DB6" i="15" a="1"/>
  <c r="DB6" i="15" s="1"/>
  <c r="FE10" i="15" a="1"/>
  <c r="FE10" i="15" s="1"/>
  <c r="E122" i="19"/>
  <c r="FE6" i="15" a="1"/>
  <c r="FE6" i="15" s="1"/>
  <c r="FE7" i="15" a="1"/>
  <c r="FE7" i="15" s="1"/>
  <c r="E121" i="19"/>
  <c r="FE9" i="15" a="1"/>
  <c r="FE9" i="15" s="1"/>
  <c r="FE8" i="15" a="1"/>
  <c r="FE8" i="15" s="1"/>
  <c r="FE5" i="15" a="1"/>
  <c r="FE5" i="15" s="1"/>
  <c r="E120" i="19"/>
  <c r="CQ8" i="15" a="1"/>
  <c r="CQ8" i="15" s="1"/>
  <c r="CQ9" i="15" a="1"/>
  <c r="CQ9" i="15" s="1"/>
  <c r="CQ10" i="15" a="1"/>
  <c r="CQ10" i="15" s="1"/>
  <c r="CQ5" i="15" a="1"/>
  <c r="CQ5" i="15" s="1"/>
  <c r="CQ6" i="15" a="1"/>
  <c r="CQ6" i="15" s="1"/>
  <c r="CQ7" i="15" a="1"/>
  <c r="CQ7" i="15" s="1"/>
  <c r="DM6" i="15" a="1"/>
  <c r="DM6" i="15" s="1"/>
  <c r="DM5" i="15" a="1"/>
  <c r="DM5" i="15" s="1"/>
  <c r="D35" i="9"/>
  <c r="CD5" i="15"/>
  <c r="AG17" i="9"/>
  <c r="C84" i="7" s="1"/>
  <c r="C83" i="7"/>
  <c r="AD17" i="9"/>
  <c r="C82" i="7" s="1"/>
  <c r="AH17" i="9"/>
  <c r="C85" i="7" s="1"/>
  <c r="D36" i="9"/>
  <c r="AH34" i="9"/>
  <c r="C54" i="18" s="1"/>
  <c r="C53" i="18"/>
  <c r="AK34" i="9"/>
  <c r="C56" i="18" s="1"/>
  <c r="AF34" i="9"/>
  <c r="C52" i="18" s="1"/>
  <c r="AI34" i="9"/>
  <c r="C55" i="18" s="1"/>
  <c r="AE34" i="9"/>
  <c r="C51" i="18" s="1"/>
  <c r="AF18" i="9"/>
  <c r="C53" i="7" s="1"/>
  <c r="AI18" i="9"/>
  <c r="C56" i="7" s="1"/>
  <c r="C52" i="7"/>
  <c r="AH18" i="9"/>
  <c r="C55" i="7" s="1"/>
  <c r="AD18" i="9"/>
  <c r="C51" i="7" s="1"/>
  <c r="AG18" i="9"/>
  <c r="C54" i="7" s="1"/>
  <c r="AE26" i="9"/>
  <c r="C85" i="13" s="1"/>
  <c r="AI26" i="9"/>
  <c r="C89" i="13" s="1"/>
  <c r="AF26" i="9"/>
  <c r="C86" i="13" s="1"/>
  <c r="C87" i="13"/>
  <c r="AD26" i="9"/>
  <c r="C84" i="13" s="1"/>
  <c r="AH26" i="9"/>
  <c r="C88" i="13" s="1"/>
  <c r="C55" i="13"/>
  <c r="AD25" i="9"/>
  <c r="C52" i="13" s="1"/>
  <c r="AH25" i="9"/>
  <c r="C56" i="13" s="1"/>
  <c r="AE25" i="9"/>
  <c r="C53" i="13" s="1"/>
  <c r="AI25" i="9"/>
  <c r="C57" i="13" s="1"/>
  <c r="AF25" i="9"/>
  <c r="C54" i="13" s="1"/>
  <c r="AJ35" i="9"/>
  <c r="C88" i="18" s="1"/>
  <c r="AF35" i="9"/>
  <c r="C84" i="18" s="1"/>
  <c r="AI35" i="9"/>
  <c r="C87" i="18" s="1"/>
  <c r="AE35" i="9"/>
  <c r="C83" i="18" s="1"/>
  <c r="AH35" i="9"/>
  <c r="C86" i="18" s="1"/>
  <c r="C89" i="18"/>
  <c r="AG35" i="9"/>
  <c r="C85" i="18" s="1"/>
  <c r="AK33" i="9"/>
  <c r="C22" i="18" s="1"/>
  <c r="AI33" i="9"/>
  <c r="C21" i="18" s="1"/>
  <c r="AG33" i="9"/>
  <c r="C20" i="18" s="1"/>
  <c r="AK36" i="9"/>
  <c r="C120" i="18" s="1"/>
  <c r="AG36" i="9"/>
  <c r="C116" i="18" s="1"/>
  <c r="AJ36" i="9"/>
  <c r="C119" i="18" s="1"/>
  <c r="AF36" i="9"/>
  <c r="C115" i="18" s="1"/>
  <c r="AI36" i="9"/>
  <c r="C118" i="18" s="1"/>
  <c r="AE36" i="9"/>
  <c r="C114" i="18" s="1"/>
  <c r="AH36" i="9"/>
  <c r="C117" i="18" s="1"/>
  <c r="AH24" i="9"/>
  <c r="C25" i="13" s="1"/>
  <c r="AD24" i="9"/>
  <c r="C21" i="13" s="1"/>
  <c r="AG24" i="9"/>
  <c r="C24" i="13" s="1"/>
  <c r="C23" i="13"/>
  <c r="AI24" i="9"/>
  <c r="C26" i="13" s="1"/>
  <c r="AE24" i="9"/>
  <c r="C22" i="13" s="1"/>
  <c r="G31" i="19"/>
  <c r="D42" i="9"/>
  <c r="G30" i="18"/>
  <c r="D33" i="9"/>
  <c r="EG8" i="15"/>
  <c r="E57" i="18"/>
  <c r="E58" i="18"/>
  <c r="E118" i="19"/>
  <c r="E119" i="19"/>
  <c r="E55" i="18"/>
  <c r="E56" i="18"/>
  <c r="E115" i="18"/>
  <c r="E117" i="18"/>
  <c r="E116" i="18"/>
  <c r="E52" i="18"/>
  <c r="E53" i="18"/>
  <c r="E54" i="18"/>
  <c r="E86" i="19"/>
  <c r="DV8" i="15"/>
  <c r="E22" i="19"/>
  <c r="E84" i="18"/>
  <c r="E85" i="18"/>
  <c r="DZ11" i="15"/>
  <c r="EA11" i="15" s="1"/>
  <c r="CH11" i="15"/>
  <c r="CI11" i="15" s="1"/>
  <c r="EK11" i="15"/>
  <c r="EL11" i="15" s="1"/>
  <c r="C22" i="7"/>
  <c r="C25" i="7"/>
  <c r="C21" i="7"/>
  <c r="C24" i="7"/>
  <c r="C20" i="7"/>
  <c r="D3" i="7"/>
  <c r="C23" i="7"/>
  <c r="K19" i="9"/>
  <c r="DL17" i="15"/>
  <c r="FD31" i="15"/>
  <c r="DA10" i="15"/>
  <c r="CL45" i="15"/>
  <c r="CP45" i="15"/>
  <c r="CL46" i="15"/>
  <c r="CP46" i="15"/>
  <c r="CL47" i="15"/>
  <c r="CP47" i="15"/>
  <c r="CM48" i="15"/>
  <c r="CM45" i="15"/>
  <c r="CM46" i="15"/>
  <c r="CM47" i="15"/>
  <c r="CN48" i="15"/>
  <c r="CR48" i="15"/>
  <c r="CN45" i="15"/>
  <c r="CR45" i="15"/>
  <c r="CN46" i="15"/>
  <c r="CR46" i="15"/>
  <c r="CN47" i="15"/>
  <c r="CR47" i="15"/>
  <c r="CO48" i="15"/>
  <c r="CO45" i="15"/>
  <c r="CO46" i="15"/>
  <c r="CO47" i="15"/>
  <c r="CL48" i="15"/>
  <c r="CP48" i="15"/>
  <c r="ES18" i="15"/>
  <c r="G68" i="19"/>
  <c r="FD6" i="15"/>
  <c r="N118" i="19" s="1"/>
  <c r="FC18" i="15"/>
  <c r="FC28" i="15"/>
  <c r="G100" i="19"/>
  <c r="CZ7" i="15"/>
  <c r="CD10" i="15"/>
  <c r="FD14" i="15"/>
  <c r="CZ12" i="15"/>
  <c r="CZ15" i="15"/>
  <c r="CE5" i="15"/>
  <c r="CE6" i="15"/>
  <c r="CD7" i="15"/>
  <c r="CE8" i="15"/>
  <c r="CD9" i="15"/>
  <c r="EH7" i="15"/>
  <c r="FC25" i="15"/>
  <c r="FC7" i="15"/>
  <c r="M119" i="19" s="1"/>
  <c r="FD28" i="15"/>
  <c r="FC17" i="15"/>
  <c r="CK4" i="15"/>
  <c r="CQ4" i="15" s="1" a="1"/>
  <c r="CQ4" i="15" s="1"/>
  <c r="CL44" i="15"/>
  <c r="CL43" i="15"/>
  <c r="CL42" i="15"/>
  <c r="CL41" i="15"/>
  <c r="CL40" i="15"/>
  <c r="CL39" i="15"/>
  <c r="CL38" i="15"/>
  <c r="CL37" i="15"/>
  <c r="CL36" i="15"/>
  <c r="CL35" i="15"/>
  <c r="CL34" i="15"/>
  <c r="CL33" i="15"/>
  <c r="CL32" i="15"/>
  <c r="CL31" i="15"/>
  <c r="CL30" i="15"/>
  <c r="CL29" i="15"/>
  <c r="CL28" i="15"/>
  <c r="CL27" i="15"/>
  <c r="CL26" i="15"/>
  <c r="CL25" i="15"/>
  <c r="CL24" i="15"/>
  <c r="CL23" i="15"/>
  <c r="CL22" i="15"/>
  <c r="CL21" i="15"/>
  <c r="CL20" i="15"/>
  <c r="CL19" i="15"/>
  <c r="CL18" i="15"/>
  <c r="CL17" i="15"/>
  <c r="CL16" i="15"/>
  <c r="CL15" i="15"/>
  <c r="CL14" i="15"/>
  <c r="CL13" i="15"/>
  <c r="CL12" i="15"/>
  <c r="CL11" i="15"/>
  <c r="F58" i="18" s="1"/>
  <c r="CL10" i="15"/>
  <c r="F57" i="18" s="1"/>
  <c r="CL9" i="15"/>
  <c r="F56" i="18" s="1"/>
  <c r="CL8" i="15"/>
  <c r="F55" i="18" s="1"/>
  <c r="CL7" i="15"/>
  <c r="F54" i="18" s="1"/>
  <c r="CL6" i="15"/>
  <c r="F53" i="18" s="1"/>
  <c r="CL5" i="15"/>
  <c r="F52" i="18" s="1"/>
  <c r="CR44" i="15"/>
  <c r="CR43" i="15"/>
  <c r="CR42" i="15"/>
  <c r="CR41" i="15"/>
  <c r="CR40" i="15"/>
  <c r="CR39" i="15"/>
  <c r="CR38" i="15"/>
  <c r="CR37" i="15"/>
  <c r="CR36" i="15"/>
  <c r="CR35" i="15"/>
  <c r="CR34" i="15"/>
  <c r="CR33" i="15"/>
  <c r="CR32" i="15"/>
  <c r="CR31" i="15"/>
  <c r="CR30" i="15"/>
  <c r="CR29" i="15"/>
  <c r="CR28" i="15"/>
  <c r="CR27" i="15"/>
  <c r="CR26" i="15"/>
  <c r="CR25" i="15"/>
  <c r="CR24" i="15"/>
  <c r="CR23" i="15"/>
  <c r="CR22" i="15"/>
  <c r="CR21" i="15"/>
  <c r="CR20" i="15"/>
  <c r="CR19" i="15"/>
  <c r="CR18" i="15"/>
  <c r="CR17" i="15"/>
  <c r="CR16" i="15"/>
  <c r="CR15" i="15"/>
  <c r="CR14" i="15"/>
  <c r="CR13" i="15"/>
  <c r="CR12" i="15"/>
  <c r="CR11" i="15"/>
  <c r="CR10" i="15"/>
  <c r="CR9" i="15"/>
  <c r="CR8" i="15"/>
  <c r="CR7" i="15"/>
  <c r="CR6" i="15"/>
  <c r="CR5" i="15"/>
  <c r="CN44" i="15"/>
  <c r="CN43" i="15"/>
  <c r="CN42" i="15"/>
  <c r="CN41" i="15"/>
  <c r="CN40" i="15"/>
  <c r="CN39" i="15"/>
  <c r="CN38" i="15"/>
  <c r="CN37" i="15"/>
  <c r="CN36" i="15"/>
  <c r="CN35" i="15"/>
  <c r="CN34" i="15"/>
  <c r="CN33" i="15"/>
  <c r="CN32" i="15"/>
  <c r="CN31" i="15"/>
  <c r="CN30" i="15"/>
  <c r="CN29" i="15"/>
  <c r="CN28" i="15"/>
  <c r="CN27" i="15"/>
  <c r="CN26" i="15"/>
  <c r="CN25" i="15"/>
  <c r="CN24" i="15"/>
  <c r="CN23" i="15"/>
  <c r="CN22" i="15"/>
  <c r="CN21" i="15"/>
  <c r="CN20" i="15"/>
  <c r="CN19" i="15"/>
  <c r="CN18" i="15"/>
  <c r="CN17" i="15"/>
  <c r="CN16" i="15"/>
  <c r="CN15" i="15"/>
  <c r="CN14" i="15"/>
  <c r="CN13" i="15"/>
  <c r="CN12" i="15"/>
  <c r="CN11" i="15"/>
  <c r="J58" i="18" s="1"/>
  <c r="CN10" i="15"/>
  <c r="J57" i="18" s="1"/>
  <c r="CN9" i="15"/>
  <c r="J56" i="18" s="1"/>
  <c r="CN8" i="15"/>
  <c r="J55" i="18" s="1"/>
  <c r="CN7" i="15"/>
  <c r="J54" i="18" s="1"/>
  <c r="CN6" i="15"/>
  <c r="J53" i="18" s="1"/>
  <c r="CN5" i="15"/>
  <c r="J52" i="18" s="1"/>
  <c r="CM44" i="15"/>
  <c r="CM43" i="15"/>
  <c r="CM42" i="15"/>
  <c r="CM41" i="15"/>
  <c r="CM40" i="15"/>
  <c r="CM39" i="15"/>
  <c r="CM38" i="15"/>
  <c r="CM37" i="15"/>
  <c r="CM36" i="15"/>
  <c r="CM35" i="15"/>
  <c r="CM34" i="15"/>
  <c r="CM33" i="15"/>
  <c r="CM32" i="15"/>
  <c r="CM31" i="15"/>
  <c r="CM30" i="15"/>
  <c r="CM29" i="15"/>
  <c r="CM28" i="15"/>
  <c r="CM27" i="15"/>
  <c r="CM26" i="15"/>
  <c r="CM25" i="15"/>
  <c r="CM24" i="15"/>
  <c r="CM23" i="15"/>
  <c r="CM22" i="15"/>
  <c r="CM21" i="15"/>
  <c r="CM20" i="15"/>
  <c r="CM19" i="15"/>
  <c r="CM18" i="15"/>
  <c r="CM17" i="15"/>
  <c r="CM16" i="15"/>
  <c r="CM15" i="15"/>
  <c r="CM14" i="15"/>
  <c r="CM13" i="15"/>
  <c r="CM12" i="15"/>
  <c r="CM11" i="15"/>
  <c r="CM10" i="15"/>
  <c r="CM9" i="15"/>
  <c r="CM8" i="15"/>
  <c r="CM7" i="15"/>
  <c r="CM6" i="15"/>
  <c r="CM5" i="15"/>
  <c r="CO11" i="15"/>
  <c r="M58" i="18" s="1"/>
  <c r="CO19" i="15"/>
  <c r="CO27" i="15"/>
  <c r="CO35" i="15"/>
  <c r="CP44" i="15"/>
  <c r="CP9" i="15"/>
  <c r="N56" i="18" s="1"/>
  <c r="CP17" i="15"/>
  <c r="CP25" i="15"/>
  <c r="CP33" i="15"/>
  <c r="CO41" i="15"/>
  <c r="CO6" i="15"/>
  <c r="M53" i="18" s="1"/>
  <c r="CO14" i="15"/>
  <c r="CO22" i="15"/>
  <c r="CO30" i="15"/>
  <c r="CO38" i="15"/>
  <c r="CV4" i="15"/>
  <c r="DB4" i="15" s="1" a="1"/>
  <c r="DB4" i="15" s="1"/>
  <c r="CW17" i="15"/>
  <c r="CW16" i="15"/>
  <c r="CW15" i="15"/>
  <c r="CW14" i="15"/>
  <c r="CW13" i="15"/>
  <c r="CW12" i="15"/>
  <c r="CW11" i="15"/>
  <c r="CW10" i="15"/>
  <c r="CW9" i="15"/>
  <c r="CW8" i="15"/>
  <c r="CW7" i="15"/>
  <c r="CW6" i="15"/>
  <c r="F85" i="18" s="1"/>
  <c r="CW5" i="15"/>
  <c r="F84" i="18" s="1"/>
  <c r="DC17" i="15"/>
  <c r="DC16" i="15"/>
  <c r="DC15" i="15"/>
  <c r="DC14" i="15"/>
  <c r="DC13" i="15"/>
  <c r="DC12" i="15"/>
  <c r="DC11" i="15"/>
  <c r="DC10" i="15"/>
  <c r="DC9" i="15"/>
  <c r="DC8" i="15"/>
  <c r="DC7" i="15"/>
  <c r="DC6" i="15"/>
  <c r="DC5" i="15"/>
  <c r="CY17" i="15"/>
  <c r="CY16" i="15"/>
  <c r="CY15" i="15"/>
  <c r="CY14" i="15"/>
  <c r="CY13" i="15"/>
  <c r="CY12" i="15"/>
  <c r="CY11" i="15"/>
  <c r="CY10" i="15"/>
  <c r="CY9" i="15"/>
  <c r="CY8" i="15"/>
  <c r="CY7" i="15"/>
  <c r="CY6" i="15"/>
  <c r="J85" i="18" s="1"/>
  <c r="CY5" i="15"/>
  <c r="J84" i="18" s="1"/>
  <c r="CX17" i="15"/>
  <c r="CX16" i="15"/>
  <c r="CX15" i="15"/>
  <c r="CX14" i="15"/>
  <c r="CX13" i="15"/>
  <c r="CX12" i="15"/>
  <c r="CX11" i="15"/>
  <c r="CX10" i="15"/>
  <c r="CX9" i="15"/>
  <c r="CX8" i="15"/>
  <c r="CX7" i="15"/>
  <c r="CX6" i="15"/>
  <c r="CX5" i="15"/>
  <c r="CZ11" i="15"/>
  <c r="CE7" i="15"/>
  <c r="CD6" i="15"/>
  <c r="CP5" i="15"/>
  <c r="N52" i="18" s="1"/>
  <c r="CP13" i="15"/>
  <c r="CP21" i="15"/>
  <c r="CP29" i="15"/>
  <c r="CP37" i="15"/>
  <c r="DA6" i="15"/>
  <c r="N85" i="18" s="1"/>
  <c r="DA14" i="15"/>
  <c r="DK11" i="15"/>
  <c r="CE10" i="15"/>
  <c r="CO10" i="15"/>
  <c r="M57" i="18" s="1"/>
  <c r="CO18" i="15"/>
  <c r="CO26" i="15"/>
  <c r="CO34" i="15"/>
  <c r="CP41" i="15"/>
  <c r="DK13" i="15"/>
  <c r="CO9" i="15"/>
  <c r="M56" i="18" s="1"/>
  <c r="CO17" i="15"/>
  <c r="CO25" i="15"/>
  <c r="CO33" i="15"/>
  <c r="CP42" i="15"/>
  <c r="CZ10" i="15"/>
  <c r="DK17" i="15"/>
  <c r="CZ5" i="15"/>
  <c r="M84" i="18" s="1"/>
  <c r="CZ13" i="15"/>
  <c r="CE9" i="15"/>
  <c r="CD8" i="15"/>
  <c r="CP7" i="15"/>
  <c r="N54" i="18" s="1"/>
  <c r="CP15" i="15"/>
  <c r="CP23" i="15"/>
  <c r="CP31" i="15"/>
  <c r="CO39" i="15"/>
  <c r="DA8" i="15"/>
  <c r="DA16" i="15"/>
  <c r="DK19" i="15"/>
  <c r="CO12" i="15"/>
  <c r="CO20" i="15"/>
  <c r="CO28" i="15"/>
  <c r="CO36" i="15"/>
  <c r="CP43" i="15"/>
  <c r="CP6" i="15"/>
  <c r="N53" i="18" s="1"/>
  <c r="CP14" i="15"/>
  <c r="CP22" i="15"/>
  <c r="CP30" i="15"/>
  <c r="CP38" i="15"/>
  <c r="DA5" i="15"/>
  <c r="N84" i="18" s="1"/>
  <c r="DA13" i="15"/>
  <c r="DK6" i="15"/>
  <c r="M116" i="18" s="1"/>
  <c r="DK14" i="15"/>
  <c r="DV6" i="15"/>
  <c r="DL10" i="15"/>
  <c r="DL18" i="15"/>
  <c r="DV7" i="15"/>
  <c r="ER9" i="15"/>
  <c r="DL9" i="15"/>
  <c r="DW7" i="15"/>
  <c r="EH6" i="15"/>
  <c r="ER10" i="15"/>
  <c r="FC12" i="15"/>
  <c r="FD22" i="15"/>
  <c r="FC33" i="15"/>
  <c r="ES5" i="15"/>
  <c r="ER16" i="15"/>
  <c r="FD12" i="15"/>
  <c r="FC23" i="15"/>
  <c r="FC8" i="15"/>
  <c r="M120" i="19" s="1"/>
  <c r="FD18" i="15"/>
  <c r="FC29" i="15"/>
  <c r="ER7" i="15"/>
  <c r="ES17" i="15"/>
  <c r="FD8" i="15"/>
  <c r="N120" i="19" s="1"/>
  <c r="FC19" i="15"/>
  <c r="FC30" i="15"/>
  <c r="ES6" i="15"/>
  <c r="N86" i="19" s="1"/>
  <c r="ES14" i="15"/>
  <c r="FD5" i="15"/>
  <c r="FD13" i="15"/>
  <c r="FD21" i="15"/>
  <c r="FD29" i="15"/>
  <c r="DG4" i="15"/>
  <c r="DM4" i="15" s="1" a="1"/>
  <c r="DM4" i="15" s="1"/>
  <c r="DH20" i="15"/>
  <c r="DH19" i="15"/>
  <c r="DH18" i="15"/>
  <c r="DH17" i="15"/>
  <c r="DH16" i="15"/>
  <c r="DH15" i="15"/>
  <c r="DH14" i="15"/>
  <c r="DH13" i="15"/>
  <c r="DH12" i="15"/>
  <c r="DH11" i="15"/>
  <c r="DH10" i="15"/>
  <c r="DH9" i="15"/>
  <c r="DH8" i="15"/>
  <c r="DH7" i="15"/>
  <c r="F117" i="18" s="1"/>
  <c r="DH6" i="15"/>
  <c r="F116" i="18" s="1"/>
  <c r="DH5" i="15"/>
  <c r="F115" i="18" s="1"/>
  <c r="DN20" i="15"/>
  <c r="DN19" i="15"/>
  <c r="DN18" i="15"/>
  <c r="DN17" i="15"/>
  <c r="DN16" i="15"/>
  <c r="DN15" i="15"/>
  <c r="DN14" i="15"/>
  <c r="DN13" i="15"/>
  <c r="DN12" i="15"/>
  <c r="DN11" i="15"/>
  <c r="DN10" i="15"/>
  <c r="DN9" i="15"/>
  <c r="DN8" i="15"/>
  <c r="DN7" i="15"/>
  <c r="DN6" i="15"/>
  <c r="DN5" i="15"/>
  <c r="DJ20" i="15"/>
  <c r="DJ19" i="15"/>
  <c r="DJ18" i="15"/>
  <c r="DJ17" i="15"/>
  <c r="DJ16" i="15"/>
  <c r="DJ15" i="15"/>
  <c r="DJ14" i="15"/>
  <c r="DJ13" i="15"/>
  <c r="DJ12" i="15"/>
  <c r="DJ11" i="15"/>
  <c r="DJ10" i="15"/>
  <c r="DJ9" i="15"/>
  <c r="DJ8" i="15"/>
  <c r="DJ7" i="15"/>
  <c r="J117" i="18" s="1"/>
  <c r="DJ6" i="15"/>
  <c r="J116" i="18" s="1"/>
  <c r="DJ5" i="15"/>
  <c r="J115" i="18" s="1"/>
  <c r="DI20" i="15"/>
  <c r="DI19" i="15"/>
  <c r="DI18" i="15"/>
  <c r="DI17" i="15"/>
  <c r="DI16" i="15"/>
  <c r="DI15" i="15"/>
  <c r="DI14" i="15"/>
  <c r="DI13" i="15"/>
  <c r="DI12" i="15"/>
  <c r="DI11" i="15"/>
  <c r="DI10" i="15"/>
  <c r="DI9" i="15"/>
  <c r="DI8" i="15"/>
  <c r="DI7" i="15"/>
  <c r="DI6" i="15"/>
  <c r="DI5" i="15"/>
  <c r="CP8" i="15"/>
  <c r="N55" i="18" s="1"/>
  <c r="CP16" i="15"/>
  <c r="CP24" i="15"/>
  <c r="CP32" i="15"/>
  <c r="CO40" i="15"/>
  <c r="DA7" i="15"/>
  <c r="DA15" i="15"/>
  <c r="DK7" i="15"/>
  <c r="M117" i="18" s="1"/>
  <c r="DK8" i="15"/>
  <c r="DK16" i="15"/>
  <c r="DL12" i="15"/>
  <c r="DL20" i="15"/>
  <c r="DL11" i="15"/>
  <c r="DL19" i="15"/>
  <c r="ES11" i="15"/>
  <c r="EC4" i="15"/>
  <c r="EI4" i="15" s="1" a="1"/>
  <c r="EI4" i="15" s="1"/>
  <c r="ED8" i="15"/>
  <c r="ED7" i="15"/>
  <c r="ED6" i="15"/>
  <c r="ED5" i="15"/>
  <c r="EJ8" i="15"/>
  <c r="EJ7" i="15"/>
  <c r="EJ6" i="15"/>
  <c r="EJ5" i="15"/>
  <c r="EF8" i="15"/>
  <c r="EF7" i="15"/>
  <c r="EF6" i="15"/>
  <c r="EF5" i="15"/>
  <c r="EE8" i="15"/>
  <c r="EE7" i="15"/>
  <c r="EE6" i="15"/>
  <c r="EE5" i="15"/>
  <c r="ER8" i="15"/>
  <c r="FC15" i="15"/>
  <c r="FC26" i="15"/>
  <c r="FD10" i="15"/>
  <c r="N122" i="19" s="1"/>
  <c r="FC21" i="15"/>
  <c r="FC32" i="15"/>
  <c r="ES9" i="15"/>
  <c r="FC11" i="15"/>
  <c r="FC22" i="15"/>
  <c r="FD32" i="15"/>
  <c r="ES8" i="15"/>
  <c r="ES16" i="15"/>
  <c r="FD7" i="15"/>
  <c r="N119" i="19" s="1"/>
  <c r="FD15" i="15"/>
  <c r="FD23" i="15"/>
  <c r="DR4" i="15"/>
  <c r="DX4" i="15" s="1" a="1"/>
  <c r="DX4" i="15" s="1"/>
  <c r="DS8" i="15"/>
  <c r="DS7" i="15"/>
  <c r="DS6" i="15"/>
  <c r="DS5" i="15"/>
  <c r="F22" i="19" s="1"/>
  <c r="DT8" i="15"/>
  <c r="DT7" i="15"/>
  <c r="DT6" i="15"/>
  <c r="DT5" i="15"/>
  <c r="DU7" i="15"/>
  <c r="DU5" i="15"/>
  <c r="J22" i="19" s="1"/>
  <c r="DY8" i="15"/>
  <c r="DY6" i="15"/>
  <c r="DU8" i="15"/>
  <c r="DU6" i="15"/>
  <c r="DY7" i="15"/>
  <c r="DY5" i="15"/>
  <c r="DL5" i="15"/>
  <c r="N115" i="18" s="1"/>
  <c r="DL13" i="15"/>
  <c r="ER5" i="15"/>
  <c r="ES15" i="15"/>
  <c r="EG5" i="15"/>
  <c r="ER11" i="15"/>
  <c r="EY4" i="15"/>
  <c r="FE4" i="15" s="1" a="1"/>
  <c r="FE4" i="15" s="1"/>
  <c r="FA33" i="15"/>
  <c r="FA32" i="15"/>
  <c r="FA31" i="15"/>
  <c r="FA30" i="15"/>
  <c r="FA29" i="15"/>
  <c r="FA28" i="15"/>
  <c r="FA27" i="15"/>
  <c r="FA26" i="15"/>
  <c r="FA25" i="15"/>
  <c r="FA24" i="15"/>
  <c r="FA23" i="15"/>
  <c r="FA22" i="15"/>
  <c r="FA21" i="15"/>
  <c r="FA20" i="15"/>
  <c r="FA19" i="15"/>
  <c r="FA18" i="15"/>
  <c r="FA17" i="15"/>
  <c r="FA16" i="15"/>
  <c r="FA15" i="15"/>
  <c r="FA14" i="15"/>
  <c r="FA13" i="15"/>
  <c r="FA12" i="15"/>
  <c r="FA11" i="15"/>
  <c r="FA10" i="15"/>
  <c r="FF32" i="15"/>
  <c r="FB31" i="15"/>
  <c r="EZ30" i="15"/>
  <c r="FF28" i="15"/>
  <c r="FB27" i="15"/>
  <c r="EZ26" i="15"/>
  <c r="FF24" i="15"/>
  <c r="FB23" i="15"/>
  <c r="EZ22" i="15"/>
  <c r="FF20" i="15"/>
  <c r="FB19" i="15"/>
  <c r="EZ18" i="15"/>
  <c r="FF16" i="15"/>
  <c r="FB15" i="15"/>
  <c r="EZ14" i="15"/>
  <c r="FF12" i="15"/>
  <c r="FB11" i="15"/>
  <c r="EZ10" i="15"/>
  <c r="F122" i="19" s="1"/>
  <c r="EZ9" i="15"/>
  <c r="F121" i="19" s="1"/>
  <c r="EZ8" i="15"/>
  <c r="F120" i="19" s="1"/>
  <c r="EZ7" i="15"/>
  <c r="F119" i="19" s="1"/>
  <c r="EZ6" i="15"/>
  <c r="F118" i="19" s="1"/>
  <c r="EZ5" i="15"/>
  <c r="FF33" i="15"/>
  <c r="FB32" i="15"/>
  <c r="EZ31" i="15"/>
  <c r="FF29" i="15"/>
  <c r="FB28" i="15"/>
  <c r="EZ27" i="15"/>
  <c r="FF25" i="15"/>
  <c r="FB24" i="15"/>
  <c r="EZ23" i="15"/>
  <c r="FF21" i="15"/>
  <c r="FB20" i="15"/>
  <c r="EZ19" i="15"/>
  <c r="FF17" i="15"/>
  <c r="FB16" i="15"/>
  <c r="EZ15" i="15"/>
  <c r="FF13" i="15"/>
  <c r="FB12" i="15"/>
  <c r="EZ11" i="15"/>
  <c r="FF9" i="15"/>
  <c r="FF8" i="15"/>
  <c r="FF7" i="15"/>
  <c r="FF6" i="15"/>
  <c r="FF5" i="15"/>
  <c r="FB33" i="15"/>
  <c r="EZ32" i="15"/>
  <c r="FF30" i="15"/>
  <c r="FB29" i="15"/>
  <c r="EZ28" i="15"/>
  <c r="FF26" i="15"/>
  <c r="FB25" i="15"/>
  <c r="EZ24" i="15"/>
  <c r="FF22" i="15"/>
  <c r="FB21" i="15"/>
  <c r="EZ20" i="15"/>
  <c r="FF18" i="15"/>
  <c r="FB17" i="15"/>
  <c r="EZ16" i="15"/>
  <c r="FF14" i="15"/>
  <c r="FB13" i="15"/>
  <c r="EZ12" i="15"/>
  <c r="FF10" i="15"/>
  <c r="FB9" i="15"/>
  <c r="J121" i="19" s="1"/>
  <c r="FB8" i="15"/>
  <c r="J120" i="19" s="1"/>
  <c r="FB7" i="15"/>
  <c r="J119" i="19" s="1"/>
  <c r="FB6" i="15"/>
  <c r="J118" i="19" s="1"/>
  <c r="FB5" i="15"/>
  <c r="EZ33" i="15"/>
  <c r="FF31" i="15"/>
  <c r="FB30" i="15"/>
  <c r="EZ29" i="15"/>
  <c r="FF27" i="15"/>
  <c r="FB26" i="15"/>
  <c r="EZ25" i="15"/>
  <c r="FF23" i="15"/>
  <c r="FB22" i="15"/>
  <c r="EZ21" i="15"/>
  <c r="FF19" i="15"/>
  <c r="FB18" i="15"/>
  <c r="EZ17" i="15"/>
  <c r="FF15" i="15"/>
  <c r="FB14" i="15"/>
  <c r="EZ13" i="15"/>
  <c r="FF11" i="15"/>
  <c r="FB10" i="15"/>
  <c r="J122" i="19" s="1"/>
  <c r="FA9" i="15"/>
  <c r="FA8" i="15"/>
  <c r="FA7" i="15"/>
  <c r="FA6" i="15"/>
  <c r="FA5" i="15"/>
  <c r="FC13" i="15"/>
  <c r="FC24" i="15"/>
  <c r="ER12" i="15"/>
  <c r="FC14" i="15"/>
  <c r="FD24" i="15"/>
  <c r="ES10" i="15"/>
  <c r="FD9" i="15"/>
  <c r="N121" i="19" s="1"/>
  <c r="FD17" i="15"/>
  <c r="FD25" i="15"/>
  <c r="FD33" i="15"/>
  <c r="EN4" i="15"/>
  <c r="ET4" i="15" s="1" a="1"/>
  <c r="ET4" i="15" s="1"/>
  <c r="EO18" i="15"/>
  <c r="EO17" i="15"/>
  <c r="EO16" i="15"/>
  <c r="EO15" i="15"/>
  <c r="EO14" i="15"/>
  <c r="EO13" i="15"/>
  <c r="EO12" i="15"/>
  <c r="EO11" i="15"/>
  <c r="EO10" i="15"/>
  <c r="EO9" i="15"/>
  <c r="EO8" i="15"/>
  <c r="EO7" i="15"/>
  <c r="EO6" i="15"/>
  <c r="F86" i="19" s="1"/>
  <c r="EO5" i="15"/>
  <c r="EU18" i="15"/>
  <c r="EV18" i="15" s="1"/>
  <c r="EU17" i="15"/>
  <c r="EU16" i="15"/>
  <c r="EU15" i="15"/>
  <c r="EU14" i="15"/>
  <c r="EU13" i="15"/>
  <c r="EU12" i="15"/>
  <c r="EU11" i="15"/>
  <c r="EU10" i="15"/>
  <c r="EU9" i="15"/>
  <c r="EU8" i="15"/>
  <c r="EU7" i="15"/>
  <c r="EU6" i="15"/>
  <c r="EU5" i="15"/>
  <c r="EQ18" i="15"/>
  <c r="EQ17" i="15"/>
  <c r="EQ16" i="15"/>
  <c r="EQ15" i="15"/>
  <c r="EQ14" i="15"/>
  <c r="EQ13" i="15"/>
  <c r="EQ12" i="15"/>
  <c r="EQ11" i="15"/>
  <c r="EQ10" i="15"/>
  <c r="EQ9" i="15"/>
  <c r="EQ8" i="15"/>
  <c r="EQ7" i="15"/>
  <c r="EQ6" i="15"/>
  <c r="J86" i="19" s="1"/>
  <c r="EQ5" i="15"/>
  <c r="EP18" i="15"/>
  <c r="EP17" i="15"/>
  <c r="EP16" i="15"/>
  <c r="EP15" i="15"/>
  <c r="EP14" i="15"/>
  <c r="EP13" i="15"/>
  <c r="EP12" i="15"/>
  <c r="EP11" i="15"/>
  <c r="EP10" i="15"/>
  <c r="EP9" i="15"/>
  <c r="EP8" i="15"/>
  <c r="EP7" i="15"/>
  <c r="EP6" i="15"/>
  <c r="EP5" i="15"/>
  <c r="ER13" i="15"/>
  <c r="CO5" i="15"/>
  <c r="M52" i="18" s="1"/>
  <c r="CO13" i="15"/>
  <c r="CO21" i="15"/>
  <c r="CO29" i="15"/>
  <c r="CO37" i="15"/>
  <c r="CZ6" i="15"/>
  <c r="M85" i="18" s="1"/>
  <c r="CZ14" i="15"/>
  <c r="CZ9" i="15"/>
  <c r="CZ17" i="15"/>
  <c r="CP11" i="15"/>
  <c r="N58" i="18" s="1"/>
  <c r="CP19" i="15"/>
  <c r="CP27" i="15"/>
  <c r="CP35" i="15"/>
  <c r="CO43" i="15"/>
  <c r="DA12" i="15"/>
  <c r="CO8" i="15"/>
  <c r="M55" i="18" s="1"/>
  <c r="CO16" i="15"/>
  <c r="CO24" i="15"/>
  <c r="CO32" i="15"/>
  <c r="CP39" i="15"/>
  <c r="DK5" i="15"/>
  <c r="M115" i="18" s="1"/>
  <c r="CP10" i="15"/>
  <c r="N57" i="18" s="1"/>
  <c r="CP18" i="15"/>
  <c r="CP26" i="15"/>
  <c r="CP34" i="15"/>
  <c r="CO42" i="15"/>
  <c r="DA9" i="15"/>
  <c r="DA17" i="15"/>
  <c r="DK15" i="15"/>
  <c r="DK10" i="15"/>
  <c r="DK18" i="15"/>
  <c r="ER14" i="15"/>
  <c r="DL6" i="15"/>
  <c r="N116" i="18" s="1"/>
  <c r="DL14" i="15"/>
  <c r="DW6" i="15"/>
  <c r="EH8" i="15"/>
  <c r="ER6" i="15"/>
  <c r="M86" i="19" s="1"/>
  <c r="CO7" i="15"/>
  <c r="M54" i="18" s="1"/>
  <c r="CO15" i="15"/>
  <c r="CO23" i="15"/>
  <c r="CO31" i="15"/>
  <c r="CP40" i="15"/>
  <c r="CZ8" i="15"/>
  <c r="CZ16" i="15"/>
  <c r="DK9" i="15"/>
  <c r="BZ4" i="15"/>
  <c r="CF4" i="15" s="1" a="1"/>
  <c r="CF4" i="15" s="1"/>
  <c r="CC10" i="15"/>
  <c r="CC9" i="15"/>
  <c r="CC8" i="15"/>
  <c r="CC7" i="15"/>
  <c r="CC6" i="15"/>
  <c r="CC5" i="15"/>
  <c r="CB10" i="15"/>
  <c r="CA9" i="15"/>
  <c r="CG7" i="15"/>
  <c r="CB6" i="15"/>
  <c r="CA5" i="15"/>
  <c r="CG5" i="15"/>
  <c r="CG10" i="15"/>
  <c r="CA8" i="15"/>
  <c r="CB5" i="15"/>
  <c r="CA10" i="15"/>
  <c r="CG8" i="15"/>
  <c r="CB7" i="15"/>
  <c r="CA6" i="15"/>
  <c r="CB8" i="15"/>
  <c r="CA7" i="15"/>
  <c r="CG9" i="15"/>
  <c r="CB9" i="15"/>
  <c r="CG6" i="15"/>
  <c r="CP12" i="15"/>
  <c r="CP20" i="15"/>
  <c r="CP28" i="15"/>
  <c r="CP36" i="15"/>
  <c r="CO44" i="15"/>
  <c r="DA11" i="15"/>
  <c r="DK12" i="15"/>
  <c r="DK20" i="15"/>
  <c r="DL8" i="15"/>
  <c r="DL16" i="15"/>
  <c r="DW8" i="15"/>
  <c r="ER17" i="15"/>
  <c r="DV5" i="15"/>
  <c r="M22" i="19" s="1"/>
  <c r="EH5" i="15"/>
  <c r="DL7" i="15"/>
  <c r="N117" i="18" s="1"/>
  <c r="DL15" i="15"/>
  <c r="DW5" i="15"/>
  <c r="N22" i="19" s="1"/>
  <c r="ES7" i="15"/>
  <c r="ER18" i="15"/>
  <c r="FC9" i="15"/>
  <c r="M121" i="19" s="1"/>
  <c r="FC20" i="15"/>
  <c r="FD30" i="15"/>
  <c r="EG7" i="15"/>
  <c r="ES13" i="15"/>
  <c r="FC10" i="15"/>
  <c r="M122" i="19" s="1"/>
  <c r="FD20" i="15"/>
  <c r="FC31" i="15"/>
  <c r="FC5" i="15"/>
  <c r="FC16" i="15"/>
  <c r="FD26" i="15"/>
  <c r="EG6" i="15"/>
  <c r="ER15" i="15"/>
  <c r="FC6" i="15"/>
  <c r="M118" i="19" s="1"/>
  <c r="FD16" i="15"/>
  <c r="FC27" i="15"/>
  <c r="ES12" i="15"/>
  <c r="FD11" i="15"/>
  <c r="FD19" i="15"/>
  <c r="FD27" i="15"/>
  <c r="D3" i="18"/>
  <c r="K2" i="18" s="1"/>
  <c r="K37" i="9"/>
  <c r="AK37" i="9" s="1"/>
  <c r="J33" i="9"/>
  <c r="D100" i="18"/>
  <c r="K99" i="18" s="1"/>
  <c r="U36" i="9"/>
  <c r="I123" i="18" s="1"/>
  <c r="R46" i="9"/>
  <c r="R10" i="9" s="1"/>
  <c r="D11" i="19"/>
  <c r="K10" i="19" s="1"/>
  <c r="D13" i="19"/>
  <c r="K12" i="19" s="1"/>
  <c r="T46" i="9"/>
  <c r="T10" i="9" s="1"/>
  <c r="D66" i="18"/>
  <c r="K65" i="18" s="1"/>
  <c r="J35" i="9"/>
  <c r="D37" i="18"/>
  <c r="K36" i="18" s="1"/>
  <c r="U34" i="9"/>
  <c r="I61" i="18" s="1"/>
  <c r="D97" i="18"/>
  <c r="K96" i="18" s="1"/>
  <c r="J36" i="9"/>
  <c r="D9" i="18"/>
  <c r="K8" i="18" s="1"/>
  <c r="Q37" i="9"/>
  <c r="D69" i="18"/>
  <c r="K68" i="18" s="1"/>
  <c r="U35" i="9"/>
  <c r="I93" i="18" s="1"/>
  <c r="D7" i="18"/>
  <c r="K6" i="18" s="1"/>
  <c r="O37" i="9"/>
  <c r="D38" i="19"/>
  <c r="U43" i="9"/>
  <c r="I62" i="19" s="1"/>
  <c r="D35" i="19"/>
  <c r="K34" i="19" s="1"/>
  <c r="J43" i="9"/>
  <c r="D102" i="19"/>
  <c r="U45" i="9"/>
  <c r="I125" i="19" s="1"/>
  <c r="Q46" i="9"/>
  <c r="Q10" i="9" s="1"/>
  <c r="D10" i="19"/>
  <c r="K9" i="19" s="1"/>
  <c r="D99" i="19"/>
  <c r="K98" i="19" s="1"/>
  <c r="J45" i="9"/>
  <c r="D10" i="18"/>
  <c r="K9" i="18" s="1"/>
  <c r="R37" i="9"/>
  <c r="D4" i="18"/>
  <c r="K3" i="18" s="1"/>
  <c r="L37" i="9"/>
  <c r="D34" i="18"/>
  <c r="K33" i="18" s="1"/>
  <c r="J34" i="9"/>
  <c r="DZ10" i="15"/>
  <c r="EA10" i="15" s="1"/>
  <c r="EK9" i="15"/>
  <c r="EL9" i="15" s="1"/>
  <c r="D11" i="18"/>
  <c r="K10" i="18" s="1"/>
  <c r="S37" i="9"/>
  <c r="D4" i="19"/>
  <c r="K3" i="19" s="1"/>
  <c r="J42" i="9"/>
  <c r="K46" i="9"/>
  <c r="K10" i="9" s="1"/>
  <c r="M46" i="9"/>
  <c r="M10" i="9" s="1"/>
  <c r="D6" i="19"/>
  <c r="K5" i="19" s="1"/>
  <c r="D67" i="19"/>
  <c r="K66" i="19" s="1"/>
  <c r="J44" i="9"/>
  <c r="N46" i="9"/>
  <c r="N10" i="9" s="1"/>
  <c r="U42" i="9"/>
  <c r="D7" i="19"/>
  <c r="K6" i="19" s="1"/>
  <c r="D70" i="19"/>
  <c r="U44" i="9"/>
  <c r="I94" i="19" s="1"/>
  <c r="G36" i="19"/>
  <c r="D8" i="19"/>
  <c r="K7" i="19" s="1"/>
  <c r="O46" i="9"/>
  <c r="O10" i="9" s="1"/>
  <c r="D8" i="18"/>
  <c r="K7" i="18" s="1"/>
  <c r="P37" i="9"/>
  <c r="DZ9" i="15"/>
  <c r="EA9" i="15" s="1"/>
  <c r="EK10" i="15"/>
  <c r="EL10" i="15" s="1"/>
  <c r="D6" i="18"/>
  <c r="K5" i="18" s="1"/>
  <c r="U33" i="9"/>
  <c r="N37" i="9"/>
  <c r="D12" i="18"/>
  <c r="K11" i="18" s="1"/>
  <c r="T37" i="9"/>
  <c r="D5" i="18"/>
  <c r="K4" i="18" s="1"/>
  <c r="M37" i="9"/>
  <c r="D9" i="19"/>
  <c r="K8" i="19" s="1"/>
  <c r="P46" i="9"/>
  <c r="P10" i="9" s="1"/>
  <c r="D5" i="19"/>
  <c r="K4" i="19" s="1"/>
  <c r="L46" i="9"/>
  <c r="L10" i="9" s="1"/>
  <c r="D12" i="19"/>
  <c r="K11" i="19" s="1"/>
  <c r="S46" i="9"/>
  <c r="S10" i="9" s="1"/>
  <c r="I42" i="9"/>
  <c r="E42" i="9" s="1"/>
  <c r="I33" i="9"/>
  <c r="E33" i="9" s="1"/>
  <c r="I45" i="9"/>
  <c r="I36" i="9"/>
  <c r="E36" i="9" s="1"/>
  <c r="I44" i="9"/>
  <c r="I35" i="9"/>
  <c r="E35" i="9" s="1"/>
  <c r="I43" i="9"/>
  <c r="I34" i="9"/>
  <c r="E34" i="9" s="1"/>
  <c r="G94" i="19"/>
  <c r="G125" i="19"/>
  <c r="G62" i="19"/>
  <c r="H46" i="9"/>
  <c r="C61" i="18"/>
  <c r="G61" i="18"/>
  <c r="C93" i="18"/>
  <c r="G93" i="18"/>
  <c r="G123" i="18"/>
  <c r="H37" i="9"/>
  <c r="AG19" i="9" l="1"/>
  <c r="AD19" i="9"/>
  <c r="DD10" i="15"/>
  <c r="CS30" i="15"/>
  <c r="CT30" i="15" s="1"/>
  <c r="D37" i="9"/>
  <c r="CP4" i="15"/>
  <c r="D46" i="9"/>
  <c r="AH37" i="9"/>
  <c r="AG37" i="9"/>
  <c r="AJ37" i="9"/>
  <c r="AF37" i="9"/>
  <c r="AI37" i="9"/>
  <c r="AE37" i="9"/>
  <c r="AH19" i="9"/>
  <c r="AF19" i="9"/>
  <c r="AI19" i="9"/>
  <c r="H94" i="19"/>
  <c r="E44" i="9"/>
  <c r="H62" i="19"/>
  <c r="E43" i="9"/>
  <c r="H125" i="19"/>
  <c r="E45" i="9"/>
  <c r="FG28" i="15"/>
  <c r="FH28" i="15" s="1"/>
  <c r="CO4" i="15"/>
  <c r="CH5" i="15"/>
  <c r="CI5" i="15" s="1"/>
  <c r="FG31" i="15"/>
  <c r="FH31" i="15" s="1"/>
  <c r="CL4" i="15"/>
  <c r="CX4" i="15"/>
  <c r="J46" i="9"/>
  <c r="J10" i="9" s="1"/>
  <c r="J37" i="9"/>
  <c r="DU4" i="15"/>
  <c r="EH4" i="15"/>
  <c r="DJ4" i="15"/>
  <c r="ER4" i="15"/>
  <c r="M85" i="19" s="1"/>
  <c r="E85" i="19"/>
  <c r="EZ4" i="15"/>
  <c r="F117" i="19" s="1"/>
  <c r="E117" i="19"/>
  <c r="DO12" i="15"/>
  <c r="DP12" i="15" s="1"/>
  <c r="DE10" i="15"/>
  <c r="CS34" i="15"/>
  <c r="CT34" i="15" s="1"/>
  <c r="CS22" i="15"/>
  <c r="CT22" i="15" s="1"/>
  <c r="CY4" i="15"/>
  <c r="DA4" i="15"/>
  <c r="CS48" i="15"/>
  <c r="CT48" i="15" s="1"/>
  <c r="G99" i="19"/>
  <c r="K101" i="19"/>
  <c r="G35" i="19"/>
  <c r="K37" i="19"/>
  <c r="G67" i="19"/>
  <c r="K69" i="19"/>
  <c r="CS26" i="15"/>
  <c r="CT26" i="15" s="1"/>
  <c r="CS39" i="15"/>
  <c r="CT39" i="15" s="1"/>
  <c r="CS27" i="15"/>
  <c r="CT27" i="15" s="1"/>
  <c r="DO17" i="15"/>
  <c r="DP17" i="15" s="1"/>
  <c r="CS23" i="15"/>
  <c r="CT23" i="15" s="1"/>
  <c r="CS47" i="15"/>
  <c r="CT47" i="15" s="1"/>
  <c r="CW4" i="15"/>
  <c r="CZ4" i="15"/>
  <c r="DC4" i="15"/>
  <c r="CS32" i="15"/>
  <c r="CT32" i="15" s="1"/>
  <c r="CS45" i="15"/>
  <c r="CT45" i="15" s="1"/>
  <c r="CS46" i="15"/>
  <c r="CT46" i="15" s="1"/>
  <c r="CS21" i="15"/>
  <c r="CT21" i="15" s="1"/>
  <c r="CS33" i="15"/>
  <c r="CT33" i="15" s="1"/>
  <c r="CH9" i="15"/>
  <c r="CI9" i="15" s="1"/>
  <c r="EV6" i="15"/>
  <c r="EW6" i="15" s="1"/>
  <c r="DO13" i="15"/>
  <c r="DP13" i="15" s="1"/>
  <c r="FG33" i="15"/>
  <c r="FH33" i="15" s="1"/>
  <c r="FG19" i="15"/>
  <c r="FH19" i="15" s="1"/>
  <c r="FG30" i="15"/>
  <c r="FH30" i="15" s="1"/>
  <c r="DD13" i="15"/>
  <c r="DE13" i="15" s="1"/>
  <c r="DZ7" i="15"/>
  <c r="EA7" i="15" s="1"/>
  <c r="DK4" i="15"/>
  <c r="FD4" i="15"/>
  <c r="N117" i="19" s="1"/>
  <c r="DN4" i="15"/>
  <c r="DI4" i="15"/>
  <c r="CS38" i="15"/>
  <c r="CT38" i="15" s="1"/>
  <c r="CS6" i="15"/>
  <c r="CT6" i="15" s="1"/>
  <c r="CS42" i="15"/>
  <c r="CT42" i="15" s="1"/>
  <c r="FF4" i="15"/>
  <c r="CS5" i="15"/>
  <c r="CT5" i="15" s="1"/>
  <c r="FC4" i="15"/>
  <c r="M117" i="19" s="1"/>
  <c r="DH4" i="15"/>
  <c r="FA4" i="15"/>
  <c r="DL4" i="15"/>
  <c r="DO8" i="15"/>
  <c r="DP8" i="15" s="1"/>
  <c r="CH7" i="15"/>
  <c r="CI7" i="15" s="1"/>
  <c r="FG27" i="15"/>
  <c r="FH27" i="15" s="1"/>
  <c r="DZ8" i="15"/>
  <c r="EA8" i="15" s="1"/>
  <c r="DD17" i="15"/>
  <c r="DE17" i="15" s="1"/>
  <c r="DD5" i="15"/>
  <c r="DE5" i="15" s="1"/>
  <c r="DD6" i="15"/>
  <c r="DE6" i="15" s="1"/>
  <c r="FG6" i="15"/>
  <c r="FH6" i="15" s="1"/>
  <c r="CM4" i="15"/>
  <c r="CR4" i="15"/>
  <c r="CS36" i="15"/>
  <c r="CT36" i="15" s="1"/>
  <c r="CS40" i="15"/>
  <c r="CT40" i="15" s="1"/>
  <c r="CS11" i="15"/>
  <c r="CT11" i="15" s="1"/>
  <c r="CH8" i="15"/>
  <c r="CI8" i="15" s="1"/>
  <c r="CH10" i="15"/>
  <c r="CI10" i="15" s="1"/>
  <c r="CS19" i="15"/>
  <c r="CT19" i="15" s="1"/>
  <c r="CS35" i="15"/>
  <c r="CT35" i="15" s="1"/>
  <c r="CS8" i="15"/>
  <c r="CT8" i="15" s="1"/>
  <c r="DO14" i="15"/>
  <c r="DP14" i="15" s="1"/>
  <c r="DO6" i="15"/>
  <c r="DP6" i="15" s="1"/>
  <c r="DS4" i="15"/>
  <c r="CG4" i="15"/>
  <c r="CS28" i="15"/>
  <c r="CT28" i="15" s="1"/>
  <c r="DD8" i="15"/>
  <c r="DE8" i="15" s="1"/>
  <c r="EG4" i="15"/>
  <c r="EQ4" i="15"/>
  <c r="J85" i="19" s="1"/>
  <c r="EJ4" i="15"/>
  <c r="CE4" i="15"/>
  <c r="CS9" i="15"/>
  <c r="CT9" i="15" s="1"/>
  <c r="CN4" i="15"/>
  <c r="FB4" i="15"/>
  <c r="J117" i="19" s="1"/>
  <c r="EF4" i="15"/>
  <c r="CA4" i="15"/>
  <c r="FG7" i="15"/>
  <c r="FH7" i="15" s="1"/>
  <c r="CD4" i="15"/>
  <c r="CB4" i="15"/>
  <c r="CS15" i="15"/>
  <c r="CT15" i="15" s="1"/>
  <c r="CS43" i="15"/>
  <c r="CT43" i="15" s="1"/>
  <c r="CS7" i="15"/>
  <c r="CT7" i="15" s="1"/>
  <c r="EV5" i="15"/>
  <c r="EW5" i="15" s="1"/>
  <c r="CS31" i="15"/>
  <c r="CT31" i="15" s="1"/>
  <c r="DD9" i="15"/>
  <c r="DE9" i="15" s="1"/>
  <c r="EE4" i="15"/>
  <c r="EO4" i="15"/>
  <c r="F85" i="19" s="1"/>
  <c r="DY4" i="15"/>
  <c r="DO15" i="15"/>
  <c r="DP15" i="15" s="1"/>
  <c r="ED4" i="15"/>
  <c r="EP4" i="15"/>
  <c r="EU4" i="15"/>
  <c r="CC4" i="15"/>
  <c r="DV4" i="15"/>
  <c r="DW4" i="15"/>
  <c r="DZ6" i="15"/>
  <c r="EA6" i="15" s="1"/>
  <c r="ES4" i="15"/>
  <c r="N85" i="19" s="1"/>
  <c r="DT4" i="15"/>
  <c r="FG9" i="15"/>
  <c r="FH9" i="15" s="1"/>
  <c r="EK8" i="15"/>
  <c r="EL8" i="15" s="1"/>
  <c r="EV9" i="15"/>
  <c r="EW9" i="15" s="1"/>
  <c r="CH6" i="15"/>
  <c r="CI6" i="15" s="1"/>
  <c r="FG14" i="15"/>
  <c r="FH14" i="15" s="1"/>
  <c r="FG25" i="15"/>
  <c r="FH25" i="15" s="1"/>
  <c r="DO9" i="15"/>
  <c r="DP9" i="15" s="1"/>
  <c r="EK6" i="15"/>
  <c r="EL6" i="15" s="1"/>
  <c r="DD15" i="15"/>
  <c r="DE15" i="15" s="1"/>
  <c r="CS24" i="15"/>
  <c r="CT24" i="15" s="1"/>
  <c r="CS44" i="15"/>
  <c r="CT44" i="15" s="1"/>
  <c r="EV7" i="15"/>
  <c r="EW7" i="15" s="1"/>
  <c r="DO16" i="15"/>
  <c r="DP16" i="15" s="1"/>
  <c r="DD11" i="15"/>
  <c r="DE11" i="15" s="1"/>
  <c r="CS20" i="15"/>
  <c r="CT20" i="15" s="1"/>
  <c r="CS16" i="15"/>
  <c r="CT16" i="15" s="1"/>
  <c r="CS10" i="15"/>
  <c r="CT10" i="15" s="1"/>
  <c r="FG26" i="15"/>
  <c r="FH26" i="15" s="1"/>
  <c r="FG20" i="15"/>
  <c r="FH20" i="15" s="1"/>
  <c r="DD7" i="15"/>
  <c r="DE7" i="15" s="1"/>
  <c r="DZ5" i="15"/>
  <c r="EA5" i="15" s="1"/>
  <c r="CS12" i="15"/>
  <c r="CT12" i="15" s="1"/>
  <c r="CS18" i="15"/>
  <c r="CT18" i="15" s="1"/>
  <c r="DD12" i="15"/>
  <c r="DE12" i="15" s="1"/>
  <c r="DO11" i="15"/>
  <c r="DP11" i="15" s="1"/>
  <c r="CS14" i="15"/>
  <c r="CT14" i="15" s="1"/>
  <c r="EV10" i="15"/>
  <c r="EW10" i="15" s="1"/>
  <c r="EV8" i="15"/>
  <c r="EW8" i="15" s="1"/>
  <c r="FG5" i="15"/>
  <c r="FH5" i="15" s="1"/>
  <c r="FG11" i="15"/>
  <c r="FH11" i="15" s="1"/>
  <c r="EV12" i="15"/>
  <c r="EW12" i="15" s="1"/>
  <c r="DO20" i="15"/>
  <c r="DP20" i="15" s="1"/>
  <c r="CS29" i="15"/>
  <c r="CT29" i="15" s="1"/>
  <c r="FG16" i="15"/>
  <c r="FH16" i="15" s="1"/>
  <c r="EK7" i="15"/>
  <c r="EL7" i="15" s="1"/>
  <c r="CS41" i="15"/>
  <c r="CT41" i="15" s="1"/>
  <c r="CS13" i="15"/>
  <c r="CT13" i="15" s="1"/>
  <c r="CS25" i="15"/>
  <c r="CT25" i="15" s="1"/>
  <c r="EW18" i="15"/>
  <c r="FG17" i="15"/>
  <c r="FH17" i="15" s="1"/>
  <c r="DD16" i="15"/>
  <c r="DE16" i="15" s="1"/>
  <c r="CS37" i="15"/>
  <c r="CT37" i="15" s="1"/>
  <c r="CS17" i="15"/>
  <c r="CT17" i="15" s="1"/>
  <c r="EK5" i="15"/>
  <c r="EL5" i="15" s="1"/>
  <c r="DO5" i="15"/>
  <c r="DP5" i="15" s="1"/>
  <c r="FG8" i="15"/>
  <c r="FH8" i="15" s="1"/>
  <c r="DO7" i="15"/>
  <c r="DP7" i="15" s="1"/>
  <c r="EV13" i="15"/>
  <c r="EW13" i="15" s="1"/>
  <c r="DD14" i="15"/>
  <c r="DE14" i="15" s="1"/>
  <c r="EV15" i="15"/>
  <c r="EW15" i="15" s="1"/>
  <c r="EV16" i="15"/>
  <c r="EW16" i="15" s="1"/>
  <c r="FG10" i="15"/>
  <c r="FH10" i="15" s="1"/>
  <c r="FG13" i="15"/>
  <c r="FH13" i="15" s="1"/>
  <c r="FG24" i="15"/>
  <c r="FH24" i="15" s="1"/>
  <c r="FG23" i="15"/>
  <c r="FH23" i="15" s="1"/>
  <c r="EV11" i="15"/>
  <c r="EW11" i="15" s="1"/>
  <c r="FG12" i="15"/>
  <c r="FH12" i="15" s="1"/>
  <c r="FG22" i="15"/>
  <c r="FH22" i="15" s="1"/>
  <c r="DO18" i="15"/>
  <c r="DP18" i="15" s="1"/>
  <c r="FG15" i="15"/>
  <c r="FH15" i="15" s="1"/>
  <c r="FG32" i="15"/>
  <c r="FH32" i="15" s="1"/>
  <c r="DO19" i="15"/>
  <c r="DP19" i="15" s="1"/>
  <c r="FG29" i="15"/>
  <c r="FH29" i="15" s="1"/>
  <c r="EV14" i="15"/>
  <c r="EW14" i="15" s="1"/>
  <c r="FG18" i="15"/>
  <c r="FH18" i="15" s="1"/>
  <c r="DO10" i="15"/>
  <c r="DP10" i="15" s="1"/>
  <c r="FG21" i="15"/>
  <c r="FH21" i="15" s="1"/>
  <c r="EV17" i="15"/>
  <c r="EW17" i="15" s="1"/>
  <c r="D98" i="19"/>
  <c r="G98" i="19"/>
  <c r="G4" i="19"/>
  <c r="G5" i="19"/>
  <c r="I30" i="18"/>
  <c r="U37" i="9"/>
  <c r="I31" i="19"/>
  <c r="U46" i="9"/>
  <c r="U10" i="9" s="1"/>
  <c r="G3" i="19"/>
  <c r="D3" i="19"/>
  <c r="D34" i="19"/>
  <c r="G34" i="19"/>
  <c r="G66" i="19"/>
  <c r="D66" i="19"/>
  <c r="C125" i="19"/>
  <c r="C94" i="19"/>
  <c r="C62" i="19"/>
  <c r="C31" i="19"/>
  <c r="H10" i="9"/>
  <c r="D10" i="9" s="1"/>
  <c r="C123" i="18"/>
  <c r="C30" i="18"/>
  <c r="H61" i="18"/>
  <c r="H30" i="18"/>
  <c r="BR44" i="15"/>
  <c r="BQ44" i="15"/>
  <c r="BP44" i="15"/>
  <c r="BR43" i="15"/>
  <c r="BQ43" i="15"/>
  <c r="BP43" i="15"/>
  <c r="BR42" i="15"/>
  <c r="BQ42" i="15"/>
  <c r="BP42" i="15"/>
  <c r="BR41" i="15"/>
  <c r="BQ41" i="15"/>
  <c r="BP41" i="15"/>
  <c r="BR40" i="15"/>
  <c r="BQ40" i="15"/>
  <c r="BP40" i="15"/>
  <c r="BR39" i="15"/>
  <c r="BQ39" i="15"/>
  <c r="BP39" i="15"/>
  <c r="BR38" i="15"/>
  <c r="BQ38" i="15"/>
  <c r="BP38" i="15"/>
  <c r="BR37" i="15"/>
  <c r="BQ37" i="15"/>
  <c r="BP37" i="15"/>
  <c r="BR36" i="15"/>
  <c r="BQ36" i="15"/>
  <c r="BP36" i="15"/>
  <c r="BR35" i="15"/>
  <c r="BQ35" i="15"/>
  <c r="BP35" i="15"/>
  <c r="BR34" i="15"/>
  <c r="BQ34" i="15"/>
  <c r="BP34" i="15"/>
  <c r="BR33" i="15"/>
  <c r="BQ33" i="15"/>
  <c r="BP33" i="15"/>
  <c r="BR32" i="15"/>
  <c r="BQ32" i="15"/>
  <c r="BP32" i="15"/>
  <c r="BR31" i="15"/>
  <c r="BQ31" i="15"/>
  <c r="BP31" i="15"/>
  <c r="BR30" i="15"/>
  <c r="BQ30" i="15"/>
  <c r="BP30" i="15"/>
  <c r="BR29" i="15"/>
  <c r="BQ29" i="15"/>
  <c r="BP29" i="15"/>
  <c r="BR28" i="15"/>
  <c r="BQ28" i="15"/>
  <c r="BP28" i="15"/>
  <c r="BR27" i="15"/>
  <c r="BQ27" i="15"/>
  <c r="BP27" i="15"/>
  <c r="BR26" i="15"/>
  <c r="BQ26" i="15"/>
  <c r="BP26" i="15"/>
  <c r="BR25" i="15"/>
  <c r="BQ25" i="15"/>
  <c r="BP25" i="15"/>
  <c r="BR24" i="15"/>
  <c r="BQ24" i="15"/>
  <c r="BP24" i="15"/>
  <c r="BR23" i="15"/>
  <c r="BQ23" i="15"/>
  <c r="BP23" i="15"/>
  <c r="BR22" i="15"/>
  <c r="BQ22" i="15"/>
  <c r="BP22" i="15"/>
  <c r="BR21" i="15"/>
  <c r="BQ21" i="15"/>
  <c r="BP21" i="15"/>
  <c r="BG44" i="15"/>
  <c r="BF44" i="15"/>
  <c r="BE44" i="15"/>
  <c r="BG43" i="15"/>
  <c r="BF43" i="15"/>
  <c r="BE43" i="15"/>
  <c r="BG42" i="15"/>
  <c r="BF42" i="15"/>
  <c r="BE42" i="15"/>
  <c r="BG41" i="15"/>
  <c r="BF41" i="15"/>
  <c r="BE41" i="15"/>
  <c r="BG40" i="15"/>
  <c r="BF40" i="15"/>
  <c r="BE40" i="15"/>
  <c r="BG39" i="15"/>
  <c r="BF39" i="15"/>
  <c r="BE39" i="15"/>
  <c r="BG38" i="15"/>
  <c r="BF38" i="15"/>
  <c r="BE38" i="15"/>
  <c r="BG37" i="15"/>
  <c r="BF37" i="15"/>
  <c r="BE37" i="15"/>
  <c r="BG36" i="15"/>
  <c r="BF36" i="15"/>
  <c r="BE36" i="15"/>
  <c r="BG35" i="15"/>
  <c r="BF35" i="15"/>
  <c r="BE35" i="15"/>
  <c r="BG34" i="15"/>
  <c r="BF34" i="15"/>
  <c r="BE34" i="15"/>
  <c r="BG33" i="15"/>
  <c r="BF33" i="15"/>
  <c r="BE33" i="15"/>
  <c r="BG32" i="15"/>
  <c r="BF32" i="15"/>
  <c r="BE32" i="15"/>
  <c r="BG31" i="15"/>
  <c r="BF31" i="15"/>
  <c r="BE31" i="15"/>
  <c r="BG30" i="15"/>
  <c r="BF30" i="15"/>
  <c r="BE30" i="15"/>
  <c r="BG29" i="15"/>
  <c r="BF29" i="15"/>
  <c r="BE29" i="15"/>
  <c r="BG28" i="15"/>
  <c r="BF28" i="15"/>
  <c r="BE28" i="15"/>
  <c r="BG27" i="15"/>
  <c r="BF27" i="15"/>
  <c r="BE27" i="15"/>
  <c r="BG26" i="15"/>
  <c r="BF26" i="15"/>
  <c r="BE26" i="15"/>
  <c r="BG25" i="15"/>
  <c r="BF25" i="15"/>
  <c r="BE25" i="15"/>
  <c r="BG24" i="15"/>
  <c r="BF24" i="15"/>
  <c r="BE24" i="15"/>
  <c r="BG23" i="15"/>
  <c r="BF23" i="15"/>
  <c r="BE23" i="15"/>
  <c r="BG22" i="15"/>
  <c r="BF22" i="15"/>
  <c r="BE22" i="15"/>
  <c r="BG21" i="15"/>
  <c r="BF21" i="15"/>
  <c r="BE21" i="15"/>
  <c r="AV44" i="15"/>
  <c r="AU44" i="15"/>
  <c r="AT44" i="15"/>
  <c r="AV43" i="15"/>
  <c r="AU43" i="15"/>
  <c r="AT43" i="15"/>
  <c r="AV42" i="15"/>
  <c r="AU42" i="15"/>
  <c r="AT42" i="15"/>
  <c r="AV41" i="15"/>
  <c r="AU41" i="15"/>
  <c r="AT41" i="15"/>
  <c r="AV40" i="15"/>
  <c r="AU40" i="15"/>
  <c r="AT40" i="15"/>
  <c r="AV39" i="15"/>
  <c r="AU39" i="15"/>
  <c r="AT39" i="15"/>
  <c r="AV38" i="15"/>
  <c r="AU38" i="15"/>
  <c r="AT38" i="15"/>
  <c r="AV37" i="15"/>
  <c r="AU37" i="15"/>
  <c r="AT37" i="15"/>
  <c r="AV36" i="15"/>
  <c r="AU36" i="15"/>
  <c r="AT36" i="15"/>
  <c r="AV35" i="15"/>
  <c r="AU35" i="15"/>
  <c r="AT35" i="15"/>
  <c r="AV34" i="15"/>
  <c r="AU34" i="15"/>
  <c r="AT34" i="15"/>
  <c r="AV33" i="15"/>
  <c r="AU33" i="15"/>
  <c r="AT33" i="15"/>
  <c r="AV32" i="15"/>
  <c r="AU32" i="15"/>
  <c r="AT32" i="15"/>
  <c r="AV31" i="15"/>
  <c r="AU31" i="15"/>
  <c r="AT31" i="15"/>
  <c r="AV30" i="15"/>
  <c r="AU30" i="15"/>
  <c r="AT30" i="15"/>
  <c r="AV29" i="15"/>
  <c r="AU29" i="15"/>
  <c r="AT29" i="15"/>
  <c r="AV28" i="15"/>
  <c r="AU28" i="15"/>
  <c r="AT28" i="15"/>
  <c r="AV27" i="15"/>
  <c r="AU27" i="15"/>
  <c r="AT27" i="15"/>
  <c r="AV26" i="15"/>
  <c r="AU26" i="15"/>
  <c r="AT26" i="15"/>
  <c r="AV25" i="15"/>
  <c r="AU25" i="15"/>
  <c r="AT25" i="15"/>
  <c r="AV24" i="15"/>
  <c r="AU24" i="15"/>
  <c r="AT24" i="15"/>
  <c r="AV23" i="15"/>
  <c r="AU23" i="15"/>
  <c r="AT23" i="15"/>
  <c r="AV22" i="15"/>
  <c r="AU22" i="15"/>
  <c r="AT22" i="15"/>
  <c r="AV21" i="15"/>
  <c r="AU21" i="15"/>
  <c r="AT21" i="15"/>
  <c r="AV20" i="15"/>
  <c r="AU20" i="15"/>
  <c r="AT20" i="15"/>
  <c r="AV19" i="15"/>
  <c r="AU19" i="15"/>
  <c r="AT19" i="15"/>
  <c r="AV18" i="15"/>
  <c r="AU18" i="15"/>
  <c r="AT18" i="15"/>
  <c r="AK44" i="15"/>
  <c r="AJ44" i="15"/>
  <c r="AI44" i="15"/>
  <c r="AK43" i="15"/>
  <c r="AJ43" i="15"/>
  <c r="AI43" i="15"/>
  <c r="AK42" i="15"/>
  <c r="AJ42" i="15"/>
  <c r="AI42" i="15"/>
  <c r="AK41" i="15"/>
  <c r="AJ41" i="15"/>
  <c r="AI41" i="15"/>
  <c r="AK40" i="15"/>
  <c r="AJ40" i="15"/>
  <c r="AI40" i="15"/>
  <c r="AK39" i="15"/>
  <c r="AJ39" i="15"/>
  <c r="AI39" i="15"/>
  <c r="AK38" i="15"/>
  <c r="AJ38" i="15"/>
  <c r="AI38" i="15"/>
  <c r="AK37" i="15"/>
  <c r="AJ37" i="15"/>
  <c r="AI37" i="15"/>
  <c r="AK36" i="15"/>
  <c r="AJ36" i="15"/>
  <c r="AI36" i="15"/>
  <c r="AK35" i="15"/>
  <c r="AJ35" i="15"/>
  <c r="AI35" i="15"/>
  <c r="AK34" i="15"/>
  <c r="AJ34" i="15"/>
  <c r="AI34" i="15"/>
  <c r="AK33" i="15"/>
  <c r="AJ33" i="15"/>
  <c r="AI33" i="15"/>
  <c r="AK32" i="15"/>
  <c r="AJ32" i="15"/>
  <c r="AI32" i="15"/>
  <c r="AK31" i="15"/>
  <c r="AJ31" i="15"/>
  <c r="AI31" i="15"/>
  <c r="AK30" i="15"/>
  <c r="AJ30" i="15"/>
  <c r="AI30" i="15"/>
  <c r="AK29" i="15"/>
  <c r="AJ29" i="15"/>
  <c r="AI29" i="15"/>
  <c r="AK28" i="15"/>
  <c r="AJ28" i="15"/>
  <c r="AI28" i="15"/>
  <c r="AK27" i="15"/>
  <c r="AJ27" i="15"/>
  <c r="AI27" i="15"/>
  <c r="AK26" i="15"/>
  <c r="AJ26" i="15"/>
  <c r="AI26" i="15"/>
  <c r="AK25" i="15"/>
  <c r="AJ25" i="15"/>
  <c r="AI25" i="15"/>
  <c r="AK24" i="15"/>
  <c r="AJ24" i="15"/>
  <c r="AI24" i="15"/>
  <c r="AK23" i="15"/>
  <c r="AJ23" i="15"/>
  <c r="AI23" i="15"/>
  <c r="Z44" i="15"/>
  <c r="Y44" i="15"/>
  <c r="X44" i="15"/>
  <c r="Z43" i="15"/>
  <c r="Y43" i="15"/>
  <c r="X43" i="15"/>
  <c r="Z42" i="15"/>
  <c r="Y42" i="15"/>
  <c r="X42" i="15"/>
  <c r="Z41" i="15"/>
  <c r="Y41" i="15"/>
  <c r="X41" i="15"/>
  <c r="Z40" i="15"/>
  <c r="Y40" i="15"/>
  <c r="X40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Z34" i="15"/>
  <c r="Y34" i="15"/>
  <c r="X34" i="15"/>
  <c r="Z33" i="15"/>
  <c r="Y33" i="15"/>
  <c r="X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Z27" i="15"/>
  <c r="Y27" i="15"/>
  <c r="X27" i="15"/>
  <c r="Z26" i="15"/>
  <c r="Y26" i="15"/>
  <c r="X26" i="15"/>
  <c r="Z25" i="15"/>
  <c r="Y25" i="15"/>
  <c r="X25" i="15"/>
  <c r="Z24" i="15"/>
  <c r="Y24" i="15"/>
  <c r="X24" i="15"/>
  <c r="O44" i="15"/>
  <c r="N44" i="15"/>
  <c r="M44" i="15"/>
  <c r="O43" i="15"/>
  <c r="N43" i="15"/>
  <c r="M43" i="15"/>
  <c r="O42" i="15"/>
  <c r="N42" i="15"/>
  <c r="M42" i="15"/>
  <c r="O41" i="15"/>
  <c r="N41" i="15"/>
  <c r="M41" i="15"/>
  <c r="O40" i="15"/>
  <c r="N40" i="15"/>
  <c r="M40" i="15"/>
  <c r="O39" i="15"/>
  <c r="N39" i="15"/>
  <c r="M39" i="15"/>
  <c r="O38" i="15"/>
  <c r="N38" i="15"/>
  <c r="M38" i="15"/>
  <c r="O37" i="15"/>
  <c r="N37" i="15"/>
  <c r="M37" i="15"/>
  <c r="O36" i="15"/>
  <c r="N36" i="15"/>
  <c r="M36" i="15"/>
  <c r="O35" i="15"/>
  <c r="N35" i="15"/>
  <c r="M35" i="15"/>
  <c r="O34" i="15"/>
  <c r="N34" i="15"/>
  <c r="M34" i="15"/>
  <c r="O33" i="15"/>
  <c r="N33" i="15"/>
  <c r="M33" i="15"/>
  <c r="O32" i="15"/>
  <c r="N32" i="15"/>
  <c r="M32" i="15"/>
  <c r="O31" i="15"/>
  <c r="N31" i="15"/>
  <c r="M31" i="15"/>
  <c r="O30" i="15"/>
  <c r="N30" i="15"/>
  <c r="M30" i="15"/>
  <c r="O29" i="15"/>
  <c r="N29" i="15"/>
  <c r="M29" i="15"/>
  <c r="O28" i="15"/>
  <c r="N28" i="15"/>
  <c r="M28" i="15"/>
  <c r="O27" i="15"/>
  <c r="N27" i="15"/>
  <c r="M27" i="15"/>
  <c r="O26" i="15"/>
  <c r="N26" i="15"/>
  <c r="M26" i="15"/>
  <c r="O25" i="15"/>
  <c r="N25" i="15"/>
  <c r="M25" i="15"/>
  <c r="O24" i="15"/>
  <c r="N24" i="15"/>
  <c r="M24" i="15"/>
  <c r="O23" i="15"/>
  <c r="N23" i="15"/>
  <c r="M23" i="15"/>
  <c r="O22" i="15"/>
  <c r="N22" i="15"/>
  <c r="M22" i="15"/>
  <c r="O21" i="15"/>
  <c r="N21" i="15"/>
  <c r="M21" i="15"/>
  <c r="O20" i="15"/>
  <c r="N20" i="15"/>
  <c r="M20" i="15"/>
  <c r="O19" i="15"/>
  <c r="N19" i="15"/>
  <c r="M19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V44" i="15"/>
  <c r="BV43" i="15"/>
  <c r="BV42" i="15"/>
  <c r="BV41" i="15"/>
  <c r="BV40" i="15"/>
  <c r="BV39" i="15"/>
  <c r="BV38" i="15"/>
  <c r="BV37" i="15"/>
  <c r="BV36" i="15"/>
  <c r="BV35" i="15"/>
  <c r="BV34" i="15"/>
  <c r="BV33" i="15"/>
  <c r="BV32" i="15"/>
  <c r="BV31" i="15"/>
  <c r="BV30" i="15"/>
  <c r="BV29" i="15"/>
  <c r="BV28" i="15"/>
  <c r="BV27" i="15"/>
  <c r="BV26" i="15"/>
  <c r="BV25" i="15"/>
  <c r="BV24" i="15"/>
  <c r="BV23" i="15"/>
  <c r="BV22" i="15"/>
  <c r="BV21" i="15"/>
  <c r="BK44" i="15"/>
  <c r="BK43" i="15"/>
  <c r="BK42" i="15"/>
  <c r="BK41" i="15"/>
  <c r="BK40" i="15"/>
  <c r="BK39" i="15"/>
  <c r="BK38" i="15"/>
  <c r="BK37" i="15"/>
  <c r="BK36" i="15"/>
  <c r="BK35" i="15"/>
  <c r="BK34" i="15"/>
  <c r="BK33" i="15"/>
  <c r="BK32" i="15"/>
  <c r="BK31" i="15"/>
  <c r="BK30" i="15"/>
  <c r="BK29" i="15"/>
  <c r="BK28" i="15"/>
  <c r="BK27" i="15"/>
  <c r="BK26" i="15"/>
  <c r="BK25" i="15"/>
  <c r="BK24" i="15"/>
  <c r="BK23" i="15"/>
  <c r="BK22" i="15"/>
  <c r="BK21" i="15"/>
  <c r="AZ44" i="15"/>
  <c r="AZ43" i="15"/>
  <c r="AZ42" i="15"/>
  <c r="AZ41" i="15"/>
  <c r="AZ40" i="15"/>
  <c r="AZ39" i="15"/>
  <c r="AZ38" i="15"/>
  <c r="AZ37" i="15"/>
  <c r="AZ36" i="15"/>
  <c r="AZ35" i="15"/>
  <c r="AZ34" i="15"/>
  <c r="AZ33" i="15"/>
  <c r="AZ32" i="15"/>
  <c r="AZ31" i="15"/>
  <c r="AZ30" i="15"/>
  <c r="AZ29" i="15"/>
  <c r="AZ28" i="15"/>
  <c r="AZ27" i="15"/>
  <c r="AZ26" i="15"/>
  <c r="AZ25" i="15"/>
  <c r="AZ24" i="15"/>
  <c r="AZ23" i="15"/>
  <c r="AZ22" i="15"/>
  <c r="AZ21" i="15"/>
  <c r="AZ20" i="15"/>
  <c r="AZ19" i="15"/>
  <c r="AO44" i="15"/>
  <c r="AO43" i="15"/>
  <c r="AO42" i="15"/>
  <c r="AO41" i="15"/>
  <c r="AO40" i="15"/>
  <c r="AO39" i="15"/>
  <c r="AO38" i="15"/>
  <c r="AO37" i="15"/>
  <c r="AO36" i="15"/>
  <c r="AO35" i="15"/>
  <c r="AO34" i="15"/>
  <c r="AO33" i="15"/>
  <c r="AO32" i="15"/>
  <c r="AO31" i="15"/>
  <c r="AO30" i="15"/>
  <c r="AO29" i="15"/>
  <c r="AO28" i="15"/>
  <c r="AO27" i="15"/>
  <c r="AO26" i="15"/>
  <c r="AD26" i="15"/>
  <c r="AD27" i="15"/>
  <c r="AD28" i="15"/>
  <c r="AD29" i="15"/>
  <c r="AD30" i="15"/>
  <c r="AD31" i="15"/>
  <c r="AD32" i="15"/>
  <c r="AD33" i="15"/>
  <c r="AD34" i="15"/>
  <c r="AD35" i="15"/>
  <c r="AD36" i="15"/>
  <c r="AD37" i="15"/>
  <c r="AD38" i="15"/>
  <c r="AD39" i="15"/>
  <c r="AD40" i="15"/>
  <c r="AD41" i="15"/>
  <c r="AD42" i="15"/>
  <c r="AD43" i="15"/>
  <c r="AD44" i="15"/>
  <c r="S24" i="15"/>
  <c r="S25" i="15"/>
  <c r="S26" i="15"/>
  <c r="S27" i="15"/>
  <c r="S28" i="15"/>
  <c r="S29" i="15"/>
  <c r="S30" i="15"/>
  <c r="S31" i="15"/>
  <c r="S32" i="15"/>
  <c r="S33" i="15"/>
  <c r="S34" i="15"/>
  <c r="S35" i="15"/>
  <c r="S36" i="15"/>
  <c r="S37" i="15"/>
  <c r="S38" i="15"/>
  <c r="S39" i="15"/>
  <c r="S40" i="15"/>
  <c r="S41" i="15"/>
  <c r="S42" i="15"/>
  <c r="S43" i="15"/>
  <c r="S44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S23" i="15"/>
  <c r="S22" i="15"/>
  <c r="S21" i="15"/>
  <c r="S20" i="15"/>
  <c r="S19" i="15"/>
  <c r="CS4" i="15" l="1"/>
  <c r="CT4" i="15" s="1"/>
  <c r="V34" i="9" s="1"/>
  <c r="W34" i="9"/>
  <c r="K61" i="18" s="1"/>
  <c r="EK4" i="15"/>
  <c r="EL4" i="15" s="1"/>
  <c r="V43" i="9" s="1"/>
  <c r="W35" i="9"/>
  <c r="K93" i="18" s="1"/>
  <c r="W44" i="9"/>
  <c r="K94" i="19" s="1"/>
  <c r="W43" i="9"/>
  <c r="K62" i="19" s="1"/>
  <c r="W42" i="9"/>
  <c r="W36" i="9"/>
  <c r="K123" i="18" s="1"/>
  <c r="W33" i="9"/>
  <c r="K30" i="18" s="1"/>
  <c r="W45" i="9"/>
  <c r="K125" i="19" s="1"/>
  <c r="DD4" i="15"/>
  <c r="DE4" i="15" s="1"/>
  <c r="V35" i="9" s="1"/>
  <c r="FG4" i="15"/>
  <c r="FH4" i="15" s="1"/>
  <c r="V45" i="9" s="1"/>
  <c r="DO4" i="15"/>
  <c r="DP4" i="15" s="1"/>
  <c r="V36" i="9" s="1"/>
  <c r="CH4" i="15"/>
  <c r="CI4" i="15" s="1"/>
  <c r="V33" i="9" s="1"/>
  <c r="DZ4" i="15"/>
  <c r="EA4" i="15" s="1"/>
  <c r="V42" i="9" s="1"/>
  <c r="EV4" i="15"/>
  <c r="EW4" i="15" s="1"/>
  <c r="V44" i="9" s="1"/>
  <c r="D125" i="19"/>
  <c r="D62" i="19"/>
  <c r="I46" i="9"/>
  <c r="H31" i="19"/>
  <c r="D94" i="19"/>
  <c r="D61" i="18"/>
  <c r="H123" i="18"/>
  <c r="H93" i="18"/>
  <c r="I37" i="9"/>
  <c r="E37" i="9" s="1"/>
  <c r="AZ18" i="15"/>
  <c r="AD24" i="15"/>
  <c r="AD25" i="15"/>
  <c r="AO25" i="15"/>
  <c r="AO23" i="15"/>
  <c r="AO24" i="15"/>
  <c r="I10" i="9" l="1"/>
  <c r="E10" i="9" s="1"/>
  <c r="E46" i="9"/>
  <c r="F36" i="9"/>
  <c r="E123" i="18" s="1"/>
  <c r="F35" i="9"/>
  <c r="B35" i="9" s="1"/>
  <c r="A93" i="18" s="1"/>
  <c r="F33" i="9"/>
  <c r="E30" i="18" s="1"/>
  <c r="W37" i="9"/>
  <c r="F43" i="9"/>
  <c r="J125" i="19"/>
  <c r="F45" i="9"/>
  <c r="C45" i="9" s="1"/>
  <c r="B125" i="19" s="1"/>
  <c r="F34" i="9"/>
  <c r="C34" i="9" s="1"/>
  <c r="B61" i="18" s="1"/>
  <c r="W46" i="9"/>
  <c r="W10" i="9" s="1"/>
  <c r="K31" i="19"/>
  <c r="J61" i="18"/>
  <c r="J123" i="18"/>
  <c r="F44" i="9"/>
  <c r="J93" i="18"/>
  <c r="V37" i="9"/>
  <c r="J30" i="18"/>
  <c r="J62" i="19"/>
  <c r="E93" i="18"/>
  <c r="D31" i="19"/>
  <c r="D123" i="18"/>
  <c r="D30" i="18"/>
  <c r="D93" i="18"/>
  <c r="D67" i="13"/>
  <c r="K66" i="13" s="1"/>
  <c r="D71" i="7"/>
  <c r="K70" i="7" s="1"/>
  <c r="P26" i="9"/>
  <c r="D72" i="13" s="1"/>
  <c r="K71" i="13" s="1"/>
  <c r="D42" i="7"/>
  <c r="K41" i="7" s="1"/>
  <c r="M17" i="9"/>
  <c r="D67" i="7" s="1"/>
  <c r="K66" i="7" s="1"/>
  <c r="R27" i="9"/>
  <c r="N18" i="9"/>
  <c r="M24" i="9"/>
  <c r="P25" i="9"/>
  <c r="M18" i="9"/>
  <c r="N24" i="9"/>
  <c r="I24" i="9" s="1"/>
  <c r="E24" i="9" s="1"/>
  <c r="K27" i="9"/>
  <c r="O25" i="9"/>
  <c r="T18" i="9"/>
  <c r="D43" i="7" s="1"/>
  <c r="K42" i="7" s="1"/>
  <c r="N17" i="9"/>
  <c r="O18" i="9"/>
  <c r="D38" i="7" s="1"/>
  <c r="K37" i="7" s="1"/>
  <c r="M27" i="9"/>
  <c r="R25" i="9"/>
  <c r="T17" i="9"/>
  <c r="D74" i="7" s="1"/>
  <c r="K73" i="7" s="1"/>
  <c r="R24" i="9"/>
  <c r="D36" i="13"/>
  <c r="K35" i="13" s="1"/>
  <c r="D73" i="7"/>
  <c r="K72" i="7" s="1"/>
  <c r="R26" i="9"/>
  <c r="D65" i="7"/>
  <c r="K64" i="7" s="1"/>
  <c r="P18" i="9"/>
  <c r="D39" i="7" s="1"/>
  <c r="K38" i="7" s="1"/>
  <c r="N27" i="9"/>
  <c r="I27" i="9" s="1"/>
  <c r="D34" i="7"/>
  <c r="K33" i="7" s="1"/>
  <c r="P24" i="9"/>
  <c r="M25" i="9"/>
  <c r="P17" i="9"/>
  <c r="D70" i="7" s="1"/>
  <c r="K69" i="7" s="1"/>
  <c r="T27" i="9"/>
  <c r="N26" i="9"/>
  <c r="I26" i="9" s="1"/>
  <c r="O17" i="9"/>
  <c r="D69" i="7" s="1"/>
  <c r="K68" i="7" s="1"/>
  <c r="M26" i="9"/>
  <c r="T25" i="9"/>
  <c r="O27" i="9"/>
  <c r="D35" i="7"/>
  <c r="K34" i="7" s="1"/>
  <c r="O24" i="9"/>
  <c r="T26" i="9"/>
  <c r="N25" i="9"/>
  <c r="I25" i="9" s="1"/>
  <c r="R17" i="9"/>
  <c r="D72" i="7" s="1"/>
  <c r="K71" i="7" s="1"/>
  <c r="T24" i="9"/>
  <c r="O26" i="9"/>
  <c r="D40" i="7"/>
  <c r="K39" i="7" s="1"/>
  <c r="D66" i="7"/>
  <c r="K65" i="7" s="1"/>
  <c r="P27" i="9"/>
  <c r="R18" i="9"/>
  <c r="D41" i="7" s="1"/>
  <c r="K40" i="7" s="1"/>
  <c r="D35" i="13"/>
  <c r="K34" i="13" s="1"/>
  <c r="N16" i="9"/>
  <c r="O16" i="9"/>
  <c r="D7" i="7" s="1"/>
  <c r="K6" i="7" s="1"/>
  <c r="P16" i="9"/>
  <c r="D8" i="7" s="1"/>
  <c r="K7" i="7" s="1"/>
  <c r="D9" i="7"/>
  <c r="K8" i="7" s="1"/>
  <c r="T16" i="9"/>
  <c r="D12" i="7" s="1"/>
  <c r="K11" i="7" s="1"/>
  <c r="R16" i="9"/>
  <c r="D10" i="7" s="1"/>
  <c r="K9" i="7" s="1"/>
  <c r="K3" i="7"/>
  <c r="M16" i="9"/>
  <c r="D16" i="9" s="1"/>
  <c r="D80" i="7"/>
  <c r="D76" i="7"/>
  <c r="D47" i="7"/>
  <c r="D14" i="7"/>
  <c r="D16" i="7"/>
  <c r="D78" i="13"/>
  <c r="D111" i="13"/>
  <c r="D82" i="13"/>
  <c r="D77" i="13"/>
  <c r="D47" i="13"/>
  <c r="D19" i="13"/>
  <c r="D15" i="13"/>
  <c r="D79" i="7"/>
  <c r="D75" i="7"/>
  <c r="D46" i="7"/>
  <c r="D15" i="7"/>
  <c r="D114" i="13"/>
  <c r="D110" i="13"/>
  <c r="D81" i="13"/>
  <c r="D50" i="13"/>
  <c r="D46" i="13"/>
  <c r="D18" i="13"/>
  <c r="D14" i="13"/>
  <c r="D78" i="7"/>
  <c r="D49" i="7"/>
  <c r="D45" i="7"/>
  <c r="D18" i="7"/>
  <c r="D13" i="7"/>
  <c r="D113" i="13"/>
  <c r="D109" i="13"/>
  <c r="D80" i="13"/>
  <c r="D49" i="13"/>
  <c r="D45" i="13"/>
  <c r="D17" i="13"/>
  <c r="D77" i="7"/>
  <c r="D48" i="7"/>
  <c r="D44" i="7"/>
  <c r="D17" i="7"/>
  <c r="D112" i="13"/>
  <c r="D79" i="13"/>
  <c r="D48" i="13"/>
  <c r="D16" i="13"/>
  <c r="AL24" i="15"/>
  <c r="AM23" i="15"/>
  <c r="AP23" i="15" s="1"/>
  <c r="AQ23" i="15" s="1"/>
  <c r="P20" i="15"/>
  <c r="AL23" i="15"/>
  <c r="AA25" i="15"/>
  <c r="AM25" i="15"/>
  <c r="AP25" i="15" s="1"/>
  <c r="AQ25" i="15" s="1"/>
  <c r="P21" i="15"/>
  <c r="E27" i="15"/>
  <c r="AX18" i="15"/>
  <c r="BA18" i="15" s="1"/>
  <c r="BB18" i="15" s="1"/>
  <c r="AB25" i="15"/>
  <c r="AE25" i="15" s="1"/>
  <c r="AF25" i="15" s="1"/>
  <c r="AA24" i="15"/>
  <c r="P22" i="15"/>
  <c r="AB24" i="15"/>
  <c r="AE24" i="15" s="1"/>
  <c r="AF24" i="15" s="1"/>
  <c r="AW18" i="15"/>
  <c r="AM24" i="15"/>
  <c r="AP24" i="15" s="1"/>
  <c r="AQ24" i="15" s="1"/>
  <c r="AL25" i="15"/>
  <c r="P19" i="15"/>
  <c r="P31" i="15"/>
  <c r="P35" i="15"/>
  <c r="P39" i="15"/>
  <c r="P43" i="15"/>
  <c r="Q19" i="15"/>
  <c r="T19" i="15" s="1"/>
  <c r="U19" i="15" s="1"/>
  <c r="P30" i="15"/>
  <c r="P38" i="15"/>
  <c r="Q22" i="15"/>
  <c r="T22" i="15" s="1"/>
  <c r="U22" i="15" s="1"/>
  <c r="E30" i="15"/>
  <c r="E32" i="15"/>
  <c r="E34" i="15"/>
  <c r="E36" i="15"/>
  <c r="E38" i="15"/>
  <c r="E40" i="15"/>
  <c r="E42" i="15"/>
  <c r="E44" i="15"/>
  <c r="F36" i="15"/>
  <c r="I36" i="15" s="1"/>
  <c r="J36" i="15" s="1"/>
  <c r="F40" i="15"/>
  <c r="I40" i="15" s="1"/>
  <c r="J40" i="15" s="1"/>
  <c r="F43" i="15"/>
  <c r="I43" i="15" s="1"/>
  <c r="J43" i="15" s="1"/>
  <c r="P34" i="15"/>
  <c r="P42" i="15"/>
  <c r="E28" i="15"/>
  <c r="E29" i="15"/>
  <c r="E31" i="15"/>
  <c r="E33" i="15"/>
  <c r="E35" i="15"/>
  <c r="E37" i="15"/>
  <c r="E39" i="15"/>
  <c r="E41" i="15"/>
  <c r="E43" i="15"/>
  <c r="Q23" i="15"/>
  <c r="T23" i="15" s="1"/>
  <c r="U23" i="15" s="1"/>
  <c r="F38" i="15"/>
  <c r="I38" i="15" s="1"/>
  <c r="J38" i="15" s="1"/>
  <c r="F41" i="15"/>
  <c r="I41" i="15" s="1"/>
  <c r="J41" i="15" s="1"/>
  <c r="F44" i="15"/>
  <c r="I44" i="15" s="1"/>
  <c r="J44" i="15" s="1"/>
  <c r="AX30" i="15"/>
  <c r="BA30" i="15" s="1"/>
  <c r="BB30" i="15" s="1"/>
  <c r="P33" i="15"/>
  <c r="P37" i="15"/>
  <c r="P41" i="15"/>
  <c r="P32" i="15"/>
  <c r="P36" i="15"/>
  <c r="P40" i="15"/>
  <c r="P44" i="15"/>
  <c r="F27" i="15"/>
  <c r="I27" i="15" s="1"/>
  <c r="J27" i="15" s="1"/>
  <c r="F28" i="15"/>
  <c r="I28" i="15" s="1"/>
  <c r="J28" i="15" s="1"/>
  <c r="F29" i="15"/>
  <c r="I29" i="15" s="1"/>
  <c r="J29" i="15" s="1"/>
  <c r="F30" i="15"/>
  <c r="I30" i="15" s="1"/>
  <c r="J30" i="15" s="1"/>
  <c r="F31" i="15"/>
  <c r="I31" i="15" s="1"/>
  <c r="J31" i="15" s="1"/>
  <c r="F32" i="15"/>
  <c r="I32" i="15" s="1"/>
  <c r="J32" i="15" s="1"/>
  <c r="F33" i="15"/>
  <c r="I33" i="15" s="1"/>
  <c r="J33" i="15" s="1"/>
  <c r="F34" i="15"/>
  <c r="I34" i="15" s="1"/>
  <c r="J34" i="15" s="1"/>
  <c r="F35" i="15"/>
  <c r="I35" i="15" s="1"/>
  <c r="J35" i="15" s="1"/>
  <c r="F37" i="15"/>
  <c r="I37" i="15" s="1"/>
  <c r="J37" i="15" s="1"/>
  <c r="F39" i="15"/>
  <c r="I39" i="15" s="1"/>
  <c r="J39" i="15" s="1"/>
  <c r="F42" i="15"/>
  <c r="I42" i="15" s="1"/>
  <c r="J42" i="15" s="1"/>
  <c r="AX35" i="15"/>
  <c r="BA35" i="15" s="1"/>
  <c r="BB35" i="15" s="1"/>
  <c r="AX31" i="15"/>
  <c r="BA31" i="15" s="1"/>
  <c r="BB31" i="15" s="1"/>
  <c r="AX27" i="15"/>
  <c r="BA27" i="15" s="1"/>
  <c r="BB27" i="15" s="1"/>
  <c r="AB26" i="15"/>
  <c r="AE26" i="15" s="1"/>
  <c r="AF26" i="15" s="1"/>
  <c r="AB30" i="15"/>
  <c r="AE30" i="15" s="1"/>
  <c r="AF30" i="15" s="1"/>
  <c r="AB34" i="15"/>
  <c r="AE34" i="15" s="1"/>
  <c r="AF34" i="15" s="1"/>
  <c r="AB38" i="15"/>
  <c r="AE38" i="15" s="1"/>
  <c r="AF38" i="15" s="1"/>
  <c r="AB42" i="15"/>
  <c r="AE42" i="15" s="1"/>
  <c r="AF42" i="15" s="1"/>
  <c r="Q25" i="15"/>
  <c r="T25" i="15" s="1"/>
  <c r="U25" i="15" s="1"/>
  <c r="Q26" i="15"/>
  <c r="T26" i="15" s="1"/>
  <c r="U26" i="15" s="1"/>
  <c r="Q27" i="15"/>
  <c r="T27" i="15" s="1"/>
  <c r="U27" i="15" s="1"/>
  <c r="Q28" i="15"/>
  <c r="T28" i="15" s="1"/>
  <c r="U28" i="15" s="1"/>
  <c r="Q29" i="15"/>
  <c r="T29" i="15" s="1"/>
  <c r="U29" i="15" s="1"/>
  <c r="Q30" i="15"/>
  <c r="T30" i="15" s="1"/>
  <c r="U30" i="15" s="1"/>
  <c r="Q31" i="15"/>
  <c r="T31" i="15" s="1"/>
  <c r="U31" i="15" s="1"/>
  <c r="Q32" i="15"/>
  <c r="T32" i="15" s="1"/>
  <c r="U32" i="15" s="1"/>
  <c r="Q33" i="15"/>
  <c r="T33" i="15" s="1"/>
  <c r="U33" i="15" s="1"/>
  <c r="Q34" i="15"/>
  <c r="T34" i="15" s="1"/>
  <c r="U34" i="15" s="1"/>
  <c r="Q35" i="15"/>
  <c r="T35" i="15" s="1"/>
  <c r="U35" i="15" s="1"/>
  <c r="Q36" i="15"/>
  <c r="T36" i="15" s="1"/>
  <c r="U36" i="15" s="1"/>
  <c r="Q37" i="15"/>
  <c r="T37" i="15" s="1"/>
  <c r="U37" i="15" s="1"/>
  <c r="Q38" i="15"/>
  <c r="T38" i="15" s="1"/>
  <c r="U38" i="15" s="1"/>
  <c r="Q39" i="15"/>
  <c r="T39" i="15" s="1"/>
  <c r="U39" i="15" s="1"/>
  <c r="Q40" i="15"/>
  <c r="T40" i="15" s="1"/>
  <c r="U40" i="15" s="1"/>
  <c r="Q41" i="15"/>
  <c r="T41" i="15" s="1"/>
  <c r="U41" i="15" s="1"/>
  <c r="Q42" i="15"/>
  <c r="T42" i="15" s="1"/>
  <c r="U42" i="15" s="1"/>
  <c r="Q43" i="15"/>
  <c r="T43" i="15" s="1"/>
  <c r="U43" i="15" s="1"/>
  <c r="Q44" i="15"/>
  <c r="T44" i="15" s="1"/>
  <c r="U44" i="15" s="1"/>
  <c r="BH26" i="15"/>
  <c r="AX36" i="15"/>
  <c r="BA36" i="15" s="1"/>
  <c r="BB36" i="15" s="1"/>
  <c r="AX32" i="15"/>
  <c r="BA32" i="15" s="1"/>
  <c r="BB32" i="15" s="1"/>
  <c r="AX28" i="15"/>
  <c r="BA28" i="15" s="1"/>
  <c r="BB28" i="15" s="1"/>
  <c r="AB29" i="15"/>
  <c r="AE29" i="15" s="1"/>
  <c r="AF29" i="15" s="1"/>
  <c r="AB33" i="15"/>
  <c r="AE33" i="15" s="1"/>
  <c r="AF33" i="15" s="1"/>
  <c r="AB37" i="15"/>
  <c r="AE37" i="15" s="1"/>
  <c r="AF37" i="15" s="1"/>
  <c r="AB41" i="15"/>
  <c r="AE41" i="15" s="1"/>
  <c r="AF41" i="15" s="1"/>
  <c r="Q24" i="15"/>
  <c r="T24" i="15" s="1"/>
  <c r="U24" i="15" s="1"/>
  <c r="Q20" i="15"/>
  <c r="T20" i="15" s="1"/>
  <c r="U20" i="15" s="1"/>
  <c r="P23" i="15"/>
  <c r="AM33" i="15"/>
  <c r="AP33" i="15" s="1"/>
  <c r="AQ33" i="15" s="1"/>
  <c r="AM31" i="15"/>
  <c r="AP31" i="15" s="1"/>
  <c r="AQ31" i="15" s="1"/>
  <c r="AM29" i="15"/>
  <c r="AP29" i="15" s="1"/>
  <c r="AQ29" i="15" s="1"/>
  <c r="AM27" i="15"/>
  <c r="AP27" i="15" s="1"/>
  <c r="AQ27" i="15" s="1"/>
  <c r="AB28" i="15"/>
  <c r="AE28" i="15" s="1"/>
  <c r="AF28" i="15" s="1"/>
  <c r="AB36" i="15"/>
  <c r="AE36" i="15" s="1"/>
  <c r="AF36" i="15" s="1"/>
  <c r="AB40" i="15"/>
  <c r="AE40" i="15" s="1"/>
  <c r="AF40" i="15" s="1"/>
  <c r="Q21" i="15"/>
  <c r="T21" i="15" s="1"/>
  <c r="U21" i="15" s="1"/>
  <c r="AW25" i="15"/>
  <c r="AW23" i="15"/>
  <c r="AW21" i="15"/>
  <c r="AW19" i="15"/>
  <c r="AL43" i="15"/>
  <c r="AL41" i="15"/>
  <c r="AL39" i="15"/>
  <c r="AL37" i="15"/>
  <c r="AL35" i="15"/>
  <c r="AL33" i="15"/>
  <c r="AL31" i="15"/>
  <c r="AL29" i="15"/>
  <c r="AL27" i="15"/>
  <c r="AB27" i="15"/>
  <c r="AE27" i="15" s="1"/>
  <c r="AF27" i="15" s="1"/>
  <c r="AB35" i="15"/>
  <c r="AE35" i="15" s="1"/>
  <c r="AF35" i="15" s="1"/>
  <c r="AX44" i="15"/>
  <c r="BA44" i="15" s="1"/>
  <c r="BB44" i="15" s="1"/>
  <c r="AX37" i="15"/>
  <c r="BA37" i="15" s="1"/>
  <c r="BB37" i="15" s="1"/>
  <c r="AX33" i="15"/>
  <c r="BA33" i="15" s="1"/>
  <c r="BB33" i="15" s="1"/>
  <c r="AX29" i="15"/>
  <c r="BA29" i="15" s="1"/>
  <c r="BB29" i="15" s="1"/>
  <c r="AX25" i="15"/>
  <c r="BA25" i="15" s="1"/>
  <c r="BB25" i="15" s="1"/>
  <c r="AX24" i="15"/>
  <c r="BA24" i="15" s="1"/>
  <c r="BB24" i="15" s="1"/>
  <c r="AX23" i="15"/>
  <c r="BA23" i="15" s="1"/>
  <c r="BB23" i="15" s="1"/>
  <c r="AX22" i="15"/>
  <c r="BA22" i="15" s="1"/>
  <c r="BB22" i="15" s="1"/>
  <c r="AX21" i="15"/>
  <c r="BA21" i="15" s="1"/>
  <c r="BB21" i="15" s="1"/>
  <c r="AX20" i="15"/>
  <c r="BA20" i="15" s="1"/>
  <c r="BB20" i="15" s="1"/>
  <c r="AX19" i="15"/>
  <c r="BA19" i="15" s="1"/>
  <c r="BB19" i="15" s="1"/>
  <c r="AM44" i="15"/>
  <c r="AP44" i="15" s="1"/>
  <c r="AQ44" i="15" s="1"/>
  <c r="AM43" i="15"/>
  <c r="AP43" i="15" s="1"/>
  <c r="AQ43" i="15" s="1"/>
  <c r="AM42" i="15"/>
  <c r="AP42" i="15" s="1"/>
  <c r="AQ42" i="15" s="1"/>
  <c r="AM41" i="15"/>
  <c r="AP41" i="15" s="1"/>
  <c r="AQ41" i="15" s="1"/>
  <c r="AM40" i="15"/>
  <c r="AP40" i="15" s="1"/>
  <c r="AQ40" i="15" s="1"/>
  <c r="AM39" i="15"/>
  <c r="AP39" i="15" s="1"/>
  <c r="AQ39" i="15" s="1"/>
  <c r="AM38" i="15"/>
  <c r="AP38" i="15" s="1"/>
  <c r="AQ38" i="15" s="1"/>
  <c r="AM37" i="15"/>
  <c r="AP37" i="15" s="1"/>
  <c r="AQ37" i="15" s="1"/>
  <c r="AM36" i="15"/>
  <c r="AP36" i="15" s="1"/>
  <c r="AQ36" i="15" s="1"/>
  <c r="AM35" i="15"/>
  <c r="AP35" i="15" s="1"/>
  <c r="AQ35" i="15" s="1"/>
  <c r="AM34" i="15"/>
  <c r="AP34" i="15" s="1"/>
  <c r="AQ34" i="15" s="1"/>
  <c r="AM32" i="15"/>
  <c r="AP32" i="15" s="1"/>
  <c r="AQ32" i="15" s="1"/>
  <c r="AM30" i="15"/>
  <c r="AP30" i="15" s="1"/>
  <c r="AQ30" i="15" s="1"/>
  <c r="AM28" i="15"/>
  <c r="AP28" i="15" s="1"/>
  <c r="AQ28" i="15" s="1"/>
  <c r="AM26" i="15"/>
  <c r="AP26" i="15" s="1"/>
  <c r="AQ26" i="15" s="1"/>
  <c r="AB32" i="15"/>
  <c r="AE32" i="15" s="1"/>
  <c r="AF32" i="15" s="1"/>
  <c r="AB44" i="15"/>
  <c r="AE44" i="15" s="1"/>
  <c r="AF44" i="15" s="1"/>
  <c r="AX26" i="15"/>
  <c r="BA26" i="15" s="1"/>
  <c r="BB26" i="15" s="1"/>
  <c r="AW24" i="15"/>
  <c r="AW22" i="15"/>
  <c r="AW20" i="15"/>
  <c r="AL44" i="15"/>
  <c r="AL42" i="15"/>
  <c r="AL40" i="15"/>
  <c r="AL38" i="15"/>
  <c r="AL36" i="15"/>
  <c r="AL34" i="15"/>
  <c r="AL32" i="15"/>
  <c r="AL30" i="15"/>
  <c r="AL28" i="15"/>
  <c r="AL26" i="15"/>
  <c r="AB31" i="15"/>
  <c r="AE31" i="15" s="1"/>
  <c r="AF31" i="15" s="1"/>
  <c r="AB39" i="15"/>
  <c r="AE39" i="15" s="1"/>
  <c r="AF39" i="15" s="1"/>
  <c r="AB43" i="15"/>
  <c r="AE43" i="15" s="1"/>
  <c r="AF43" i="15" s="1"/>
  <c r="P26" i="15"/>
  <c r="P27" i="15"/>
  <c r="P28" i="15"/>
  <c r="P29" i="15"/>
  <c r="AX40" i="15"/>
  <c r="BA40" i="15" s="1"/>
  <c r="BB40" i="15" s="1"/>
  <c r="AX34" i="15"/>
  <c r="BA34" i="15" s="1"/>
  <c r="BB34" i="15" s="1"/>
  <c r="BH27" i="15"/>
  <c r="AX41" i="15"/>
  <c r="BA41" i="15" s="1"/>
  <c r="BB41" i="15" s="1"/>
  <c r="BH30" i="15"/>
  <c r="BH22" i="15"/>
  <c r="AX42" i="15"/>
  <c r="BA42" i="15" s="1"/>
  <c r="BB42" i="15" s="1"/>
  <c r="AX38" i="15"/>
  <c r="BA38" i="15" s="1"/>
  <c r="BB38" i="15" s="1"/>
  <c r="AW37" i="15"/>
  <c r="AW36" i="15"/>
  <c r="AW35" i="15"/>
  <c r="AW34" i="15"/>
  <c r="AW33" i="15"/>
  <c r="AW32" i="15"/>
  <c r="AW31" i="15"/>
  <c r="AW30" i="15"/>
  <c r="AW29" i="15"/>
  <c r="AW28" i="15"/>
  <c r="AW27" i="15"/>
  <c r="AW26" i="15"/>
  <c r="BH31" i="15"/>
  <c r="BH23" i="15"/>
  <c r="AX43" i="15"/>
  <c r="BA43" i="15" s="1"/>
  <c r="BB43" i="15" s="1"/>
  <c r="AX39" i="15"/>
  <c r="BA39" i="15" s="1"/>
  <c r="BB39" i="15" s="1"/>
  <c r="AA26" i="15"/>
  <c r="AA27" i="15"/>
  <c r="AA28" i="15"/>
  <c r="AA29" i="15"/>
  <c r="AA30" i="15"/>
  <c r="AA31" i="15"/>
  <c r="AA32" i="15"/>
  <c r="AA33" i="15"/>
  <c r="AA34" i="15"/>
  <c r="AA35" i="15"/>
  <c r="AA36" i="15"/>
  <c r="AA37" i="15"/>
  <c r="AA38" i="15"/>
  <c r="AA39" i="15"/>
  <c r="AA40" i="15"/>
  <c r="AA41" i="15"/>
  <c r="AA42" i="15"/>
  <c r="AA43" i="15"/>
  <c r="AA44" i="15"/>
  <c r="P24" i="15"/>
  <c r="P25" i="15"/>
  <c r="BT24" i="15"/>
  <c r="BW24" i="15" s="1"/>
  <c r="BX24" i="15" s="1"/>
  <c r="BH42" i="15"/>
  <c r="BH36" i="15"/>
  <c r="BH32" i="15"/>
  <c r="BH28" i="15"/>
  <c r="BH24" i="15"/>
  <c r="BT25" i="15"/>
  <c r="BW25" i="15" s="1"/>
  <c r="BX25" i="15" s="1"/>
  <c r="BH43" i="15"/>
  <c r="BH37" i="15"/>
  <c r="BH33" i="15"/>
  <c r="BH29" i="15"/>
  <c r="BH25" i="15"/>
  <c r="BH21" i="15"/>
  <c r="AW44" i="15"/>
  <c r="AW43" i="15"/>
  <c r="AW42" i="15"/>
  <c r="AW41" i="15"/>
  <c r="AW40" i="15"/>
  <c r="AW39" i="15"/>
  <c r="AW38" i="15"/>
  <c r="BT33" i="15"/>
  <c r="BW33" i="15" s="1"/>
  <c r="BX33" i="15" s="1"/>
  <c r="BT28" i="15"/>
  <c r="BW28" i="15" s="1"/>
  <c r="BX28" i="15" s="1"/>
  <c r="BH38" i="15"/>
  <c r="BH34" i="15"/>
  <c r="BT29" i="15"/>
  <c r="BW29" i="15" s="1"/>
  <c r="BX29" i="15" s="1"/>
  <c r="BT21" i="15"/>
  <c r="BW21" i="15" s="1"/>
  <c r="BX21" i="15" s="1"/>
  <c r="BH39" i="15"/>
  <c r="BH35" i="15"/>
  <c r="BT36" i="15"/>
  <c r="BW36" i="15" s="1"/>
  <c r="BX36" i="15" s="1"/>
  <c r="BT32" i="15"/>
  <c r="BW32" i="15" s="1"/>
  <c r="BX32" i="15" s="1"/>
  <c r="BT37" i="15"/>
  <c r="BW37" i="15" s="1"/>
  <c r="BX37" i="15" s="1"/>
  <c r="BT38" i="15"/>
  <c r="BW38" i="15" s="1"/>
  <c r="BX38" i="15" s="1"/>
  <c r="BT34" i="15"/>
  <c r="BW34" i="15" s="1"/>
  <c r="BX34" i="15" s="1"/>
  <c r="BT30" i="15"/>
  <c r="BW30" i="15" s="1"/>
  <c r="BX30" i="15" s="1"/>
  <c r="BT26" i="15"/>
  <c r="BW26" i="15" s="1"/>
  <c r="BX26" i="15" s="1"/>
  <c r="BT22" i="15"/>
  <c r="BW22" i="15" s="1"/>
  <c r="BX22" i="15" s="1"/>
  <c r="BH44" i="15"/>
  <c r="BH40" i="15"/>
  <c r="BT35" i="15"/>
  <c r="BW35" i="15" s="1"/>
  <c r="BX35" i="15" s="1"/>
  <c r="BT31" i="15"/>
  <c r="BW31" i="15" s="1"/>
  <c r="BX31" i="15" s="1"/>
  <c r="BT27" i="15"/>
  <c r="BW27" i="15" s="1"/>
  <c r="BX27" i="15" s="1"/>
  <c r="BT23" i="15"/>
  <c r="BW23" i="15" s="1"/>
  <c r="BX23" i="15" s="1"/>
  <c r="BH41" i="15"/>
  <c r="BT44" i="15"/>
  <c r="BW44" i="15" s="1"/>
  <c r="BX44" i="15" s="1"/>
  <c r="BT43" i="15"/>
  <c r="BW43" i="15" s="1"/>
  <c r="BX43" i="15" s="1"/>
  <c r="BT42" i="15"/>
  <c r="BW42" i="15" s="1"/>
  <c r="BX42" i="15" s="1"/>
  <c r="BT41" i="15"/>
  <c r="BW41" i="15" s="1"/>
  <c r="BX41" i="15" s="1"/>
  <c r="BT40" i="15"/>
  <c r="BW40" i="15" s="1"/>
  <c r="BX40" i="15" s="1"/>
  <c r="BT39" i="15"/>
  <c r="BW39" i="15" s="1"/>
  <c r="BX39" i="15" s="1"/>
  <c r="BS44" i="15"/>
  <c r="BS43" i="15"/>
  <c r="BS42" i="15"/>
  <c r="BS41" i="15"/>
  <c r="BS40" i="15"/>
  <c r="BS39" i="15"/>
  <c r="BS38" i="15"/>
  <c r="BS37" i="15"/>
  <c r="BS36" i="15"/>
  <c r="BS35" i="15"/>
  <c r="BS34" i="15"/>
  <c r="BS33" i="15"/>
  <c r="BS32" i="15"/>
  <c r="BS31" i="15"/>
  <c r="BS30" i="15"/>
  <c r="BS29" i="15"/>
  <c r="BS28" i="15"/>
  <c r="BS27" i="15"/>
  <c r="BS26" i="15"/>
  <c r="BS25" i="15"/>
  <c r="BS24" i="15"/>
  <c r="BS23" i="15"/>
  <c r="BS22" i="15"/>
  <c r="BS21" i="15"/>
  <c r="BI44" i="15"/>
  <c r="BL44" i="15" s="1"/>
  <c r="BM44" i="15" s="1"/>
  <c r="BI43" i="15"/>
  <c r="BL43" i="15" s="1"/>
  <c r="BM43" i="15" s="1"/>
  <c r="BI42" i="15"/>
  <c r="BL42" i="15" s="1"/>
  <c r="BM42" i="15" s="1"/>
  <c r="BI41" i="15"/>
  <c r="BL41" i="15" s="1"/>
  <c r="BM41" i="15" s="1"/>
  <c r="BI40" i="15"/>
  <c r="BL40" i="15" s="1"/>
  <c r="BM40" i="15" s="1"/>
  <c r="BI39" i="15"/>
  <c r="BL39" i="15" s="1"/>
  <c r="BM39" i="15" s="1"/>
  <c r="BI38" i="15"/>
  <c r="BL38" i="15" s="1"/>
  <c r="BM38" i="15" s="1"/>
  <c r="BI37" i="15"/>
  <c r="BL37" i="15" s="1"/>
  <c r="BM37" i="15" s="1"/>
  <c r="BI36" i="15"/>
  <c r="BL36" i="15" s="1"/>
  <c r="BM36" i="15" s="1"/>
  <c r="BI35" i="15"/>
  <c r="BL35" i="15" s="1"/>
  <c r="BM35" i="15" s="1"/>
  <c r="BI34" i="15"/>
  <c r="BL34" i="15" s="1"/>
  <c r="BM34" i="15" s="1"/>
  <c r="BI33" i="15"/>
  <c r="BL33" i="15" s="1"/>
  <c r="BM33" i="15" s="1"/>
  <c r="BI32" i="15"/>
  <c r="BL32" i="15" s="1"/>
  <c r="BM32" i="15" s="1"/>
  <c r="BI31" i="15"/>
  <c r="BL31" i="15" s="1"/>
  <c r="BM31" i="15" s="1"/>
  <c r="BI30" i="15"/>
  <c r="BL30" i="15" s="1"/>
  <c r="BM30" i="15" s="1"/>
  <c r="BI29" i="15"/>
  <c r="BL29" i="15" s="1"/>
  <c r="BM29" i="15" s="1"/>
  <c r="BI28" i="15"/>
  <c r="BL28" i="15" s="1"/>
  <c r="BM28" i="15" s="1"/>
  <c r="BI27" i="15"/>
  <c r="BL27" i="15" s="1"/>
  <c r="BM27" i="15" s="1"/>
  <c r="BI26" i="15"/>
  <c r="BL26" i="15" s="1"/>
  <c r="BM26" i="15" s="1"/>
  <c r="BI25" i="15"/>
  <c r="BL25" i="15" s="1"/>
  <c r="BM25" i="15" s="1"/>
  <c r="BI24" i="15"/>
  <c r="BL24" i="15" s="1"/>
  <c r="BM24" i="15" s="1"/>
  <c r="BI23" i="15"/>
  <c r="BL23" i="15" s="1"/>
  <c r="BM23" i="15" s="1"/>
  <c r="BI22" i="15"/>
  <c r="BL22" i="15" s="1"/>
  <c r="BM22" i="15" s="1"/>
  <c r="BI21" i="15"/>
  <c r="BL21" i="15" s="1"/>
  <c r="BM21" i="15" s="1"/>
  <c r="H27" i="9"/>
  <c r="D27" i="9" s="1"/>
  <c r="H26" i="9"/>
  <c r="D26" i="9" s="1"/>
  <c r="H25" i="9"/>
  <c r="D25" i="9" s="1"/>
  <c r="H24" i="9"/>
  <c r="D24" i="9" s="1"/>
  <c r="H17" i="9"/>
  <c r="D17" i="9" s="1"/>
  <c r="H18" i="9"/>
  <c r="D18" i="9" s="1"/>
  <c r="G31" i="7"/>
  <c r="D36" i="7" l="1"/>
  <c r="K35" i="7" s="1"/>
  <c r="E25" i="9"/>
  <c r="E27" i="9"/>
  <c r="E26" i="9"/>
  <c r="C119" i="13"/>
  <c r="AD27" i="9"/>
  <c r="C116" i="13" s="1"/>
  <c r="AH27" i="9"/>
  <c r="C120" i="13" s="1"/>
  <c r="AE27" i="9"/>
  <c r="C117" i="13" s="1"/>
  <c r="AI27" i="9"/>
  <c r="C121" i="13" s="1"/>
  <c r="AF27" i="9"/>
  <c r="C118" i="13" s="1"/>
  <c r="G102" i="19"/>
  <c r="L99" i="19" s="1"/>
  <c r="G38" i="19"/>
  <c r="L40" i="19" s="1"/>
  <c r="G7" i="19"/>
  <c r="L11" i="19" s="1"/>
  <c r="G70" i="19"/>
  <c r="L71" i="19" s="1"/>
  <c r="G61" i="7"/>
  <c r="G93" i="7"/>
  <c r="C35" i="9"/>
  <c r="B93" i="18" s="1"/>
  <c r="B36" i="9"/>
  <c r="A123" i="18" s="1"/>
  <c r="C36" i="9"/>
  <c r="B123" i="18" s="1"/>
  <c r="B33" i="9"/>
  <c r="A30" i="18" s="1"/>
  <c r="C33" i="9"/>
  <c r="B30" i="18" s="1"/>
  <c r="E61" i="18"/>
  <c r="D5" i="7"/>
  <c r="K4" i="7" s="1"/>
  <c r="D11" i="7"/>
  <c r="G4" i="7" s="1"/>
  <c r="I16" i="9"/>
  <c r="E16" i="9" s="1"/>
  <c r="D6" i="7"/>
  <c r="L104" i="19"/>
  <c r="B34" i="9"/>
  <c r="A61" i="18" s="1"/>
  <c r="J31" i="19"/>
  <c r="F42" i="9"/>
  <c r="B42" i="9" s="1"/>
  <c r="A31" i="19" s="1"/>
  <c r="F37" i="9"/>
  <c r="B37" i="9" s="1"/>
  <c r="K28" i="9"/>
  <c r="AG28" i="9" s="1"/>
  <c r="J94" i="19"/>
  <c r="B45" i="9"/>
  <c r="A125" i="19" s="1"/>
  <c r="V46" i="9"/>
  <c r="E125" i="19"/>
  <c r="E62" i="19"/>
  <c r="B43" i="9"/>
  <c r="A62" i="19" s="1"/>
  <c r="C43" i="9"/>
  <c r="B62" i="19" s="1"/>
  <c r="I17" i="9"/>
  <c r="E17" i="9" s="1"/>
  <c r="I18" i="9"/>
  <c r="E18" i="9" s="1"/>
  <c r="E94" i="19"/>
  <c r="B44" i="9"/>
  <c r="A94" i="19" s="1"/>
  <c r="C44" i="9"/>
  <c r="B94" i="19" s="1"/>
  <c r="G6" i="18"/>
  <c r="G62" i="13"/>
  <c r="G37" i="18"/>
  <c r="D71" i="13"/>
  <c r="K70" i="13" s="1"/>
  <c r="D44" i="13"/>
  <c r="K43" i="13" s="1"/>
  <c r="D41" i="13"/>
  <c r="K40" i="13" s="1"/>
  <c r="D43" i="13"/>
  <c r="K42" i="13" s="1"/>
  <c r="G126" i="13"/>
  <c r="G100" i="18"/>
  <c r="D76" i="13"/>
  <c r="K75" i="13" s="1"/>
  <c r="D37" i="13"/>
  <c r="G94" i="13"/>
  <c r="G69" i="18"/>
  <c r="D104" i="13"/>
  <c r="K103" i="13" s="1"/>
  <c r="D13" i="13"/>
  <c r="K12" i="13" s="1"/>
  <c r="D8" i="13"/>
  <c r="K7" i="13" s="1"/>
  <c r="D69" i="13"/>
  <c r="K68" i="13" s="1"/>
  <c r="D75" i="13"/>
  <c r="K74" i="13" s="1"/>
  <c r="G67" i="18"/>
  <c r="G33" i="18"/>
  <c r="D42" i="13"/>
  <c r="K41" i="13" s="1"/>
  <c r="G35" i="18"/>
  <c r="D68" i="13"/>
  <c r="K67" i="13" s="1"/>
  <c r="D39" i="13"/>
  <c r="K38" i="13" s="1"/>
  <c r="D40" i="13"/>
  <c r="K39" i="13" s="1"/>
  <c r="D106" i="13"/>
  <c r="K105" i="13" s="1"/>
  <c r="D12" i="13"/>
  <c r="K11" i="13" s="1"/>
  <c r="D107" i="13"/>
  <c r="K106" i="13" s="1"/>
  <c r="D108" i="13"/>
  <c r="K107" i="13" s="1"/>
  <c r="D9" i="13"/>
  <c r="K8" i="13" s="1"/>
  <c r="D4" i="13"/>
  <c r="K3" i="13" s="1"/>
  <c r="D74" i="13"/>
  <c r="K73" i="13" s="1"/>
  <c r="D73" i="13"/>
  <c r="K72" i="13" s="1"/>
  <c r="D101" i="13"/>
  <c r="K100" i="13" s="1"/>
  <c r="D105" i="13"/>
  <c r="K104" i="13" s="1"/>
  <c r="D99" i="13"/>
  <c r="K98" i="13" s="1"/>
  <c r="D100" i="13"/>
  <c r="K99" i="13" s="1"/>
  <c r="D103" i="13"/>
  <c r="K102" i="13" s="1"/>
  <c r="D10" i="13"/>
  <c r="K9" i="13" s="1"/>
  <c r="D11" i="13"/>
  <c r="K10" i="13" s="1"/>
  <c r="D5" i="13"/>
  <c r="K4" i="13" s="1"/>
  <c r="D6" i="13"/>
  <c r="K5" i="13" s="1"/>
  <c r="G64" i="7"/>
  <c r="U16" i="9"/>
  <c r="G66" i="7"/>
  <c r="G33" i="7"/>
  <c r="G35" i="7"/>
  <c r="J16" i="9"/>
  <c r="D68" i="7"/>
  <c r="K67" i="7" s="1"/>
  <c r="D37" i="7"/>
  <c r="K36" i="7" s="1"/>
  <c r="D7" i="13"/>
  <c r="K6" i="13" s="1"/>
  <c r="D38" i="13"/>
  <c r="K37" i="13" s="1"/>
  <c r="D70" i="13"/>
  <c r="K69" i="13" s="1"/>
  <c r="D102" i="13"/>
  <c r="K101" i="13" s="1"/>
  <c r="H28" i="9"/>
  <c r="G31" i="13"/>
  <c r="H19" i="9"/>
  <c r="AA26" i="9"/>
  <c r="Z16" i="9"/>
  <c r="Z25" i="9"/>
  <c r="AA16" i="9"/>
  <c r="AA25" i="9"/>
  <c r="Z17" i="9"/>
  <c r="Z26" i="9"/>
  <c r="Z18" i="9"/>
  <c r="Z27" i="9"/>
  <c r="AA18" i="9"/>
  <c r="AA27" i="9"/>
  <c r="Z24" i="9"/>
  <c r="AA17" i="9"/>
  <c r="AA24" i="9"/>
  <c r="M31" i="7"/>
  <c r="M93" i="7"/>
  <c r="M61" i="7"/>
  <c r="G70" i="13"/>
  <c r="L66" i="13" s="1"/>
  <c r="G102" i="13"/>
  <c r="G7" i="13"/>
  <c r="G68" i="7"/>
  <c r="G37" i="7"/>
  <c r="AH28" i="9" l="1"/>
  <c r="AD28" i="9"/>
  <c r="AF28" i="9"/>
  <c r="AI28" i="9"/>
  <c r="AE28" i="9"/>
  <c r="K9" i="9"/>
  <c r="AK9" i="9" s="1"/>
  <c r="G6" i="19"/>
  <c r="L7" i="19"/>
  <c r="L12" i="19"/>
  <c r="L4" i="19"/>
  <c r="L3" i="19"/>
  <c r="L6" i="19"/>
  <c r="L37" i="19"/>
  <c r="L39" i="19"/>
  <c r="G37" i="19"/>
  <c r="L34" i="19"/>
  <c r="L36" i="19"/>
  <c r="G101" i="19"/>
  <c r="L102" i="19"/>
  <c r="L43" i="19"/>
  <c r="L38" i="19"/>
  <c r="L72" i="19"/>
  <c r="L70" i="19"/>
  <c r="G69" i="19"/>
  <c r="L41" i="19"/>
  <c r="L42" i="19"/>
  <c r="L107" i="19"/>
  <c r="L68" i="19"/>
  <c r="L106" i="19"/>
  <c r="L75" i="19"/>
  <c r="L69" i="19"/>
  <c r="L67" i="19"/>
  <c r="L73" i="19"/>
  <c r="L66" i="19"/>
  <c r="L74" i="19"/>
  <c r="L35" i="19"/>
  <c r="L9" i="19"/>
  <c r="L10" i="19"/>
  <c r="L101" i="19"/>
  <c r="L105" i="19"/>
  <c r="L103" i="19"/>
  <c r="L8" i="19"/>
  <c r="L5" i="19"/>
  <c r="L98" i="19"/>
  <c r="L100" i="19"/>
  <c r="H61" i="7"/>
  <c r="H93" i="7"/>
  <c r="H9" i="9"/>
  <c r="K10" i="7"/>
  <c r="L102" i="13"/>
  <c r="L106" i="13"/>
  <c r="L100" i="13"/>
  <c r="L105" i="13"/>
  <c r="L99" i="13"/>
  <c r="L103" i="13"/>
  <c r="L107" i="13"/>
  <c r="L104" i="13"/>
  <c r="L101" i="13"/>
  <c r="L98" i="13"/>
  <c r="L69" i="13"/>
  <c r="L9" i="13"/>
  <c r="L3" i="13"/>
  <c r="L11" i="13"/>
  <c r="L67" i="13"/>
  <c r="L12" i="13"/>
  <c r="L71" i="13"/>
  <c r="L6" i="13"/>
  <c r="L4" i="13"/>
  <c r="L72" i="13"/>
  <c r="L68" i="13"/>
  <c r="C37" i="9"/>
  <c r="E31" i="19"/>
  <c r="C42" i="9"/>
  <c r="B31" i="19" s="1"/>
  <c r="F46" i="9"/>
  <c r="B46" i="9" s="1"/>
  <c r="L67" i="18"/>
  <c r="L71" i="18"/>
  <c r="L70" i="18"/>
  <c r="L72" i="18"/>
  <c r="L73" i="18"/>
  <c r="L66" i="18"/>
  <c r="L69" i="18"/>
  <c r="L74" i="18"/>
  <c r="L65" i="18"/>
  <c r="L68" i="18"/>
  <c r="L98" i="18"/>
  <c r="L105" i="18"/>
  <c r="L102" i="18"/>
  <c r="L101" i="18"/>
  <c r="L97" i="18"/>
  <c r="L104" i="18"/>
  <c r="L103" i="18"/>
  <c r="L100" i="18"/>
  <c r="L99" i="18"/>
  <c r="L96" i="18"/>
  <c r="L11" i="18"/>
  <c r="L10" i="18"/>
  <c r="L8" i="18"/>
  <c r="L3" i="18"/>
  <c r="L9" i="18"/>
  <c r="L6" i="18"/>
  <c r="L4" i="18"/>
  <c r="L5" i="18"/>
  <c r="L7" i="18"/>
  <c r="L2" i="18"/>
  <c r="L42" i="18"/>
  <c r="L38" i="18"/>
  <c r="L41" i="18"/>
  <c r="L35" i="18"/>
  <c r="L39" i="18"/>
  <c r="L40" i="18"/>
  <c r="L34" i="18"/>
  <c r="L37" i="18"/>
  <c r="L33" i="18"/>
  <c r="L36" i="18"/>
  <c r="G34" i="13"/>
  <c r="K36" i="13"/>
  <c r="L5" i="13"/>
  <c r="L8" i="13"/>
  <c r="L74" i="13"/>
  <c r="L75" i="13"/>
  <c r="L10" i="13"/>
  <c r="L73" i="13"/>
  <c r="L7" i="13"/>
  <c r="L70" i="13"/>
  <c r="G2" i="7"/>
  <c r="K2" i="7"/>
  <c r="G3" i="7"/>
  <c r="K5" i="7"/>
  <c r="V10" i="9"/>
  <c r="G66" i="13"/>
  <c r="G98" i="13"/>
  <c r="G68" i="13"/>
  <c r="G4" i="13"/>
  <c r="G3" i="13"/>
  <c r="G36" i="13"/>
  <c r="G5" i="13"/>
  <c r="G100" i="13"/>
  <c r="D33" i="18"/>
  <c r="H126" i="13"/>
  <c r="H94" i="13"/>
  <c r="H62" i="13"/>
  <c r="D2" i="18"/>
  <c r="G2" i="18"/>
  <c r="D65" i="18"/>
  <c r="G65" i="18"/>
  <c r="H31" i="13"/>
  <c r="G4" i="18"/>
  <c r="G96" i="18"/>
  <c r="D96" i="18"/>
  <c r="G98" i="18"/>
  <c r="G34" i="18"/>
  <c r="G36" i="18" s="1"/>
  <c r="G97" i="18"/>
  <c r="G66" i="18"/>
  <c r="G3" i="18"/>
  <c r="D66" i="13"/>
  <c r="G67" i="13"/>
  <c r="D98" i="13"/>
  <c r="G99" i="13"/>
  <c r="D33" i="7"/>
  <c r="G34" i="7"/>
  <c r="D34" i="13"/>
  <c r="G35" i="13"/>
  <c r="D64" i="7"/>
  <c r="G65" i="7"/>
  <c r="I28" i="9"/>
  <c r="I19" i="9"/>
  <c r="H31" i="7"/>
  <c r="D2" i="7"/>
  <c r="AA28" i="9"/>
  <c r="Z28" i="9"/>
  <c r="G6" i="7"/>
  <c r="L36" i="7" s="1"/>
  <c r="G38" i="13"/>
  <c r="L40" i="13" s="1"/>
  <c r="L126" i="13"/>
  <c r="M126" i="13"/>
  <c r="M94" i="13"/>
  <c r="L94" i="13"/>
  <c r="M62" i="13"/>
  <c r="L62" i="13"/>
  <c r="M31" i="13"/>
  <c r="AE9" i="9" l="1"/>
  <c r="AD9" i="9"/>
  <c r="AG9" i="9"/>
  <c r="AF9" i="9"/>
  <c r="AI9" i="9"/>
  <c r="AH9" i="9"/>
  <c r="AJ9" i="9"/>
  <c r="H11" i="9"/>
  <c r="I9" i="9"/>
  <c r="L42" i="13"/>
  <c r="C46" i="9"/>
  <c r="F10" i="9"/>
  <c r="B10" i="9" s="1"/>
  <c r="L43" i="13"/>
  <c r="L36" i="13"/>
  <c r="L41" i="13"/>
  <c r="L34" i="13"/>
  <c r="L35" i="13"/>
  <c r="L38" i="13"/>
  <c r="L39" i="13"/>
  <c r="L37" i="13"/>
  <c r="L5" i="7"/>
  <c r="L66" i="7"/>
  <c r="L65" i="7"/>
  <c r="L33" i="7"/>
  <c r="L42" i="7"/>
  <c r="L64" i="7"/>
  <c r="L34" i="7"/>
  <c r="L73" i="7"/>
  <c r="L40" i="7"/>
  <c r="L69" i="7"/>
  <c r="L68" i="7"/>
  <c r="L70" i="7"/>
  <c r="L71" i="7"/>
  <c r="L72" i="7"/>
  <c r="L35" i="7"/>
  <c r="L38" i="7"/>
  <c r="L39" i="7"/>
  <c r="L41" i="7"/>
  <c r="L37" i="7"/>
  <c r="L67" i="7"/>
  <c r="L9" i="7"/>
  <c r="L4" i="7"/>
  <c r="L3" i="7"/>
  <c r="L6" i="7"/>
  <c r="L7" i="7"/>
  <c r="L10" i="7"/>
  <c r="L11" i="7"/>
  <c r="L8" i="7"/>
  <c r="L2" i="7"/>
  <c r="G99" i="18"/>
  <c r="G5" i="18"/>
  <c r="G68" i="18"/>
  <c r="X28" i="9"/>
  <c r="L31" i="13"/>
  <c r="Y28" i="9"/>
  <c r="G24" i="9"/>
  <c r="G27" i="9"/>
  <c r="G25" i="9"/>
  <c r="G26" i="9"/>
  <c r="I11" i="9" l="1"/>
  <c r="C10" i="9"/>
  <c r="F126" i="13"/>
  <c r="F62" i="13"/>
  <c r="F31" i="13"/>
  <c r="F94" i="13"/>
  <c r="BO4" i="15" a="1"/>
  <c r="A4" i="15" a="1"/>
  <c r="BD4" i="15" a="1"/>
  <c r="L4" i="15" a="1"/>
  <c r="AH4" i="15" a="1"/>
  <c r="AN7" i="15" s="1" a="1"/>
  <c r="AN7" i="15" s="1"/>
  <c r="AS4" i="15" a="1"/>
  <c r="AY7" i="15" s="1" a="1"/>
  <c r="AY7" i="15" s="1"/>
  <c r="W4" i="15" a="1"/>
  <c r="AB27" i="9"/>
  <c r="AB17" i="9"/>
  <c r="N93" i="7" s="1"/>
  <c r="X17" i="9"/>
  <c r="X18" i="9"/>
  <c r="X16" i="9"/>
  <c r="BU5" i="15" l="1" a="1"/>
  <c r="BU5" i="15" s="1"/>
  <c r="BU6" i="15" a="1"/>
  <c r="BU6" i="15" s="1"/>
  <c r="R5" i="15" a="1"/>
  <c r="R5" i="15" s="1"/>
  <c r="R6" i="15" a="1"/>
  <c r="R6" i="15" s="1"/>
  <c r="AC5" i="15" a="1"/>
  <c r="AC5" i="15" s="1"/>
  <c r="AC6" i="15" a="1"/>
  <c r="AC6" i="15" s="1"/>
  <c r="BJ9" i="15" a="1"/>
  <c r="BJ9" i="15" s="1"/>
  <c r="AN5" i="15" a="1"/>
  <c r="AN5" i="15" s="1"/>
  <c r="AN6" i="15" a="1"/>
  <c r="AN6" i="15" s="1"/>
  <c r="AY5" i="15" a="1"/>
  <c r="AY5" i="15" s="1"/>
  <c r="AY6" i="15" a="1"/>
  <c r="AY6" i="15" s="1"/>
  <c r="BJ7" i="15" a="1"/>
  <c r="BJ7" i="15" s="1"/>
  <c r="BJ8" i="15" a="1"/>
  <c r="BJ8" i="15" s="1"/>
  <c r="BJ5" i="15" a="1"/>
  <c r="BJ5" i="15" s="1"/>
  <c r="E86" i="13"/>
  <c r="BJ6" i="15" a="1"/>
  <c r="BJ6" i="15" s="1"/>
  <c r="E87" i="13"/>
  <c r="E88" i="13"/>
  <c r="E24" i="13"/>
  <c r="E83" i="7"/>
  <c r="E84" i="7"/>
  <c r="E23" i="13"/>
  <c r="E55" i="13"/>
  <c r="E54" i="13"/>
  <c r="E117" i="13"/>
  <c r="E118" i="13"/>
  <c r="E53" i="7"/>
  <c r="BT18" i="15"/>
  <c r="BG20" i="15"/>
  <c r="BF19" i="15"/>
  <c r="BE18" i="15"/>
  <c r="BK19" i="15"/>
  <c r="BF20" i="15"/>
  <c r="BE19" i="15"/>
  <c r="BG17" i="15"/>
  <c r="BE20" i="15"/>
  <c r="BG18" i="15"/>
  <c r="BF17" i="15"/>
  <c r="BG19" i="15"/>
  <c r="BF18" i="15"/>
  <c r="BE17" i="15"/>
  <c r="BK20" i="15"/>
  <c r="BK18" i="15"/>
  <c r="BK17" i="15"/>
  <c r="BI17" i="15"/>
  <c r="BI19" i="15"/>
  <c r="BH18" i="15"/>
  <c r="BI20" i="15"/>
  <c r="BH20" i="15"/>
  <c r="BH19" i="15"/>
  <c r="BH17" i="15"/>
  <c r="B26" i="15"/>
  <c r="C26" i="15"/>
  <c r="D26" i="15"/>
  <c r="H26" i="15"/>
  <c r="E26" i="15"/>
  <c r="F26" i="15"/>
  <c r="BR20" i="15"/>
  <c r="BQ19" i="15"/>
  <c r="BP18" i="15"/>
  <c r="BQ20" i="15"/>
  <c r="BP19" i="15"/>
  <c r="BR17" i="15"/>
  <c r="BV20" i="15"/>
  <c r="BP20" i="15"/>
  <c r="BR18" i="15"/>
  <c r="BQ17" i="15"/>
  <c r="BV19" i="15"/>
  <c r="BR19" i="15"/>
  <c r="BQ18" i="15"/>
  <c r="BP17" i="15"/>
  <c r="BV17" i="15"/>
  <c r="BV18" i="15"/>
  <c r="BT20" i="15"/>
  <c r="BT19" i="15"/>
  <c r="BS19" i="15"/>
  <c r="BS17" i="15"/>
  <c r="BS20" i="15"/>
  <c r="BS18" i="15"/>
  <c r="BT17" i="15"/>
  <c r="N126" i="13"/>
  <c r="Z23" i="15"/>
  <c r="Y22" i="15"/>
  <c r="X21" i="15"/>
  <c r="Z19" i="15"/>
  <c r="Z20" i="15"/>
  <c r="Y20" i="15"/>
  <c r="Y21" i="15"/>
  <c r="Y23" i="15"/>
  <c r="X22" i="15"/>
  <c r="Y19" i="15"/>
  <c r="X23" i="15"/>
  <c r="Z21" i="15"/>
  <c r="X19" i="15"/>
  <c r="Z22" i="15"/>
  <c r="X20" i="15"/>
  <c r="AD22" i="15"/>
  <c r="AD19" i="15"/>
  <c r="AD23" i="15"/>
  <c r="AD20" i="15"/>
  <c r="AD21" i="15"/>
  <c r="AB19" i="15"/>
  <c r="AB22" i="15"/>
  <c r="AA22" i="15"/>
  <c r="AB20" i="15"/>
  <c r="AA19" i="15"/>
  <c r="AB21" i="15"/>
  <c r="AA20" i="15"/>
  <c r="AB23" i="15"/>
  <c r="AA23" i="15"/>
  <c r="AA21" i="15"/>
  <c r="AT17" i="15"/>
  <c r="AV15" i="15"/>
  <c r="AU14" i="15"/>
  <c r="AT13" i="15"/>
  <c r="AV11" i="15"/>
  <c r="AV16" i="15"/>
  <c r="AT14" i="15"/>
  <c r="AV12" i="15"/>
  <c r="AU11" i="15"/>
  <c r="AU12" i="15"/>
  <c r="AU17" i="15"/>
  <c r="AT16" i="15"/>
  <c r="AU13" i="15"/>
  <c r="AT12" i="15"/>
  <c r="AU15" i="15"/>
  <c r="AV17" i="15"/>
  <c r="AU16" i="15"/>
  <c r="AT15" i="15"/>
  <c r="AV13" i="15"/>
  <c r="AT11" i="15"/>
  <c r="AV14" i="15"/>
  <c r="AZ17" i="15"/>
  <c r="AZ12" i="15"/>
  <c r="AZ15" i="15"/>
  <c r="AZ14" i="15"/>
  <c r="AZ16" i="15"/>
  <c r="AZ11" i="15"/>
  <c r="AZ13" i="15"/>
  <c r="AW11" i="15"/>
  <c r="AW12" i="15"/>
  <c r="AX16" i="15"/>
  <c r="AW13" i="15"/>
  <c r="AW15" i="15"/>
  <c r="AX11" i="15"/>
  <c r="AX13" i="15"/>
  <c r="AW17" i="15"/>
  <c r="AW14" i="15"/>
  <c r="AX15" i="15"/>
  <c r="AX17" i="15"/>
  <c r="AW16" i="15"/>
  <c r="AX12" i="15"/>
  <c r="AX14" i="15"/>
  <c r="BQ16" i="15"/>
  <c r="BP15" i="15"/>
  <c r="BP16" i="15"/>
  <c r="BR15" i="15"/>
  <c r="BR16" i="15"/>
  <c r="BQ15" i="15"/>
  <c r="BV16" i="15"/>
  <c r="BV15" i="15"/>
  <c r="BT15" i="15"/>
  <c r="BT16" i="15"/>
  <c r="BS15" i="15"/>
  <c r="BS16" i="15"/>
  <c r="AU10" i="15"/>
  <c r="AT9" i="15"/>
  <c r="AT10" i="15"/>
  <c r="AV9" i="15"/>
  <c r="AV10" i="15"/>
  <c r="AU9" i="15"/>
  <c r="AZ9" i="15"/>
  <c r="AZ10" i="15"/>
  <c r="AW9" i="15"/>
  <c r="AX10" i="15"/>
  <c r="AW10" i="15"/>
  <c r="AX9" i="15"/>
  <c r="BP14" i="15"/>
  <c r="BR12" i="15"/>
  <c r="BQ11" i="15"/>
  <c r="BP10" i="15"/>
  <c r="BR13" i="15"/>
  <c r="BQ12" i="15"/>
  <c r="BP11" i="15"/>
  <c r="BR14" i="15"/>
  <c r="BQ13" i="15"/>
  <c r="BP12" i="15"/>
  <c r="BR10" i="15"/>
  <c r="BQ14" i="15"/>
  <c r="BP13" i="15"/>
  <c r="BR11" i="15"/>
  <c r="BQ10" i="15"/>
  <c r="BV14" i="15"/>
  <c r="BV11" i="15"/>
  <c r="BV12" i="15"/>
  <c r="BV13" i="15"/>
  <c r="BV10" i="15"/>
  <c r="BS14" i="15"/>
  <c r="BT10" i="15"/>
  <c r="BS10" i="15"/>
  <c r="BS12" i="15"/>
  <c r="BT14" i="15"/>
  <c r="BT12" i="15"/>
  <c r="BS11" i="15"/>
  <c r="BT11" i="15"/>
  <c r="BS13" i="15"/>
  <c r="BT13" i="15"/>
  <c r="G18" i="9"/>
  <c r="F61" i="7" s="1"/>
  <c r="L61" i="7"/>
  <c r="G17" i="9"/>
  <c r="F93" i="7" s="1"/>
  <c r="L93" i="7"/>
  <c r="G16" i="9"/>
  <c r="F31" i="7" s="1"/>
  <c r="L31" i="7"/>
  <c r="N18" i="15"/>
  <c r="M18" i="15"/>
  <c r="S18" i="15"/>
  <c r="Q18" i="15"/>
  <c r="O18" i="15"/>
  <c r="P18" i="15"/>
  <c r="AJ22" i="15"/>
  <c r="AI21" i="15"/>
  <c r="AK19" i="15"/>
  <c r="AJ18" i="15"/>
  <c r="AI17" i="15"/>
  <c r="AK15" i="15"/>
  <c r="AJ14" i="15"/>
  <c r="AI13" i="15"/>
  <c r="AK11" i="15"/>
  <c r="AJ10" i="15"/>
  <c r="AI9" i="15"/>
  <c r="AK7" i="15"/>
  <c r="J24" i="13" s="1"/>
  <c r="AJ6" i="15"/>
  <c r="AI5" i="15"/>
  <c r="F23" i="13" s="1"/>
  <c r="AI22" i="15"/>
  <c r="AK20" i="15"/>
  <c r="AJ19" i="15"/>
  <c r="AI18" i="15"/>
  <c r="AK16" i="15"/>
  <c r="AJ15" i="15"/>
  <c r="AI14" i="15"/>
  <c r="AK12" i="15"/>
  <c r="AJ11" i="15"/>
  <c r="AI10" i="15"/>
  <c r="AK8" i="15"/>
  <c r="AJ7" i="15"/>
  <c r="AI6" i="15"/>
  <c r="AK21" i="15"/>
  <c r="AJ20" i="15"/>
  <c r="AI19" i="15"/>
  <c r="AK17" i="15"/>
  <c r="AJ16" i="15"/>
  <c r="AI15" i="15"/>
  <c r="AK13" i="15"/>
  <c r="AJ12" i="15"/>
  <c r="AI11" i="15"/>
  <c r="AK9" i="15"/>
  <c r="AJ8" i="15"/>
  <c r="AI7" i="15"/>
  <c r="F24" i="13" s="1"/>
  <c r="AK5" i="15"/>
  <c r="J23" i="13" s="1"/>
  <c r="AK22" i="15"/>
  <c r="AJ21" i="15"/>
  <c r="AI20" i="15"/>
  <c r="AK18" i="15"/>
  <c r="AJ17" i="15"/>
  <c r="AI16" i="15"/>
  <c r="AK14" i="15"/>
  <c r="AJ13" i="15"/>
  <c r="AI12" i="15"/>
  <c r="AK10" i="15"/>
  <c r="AJ9" i="15"/>
  <c r="AI8" i="15"/>
  <c r="AK6" i="15"/>
  <c r="AJ5" i="15"/>
  <c r="BF16" i="15"/>
  <c r="BE15" i="15"/>
  <c r="BG13" i="15"/>
  <c r="BF12" i="15"/>
  <c r="BE11" i="15"/>
  <c r="BG9" i="15"/>
  <c r="BF8" i="15"/>
  <c r="BE7" i="15"/>
  <c r="F87" i="13" s="1"/>
  <c r="BG5" i="15"/>
  <c r="BE16" i="15"/>
  <c r="BG14" i="15"/>
  <c r="BF13" i="15"/>
  <c r="BE12" i="15"/>
  <c r="BG10" i="15"/>
  <c r="BF9" i="15"/>
  <c r="BE8" i="15"/>
  <c r="F88" i="13" s="1"/>
  <c r="BG6" i="15"/>
  <c r="J86" i="13" s="1"/>
  <c r="BF5" i="15"/>
  <c r="BG15" i="15"/>
  <c r="BF14" i="15"/>
  <c r="BE13" i="15"/>
  <c r="BG11" i="15"/>
  <c r="BF10" i="15"/>
  <c r="BE9" i="15"/>
  <c r="BG7" i="15"/>
  <c r="J87" i="13" s="1"/>
  <c r="BF6" i="15"/>
  <c r="BE5" i="15"/>
  <c r="BG16" i="15"/>
  <c r="BF15" i="15"/>
  <c r="BE14" i="15"/>
  <c r="BG12" i="15"/>
  <c r="BF11" i="15"/>
  <c r="BE10" i="15"/>
  <c r="BG8" i="15"/>
  <c r="J88" i="13" s="1"/>
  <c r="BF7" i="15"/>
  <c r="BE6" i="15"/>
  <c r="F86" i="13" s="1"/>
  <c r="O17" i="15"/>
  <c r="N16" i="15"/>
  <c r="M15" i="15"/>
  <c r="O13" i="15"/>
  <c r="N12" i="15"/>
  <c r="M11" i="15"/>
  <c r="O9" i="15"/>
  <c r="N8" i="15"/>
  <c r="M7" i="15"/>
  <c r="O5" i="15"/>
  <c r="N17" i="15"/>
  <c r="M16" i="15"/>
  <c r="O14" i="15"/>
  <c r="N13" i="15"/>
  <c r="M12" i="15"/>
  <c r="O10" i="15"/>
  <c r="N9" i="15"/>
  <c r="M8" i="15"/>
  <c r="O6" i="15"/>
  <c r="J53" i="7" s="1"/>
  <c r="N5" i="15"/>
  <c r="M17" i="15"/>
  <c r="O15" i="15"/>
  <c r="N14" i="15"/>
  <c r="M13" i="15"/>
  <c r="O11" i="15"/>
  <c r="N10" i="15"/>
  <c r="M9" i="15"/>
  <c r="O7" i="15"/>
  <c r="N6" i="15"/>
  <c r="M5" i="15"/>
  <c r="O16" i="15"/>
  <c r="N15" i="15"/>
  <c r="M14" i="15"/>
  <c r="O12" i="15"/>
  <c r="N11" i="15"/>
  <c r="M10" i="15"/>
  <c r="O8" i="15"/>
  <c r="N7" i="15"/>
  <c r="M6" i="15"/>
  <c r="F53" i="7" s="1"/>
  <c r="D5" i="15"/>
  <c r="B7" i="15"/>
  <c r="C8" i="15"/>
  <c r="D9" i="15"/>
  <c r="B11" i="15"/>
  <c r="C12" i="15"/>
  <c r="D13" i="15"/>
  <c r="B15" i="15"/>
  <c r="C16" i="15"/>
  <c r="D17" i="15"/>
  <c r="B19" i="15"/>
  <c r="C20" i="15"/>
  <c r="D21" i="15"/>
  <c r="B23" i="15"/>
  <c r="C24" i="15"/>
  <c r="D25" i="15"/>
  <c r="B6" i="15"/>
  <c r="C7" i="15"/>
  <c r="D8" i="15"/>
  <c r="B10" i="15"/>
  <c r="C11" i="15"/>
  <c r="D12" i="15"/>
  <c r="B14" i="15"/>
  <c r="C15" i="15"/>
  <c r="D16" i="15"/>
  <c r="B18" i="15"/>
  <c r="C19" i="15"/>
  <c r="D20" i="15"/>
  <c r="B22" i="15"/>
  <c r="C23" i="15"/>
  <c r="D24" i="15"/>
  <c r="B5" i="15"/>
  <c r="C6" i="15"/>
  <c r="D7" i="15"/>
  <c r="B9" i="15"/>
  <c r="C10" i="15"/>
  <c r="D11" i="15"/>
  <c r="B13" i="15"/>
  <c r="C14" i="15"/>
  <c r="D15" i="15"/>
  <c r="B17" i="15"/>
  <c r="C18" i="15"/>
  <c r="D19" i="15"/>
  <c r="B21" i="15"/>
  <c r="C22" i="15"/>
  <c r="D23" i="15"/>
  <c r="B25" i="15"/>
  <c r="C5" i="15"/>
  <c r="D6" i="15"/>
  <c r="B8" i="15"/>
  <c r="C9" i="15"/>
  <c r="D10" i="15"/>
  <c r="B12" i="15"/>
  <c r="C13" i="15"/>
  <c r="D14" i="15"/>
  <c r="B16" i="15"/>
  <c r="C17" i="15"/>
  <c r="D18" i="15"/>
  <c r="B20" i="15"/>
  <c r="C21" i="15"/>
  <c r="D22" i="15"/>
  <c r="B24" i="15"/>
  <c r="C25" i="15"/>
  <c r="X18" i="15"/>
  <c r="Z16" i="15"/>
  <c r="Y15" i="15"/>
  <c r="X14" i="15"/>
  <c r="Z12" i="15"/>
  <c r="Y11" i="15"/>
  <c r="X10" i="15"/>
  <c r="Z8" i="15"/>
  <c r="Y7" i="15"/>
  <c r="X6" i="15"/>
  <c r="F84" i="7" s="1"/>
  <c r="Z17" i="15"/>
  <c r="Y16" i="15"/>
  <c r="X15" i="15"/>
  <c r="Z13" i="15"/>
  <c r="Y12" i="15"/>
  <c r="X11" i="15"/>
  <c r="Z9" i="15"/>
  <c r="Y8" i="15"/>
  <c r="X7" i="15"/>
  <c r="Z5" i="15"/>
  <c r="J83" i="7" s="1"/>
  <c r="Z18" i="15"/>
  <c r="Y17" i="15"/>
  <c r="X16" i="15"/>
  <c r="Z14" i="15"/>
  <c r="Y13" i="15"/>
  <c r="X12" i="15"/>
  <c r="Z10" i="15"/>
  <c r="Y9" i="15"/>
  <c r="X8" i="15"/>
  <c r="Z6" i="15"/>
  <c r="J84" i="7" s="1"/>
  <c r="Y5" i="15"/>
  <c r="Y18" i="15"/>
  <c r="X17" i="15"/>
  <c r="Z15" i="15"/>
  <c r="Y14" i="15"/>
  <c r="X13" i="15"/>
  <c r="Z11" i="15"/>
  <c r="Y10" i="15"/>
  <c r="X9" i="15"/>
  <c r="Z7" i="15"/>
  <c r="Y6" i="15"/>
  <c r="X5" i="15"/>
  <c r="F83" i="7" s="1"/>
  <c r="AT8" i="15"/>
  <c r="AV6" i="15"/>
  <c r="J55" i="13" s="1"/>
  <c r="AU5" i="15"/>
  <c r="AV7" i="15"/>
  <c r="AU6" i="15"/>
  <c r="AT5" i="15"/>
  <c r="F54" i="13" s="1"/>
  <c r="AV8" i="15"/>
  <c r="AU7" i="15"/>
  <c r="AT6" i="15"/>
  <c r="F55" i="13" s="1"/>
  <c r="AU8" i="15"/>
  <c r="AT7" i="15"/>
  <c r="AV5" i="15"/>
  <c r="J54" i="13" s="1"/>
  <c r="BS8" i="15"/>
  <c r="BR8" i="15"/>
  <c r="BQ7" i="15"/>
  <c r="BP6" i="15"/>
  <c r="F118" i="13" s="1"/>
  <c r="BR9" i="15"/>
  <c r="BQ8" i="15"/>
  <c r="BP7" i="15"/>
  <c r="BR5" i="15"/>
  <c r="J117" i="13" s="1"/>
  <c r="BQ9" i="15"/>
  <c r="BP8" i="15"/>
  <c r="BR6" i="15"/>
  <c r="J118" i="13" s="1"/>
  <c r="BQ5" i="15"/>
  <c r="BP9" i="15"/>
  <c r="BR7" i="15"/>
  <c r="BQ6" i="15"/>
  <c r="BP5" i="15"/>
  <c r="F117" i="13" s="1"/>
  <c r="BV7" i="15"/>
  <c r="BV8" i="15"/>
  <c r="BS9" i="15"/>
  <c r="BS5" i="15"/>
  <c r="M117" i="13" s="1"/>
  <c r="BT9" i="15"/>
  <c r="BV9" i="15"/>
  <c r="BO4" i="15"/>
  <c r="BU4" i="15" s="1" a="1"/>
  <c r="BU4" i="15" s="1"/>
  <c r="BT8" i="15"/>
  <c r="BT7" i="15"/>
  <c r="BT5" i="15"/>
  <c r="N117" i="13" s="1"/>
  <c r="BV5" i="15"/>
  <c r="BS7" i="15"/>
  <c r="BS6" i="15"/>
  <c r="M118" i="13" s="1"/>
  <c r="BV6" i="15"/>
  <c r="BT6" i="15"/>
  <c r="N118" i="13" s="1"/>
  <c r="BI18" i="15"/>
  <c r="BI5" i="15"/>
  <c r="BI9" i="15"/>
  <c r="BI13" i="15"/>
  <c r="BK5" i="15"/>
  <c r="BK9" i="15"/>
  <c r="BK13" i="15"/>
  <c r="BH5" i="15"/>
  <c r="BH9" i="15"/>
  <c r="BH13" i="15"/>
  <c r="BK6" i="15"/>
  <c r="BK10" i="15"/>
  <c r="BK14" i="15"/>
  <c r="BH8" i="15"/>
  <c r="M88" i="13" s="1"/>
  <c r="BH12" i="15"/>
  <c r="BH16" i="15"/>
  <c r="BI6" i="15"/>
  <c r="N86" i="13" s="1"/>
  <c r="BI10" i="15"/>
  <c r="BI14" i="15"/>
  <c r="BK8" i="15"/>
  <c r="BK16" i="15"/>
  <c r="BH6" i="15"/>
  <c r="M86" i="13" s="1"/>
  <c r="BH14" i="15"/>
  <c r="BI8" i="15"/>
  <c r="N88" i="13" s="1"/>
  <c r="BI16" i="15"/>
  <c r="BH11" i="15"/>
  <c r="BI11" i="15"/>
  <c r="BK11" i="15"/>
  <c r="BD4" i="15"/>
  <c r="BJ4" i="15" s="1" a="1"/>
  <c r="BJ4" i="15" s="1"/>
  <c r="BK12" i="15"/>
  <c r="BH10" i="15"/>
  <c r="BI12" i="15"/>
  <c r="BH7" i="15"/>
  <c r="M87" i="13" s="1"/>
  <c r="BH15" i="15"/>
  <c r="BI7" i="15"/>
  <c r="N87" i="13" s="1"/>
  <c r="BI15" i="15"/>
  <c r="BK7" i="15"/>
  <c r="BK15" i="15"/>
  <c r="F24" i="15"/>
  <c r="H25" i="15"/>
  <c r="F23" i="15"/>
  <c r="E24" i="15"/>
  <c r="E25" i="15"/>
  <c r="H5" i="15"/>
  <c r="H21" i="15"/>
  <c r="F15" i="15"/>
  <c r="E13" i="15"/>
  <c r="F8" i="15"/>
  <c r="E6" i="15"/>
  <c r="H7" i="15"/>
  <c r="F5" i="15"/>
  <c r="F22" i="15"/>
  <c r="E20" i="15"/>
  <c r="H18" i="15"/>
  <c r="E16" i="15"/>
  <c r="F19" i="15"/>
  <c r="H20" i="15"/>
  <c r="H23" i="15"/>
  <c r="H9" i="15"/>
  <c r="F20" i="15"/>
  <c r="E18" i="15"/>
  <c r="F12" i="15"/>
  <c r="E10" i="15"/>
  <c r="H11" i="15"/>
  <c r="F9" i="15"/>
  <c r="E7" i="15"/>
  <c r="H6" i="15"/>
  <c r="H22" i="15"/>
  <c r="E12" i="15"/>
  <c r="F14" i="15"/>
  <c r="H16" i="15"/>
  <c r="E23" i="15"/>
  <c r="H24" i="15"/>
  <c r="F25" i="15"/>
  <c r="H13" i="15"/>
  <c r="F7" i="15"/>
  <c r="E5" i="15"/>
  <c r="E22" i="15"/>
  <c r="F16" i="15"/>
  <c r="E14" i="15"/>
  <c r="H15" i="15"/>
  <c r="F13" i="15"/>
  <c r="E11" i="15"/>
  <c r="H10" i="15"/>
  <c r="E8" i="15"/>
  <c r="F10" i="15"/>
  <c r="H12" i="15"/>
  <c r="F21" i="15"/>
  <c r="F18" i="15"/>
  <c r="E21" i="15"/>
  <c r="H8" i="15"/>
  <c r="F11" i="15"/>
  <c r="E19" i="15"/>
  <c r="E15" i="15"/>
  <c r="E17" i="15"/>
  <c r="A4" i="15"/>
  <c r="G4" i="15" s="1" a="1"/>
  <c r="G4" i="15" s="1"/>
  <c r="E9" i="15"/>
  <c r="H19" i="15"/>
  <c r="H14" i="15"/>
  <c r="F6" i="15"/>
  <c r="H17" i="15"/>
  <c r="F17" i="15"/>
  <c r="AM22" i="15"/>
  <c r="AM18" i="15"/>
  <c r="AM14" i="15"/>
  <c r="AM10" i="15"/>
  <c r="AM6" i="15"/>
  <c r="AO21" i="15"/>
  <c r="AM16" i="15"/>
  <c r="AO11" i="15"/>
  <c r="AO5" i="15"/>
  <c r="AL22" i="15"/>
  <c r="AL6" i="15"/>
  <c r="AM20" i="15"/>
  <c r="AO15" i="15"/>
  <c r="AO9" i="15"/>
  <c r="AL16" i="15"/>
  <c r="AL10" i="15"/>
  <c r="AO6" i="15"/>
  <c r="AM19" i="15"/>
  <c r="AM15" i="15"/>
  <c r="AO8" i="15"/>
  <c r="AL9" i="15"/>
  <c r="AL15" i="15"/>
  <c r="AL13" i="15"/>
  <c r="AL11" i="15"/>
  <c r="AO16" i="15"/>
  <c r="AL7" i="15"/>
  <c r="M24" i="13" s="1"/>
  <c r="AO19" i="15"/>
  <c r="AO13" i="15"/>
  <c r="AM8" i="15"/>
  <c r="AL20" i="15"/>
  <c r="AL14" i="15"/>
  <c r="AO12" i="15"/>
  <c r="AM5" i="15"/>
  <c r="N23" i="13" s="1"/>
  <c r="AO22" i="15"/>
  <c r="AO18" i="15"/>
  <c r="AO14" i="15"/>
  <c r="AM7" i="15"/>
  <c r="N24" i="13" s="1"/>
  <c r="AM9" i="15"/>
  <c r="AO17" i="15"/>
  <c r="AM12" i="15"/>
  <c r="AO7" i="15"/>
  <c r="AL18" i="15"/>
  <c r="AL8" i="15"/>
  <c r="AO10" i="15"/>
  <c r="AM21" i="15"/>
  <c r="AM17" i="15"/>
  <c r="AM13" i="15"/>
  <c r="AH4" i="15"/>
  <c r="AN4" i="15" s="1" a="1"/>
  <c r="AN4" i="15" s="1"/>
  <c r="AL17" i="15"/>
  <c r="AL5" i="15"/>
  <c r="M23" i="13" s="1"/>
  <c r="AL21" i="15"/>
  <c r="AL19" i="15"/>
  <c r="AL12" i="15"/>
  <c r="AO20" i="15"/>
  <c r="AM11" i="15"/>
  <c r="AD15" i="15"/>
  <c r="AA11" i="15"/>
  <c r="AB9" i="15"/>
  <c r="AB13" i="15"/>
  <c r="AD17" i="15"/>
  <c r="AD14" i="15"/>
  <c r="AA10" i="15"/>
  <c r="AB10" i="15"/>
  <c r="AA14" i="15"/>
  <c r="AD18" i="15"/>
  <c r="AD13" i="15"/>
  <c r="AB15" i="15"/>
  <c r="AA13" i="15"/>
  <c r="AA9" i="15"/>
  <c r="AD12" i="15"/>
  <c r="AB11" i="15"/>
  <c r="AA15" i="15"/>
  <c r="AB16" i="15"/>
  <c r="AA16" i="15"/>
  <c r="AA12" i="15"/>
  <c r="AB17" i="15"/>
  <c r="AD10" i="15"/>
  <c r="AB12" i="15"/>
  <c r="AD16" i="15"/>
  <c r="AD9" i="15"/>
  <c r="AB18" i="15"/>
  <c r="AA17" i="15"/>
  <c r="AB14" i="15"/>
  <c r="AA18" i="15"/>
  <c r="AD8" i="15"/>
  <c r="AB7" i="15"/>
  <c r="AA8" i="15"/>
  <c r="AB8" i="15"/>
  <c r="AD6" i="15"/>
  <c r="AD7" i="15"/>
  <c r="AA7" i="15"/>
  <c r="W4" i="15"/>
  <c r="AC4" i="15" s="1" a="1"/>
  <c r="AC4" i="15" s="1"/>
  <c r="AD5" i="15"/>
  <c r="AA5" i="15"/>
  <c r="M83" i="7" s="1"/>
  <c r="AD11" i="15"/>
  <c r="AB5" i="15"/>
  <c r="N83" i="7" s="1"/>
  <c r="AA6" i="15"/>
  <c r="M84" i="7" s="1"/>
  <c r="AB6" i="15"/>
  <c r="N84" i="7" s="1"/>
  <c r="Q15" i="15"/>
  <c r="S13" i="15"/>
  <c r="Q13" i="15"/>
  <c r="S14" i="15"/>
  <c r="Q11" i="15"/>
  <c r="S15" i="15"/>
  <c r="Q14" i="15"/>
  <c r="Q9" i="15"/>
  <c r="S16" i="15"/>
  <c r="L4" i="15"/>
  <c r="R4" i="15" s="1" a="1"/>
  <c r="R4" i="15" s="1"/>
  <c r="S6" i="15"/>
  <c r="Q8" i="15"/>
  <c r="S9" i="15"/>
  <c r="S17" i="15"/>
  <c r="Q10" i="15"/>
  <c r="S10" i="15"/>
  <c r="Q16" i="15"/>
  <c r="S8" i="15"/>
  <c r="S5" i="15"/>
  <c r="S11" i="15"/>
  <c r="Q17" i="15"/>
  <c r="S12" i="15"/>
  <c r="Q12" i="15"/>
  <c r="Q7" i="15"/>
  <c r="S7" i="15"/>
  <c r="P16" i="15"/>
  <c r="P15" i="15"/>
  <c r="P7" i="15"/>
  <c r="P10" i="15"/>
  <c r="P13" i="15"/>
  <c r="P5" i="15"/>
  <c r="P12" i="15"/>
  <c r="P17" i="15"/>
  <c r="P8" i="15"/>
  <c r="Q5" i="15"/>
  <c r="Q6" i="15"/>
  <c r="N53" i="7" s="1"/>
  <c r="P11" i="15"/>
  <c r="P6" i="15"/>
  <c r="M53" i="7" s="1"/>
  <c r="P14" i="15"/>
  <c r="P9" i="15"/>
  <c r="AZ6" i="15"/>
  <c r="AW5" i="15"/>
  <c r="M54" i="13" s="1"/>
  <c r="AX7" i="15"/>
  <c r="AX8" i="15"/>
  <c r="AX5" i="15"/>
  <c r="N54" i="13" s="1"/>
  <c r="AW8" i="15"/>
  <c r="AZ8" i="15"/>
  <c r="AW6" i="15"/>
  <c r="M55" i="13" s="1"/>
  <c r="AZ5" i="15"/>
  <c r="AZ7" i="15"/>
  <c r="AS4" i="15"/>
  <c r="AY4" i="15" s="1" a="1"/>
  <c r="AY4" i="15" s="1"/>
  <c r="AW7" i="15"/>
  <c r="AX6" i="15"/>
  <c r="N55" i="13" s="1"/>
  <c r="AB18" i="9"/>
  <c r="N61" i="7" s="1"/>
  <c r="AB16" i="9"/>
  <c r="N31" i="7" s="1"/>
  <c r="AB25" i="9"/>
  <c r="AB26" i="9"/>
  <c r="AB24" i="9"/>
  <c r="AA19" i="9"/>
  <c r="AA9" i="9" s="1"/>
  <c r="Z19" i="9"/>
  <c r="Z9" i="9" s="1"/>
  <c r="Y19" i="9"/>
  <c r="X19" i="9"/>
  <c r="X9" i="9" l="1"/>
  <c r="X11" i="9" s="1"/>
  <c r="Y9" i="9"/>
  <c r="Y11" i="9" s="1"/>
  <c r="E22" i="13"/>
  <c r="AP12" i="15"/>
  <c r="AQ12" i="15" s="1"/>
  <c r="BW17" i="15"/>
  <c r="BX17" i="15" s="1"/>
  <c r="BW18" i="15"/>
  <c r="BX18" i="15" s="1"/>
  <c r="BL18" i="15"/>
  <c r="BM18" i="15" s="1"/>
  <c r="I26" i="15"/>
  <c r="J26" i="15" s="1"/>
  <c r="BL19" i="15"/>
  <c r="BM19" i="15" s="1"/>
  <c r="BL17" i="15"/>
  <c r="BM17" i="15" s="1"/>
  <c r="AP11" i="15"/>
  <c r="AQ11" i="15" s="1"/>
  <c r="BL20" i="15"/>
  <c r="BM20" i="15" s="1"/>
  <c r="BA12" i="15"/>
  <c r="BB12" i="15" s="1"/>
  <c r="BA14" i="15"/>
  <c r="BB14" i="15" s="1"/>
  <c r="BW19" i="15"/>
  <c r="BX19" i="15" s="1"/>
  <c r="BW20" i="15"/>
  <c r="BX20" i="15" s="1"/>
  <c r="AE18" i="15"/>
  <c r="AF18" i="15" s="1"/>
  <c r="E85" i="13"/>
  <c r="E53" i="13"/>
  <c r="AP21" i="15"/>
  <c r="AQ21" i="15" s="1"/>
  <c r="E52" i="7"/>
  <c r="AB9" i="9"/>
  <c r="AB11" i="9" s="1"/>
  <c r="N31" i="13"/>
  <c r="N94" i="13"/>
  <c r="N62" i="13"/>
  <c r="BA17" i="15"/>
  <c r="BB17" i="15" s="1"/>
  <c r="BW14" i="15"/>
  <c r="BX14" i="15" s="1"/>
  <c r="BA11" i="15"/>
  <c r="BB11" i="15" s="1"/>
  <c r="AE19" i="15"/>
  <c r="AF19" i="15" s="1"/>
  <c r="AE22" i="15"/>
  <c r="AF22" i="15" s="1"/>
  <c r="BA15" i="15"/>
  <c r="BB15" i="15" s="1"/>
  <c r="BW16" i="15"/>
  <c r="BX16" i="15" s="1"/>
  <c r="BW11" i="15"/>
  <c r="BX11" i="15" s="1"/>
  <c r="AE21" i="15"/>
  <c r="AF21" i="15" s="1"/>
  <c r="BW15" i="15"/>
  <c r="BX15" i="15" s="1"/>
  <c r="AE23" i="15"/>
  <c r="AF23" i="15" s="1"/>
  <c r="AE20" i="15"/>
  <c r="AF20" i="15" s="1"/>
  <c r="BW13" i="15"/>
  <c r="BX13" i="15" s="1"/>
  <c r="BA13" i="15"/>
  <c r="BB13" i="15" s="1"/>
  <c r="BA16" i="15"/>
  <c r="BB16" i="15" s="1"/>
  <c r="BW10" i="15"/>
  <c r="BX10" i="15" s="1"/>
  <c r="BW12" i="15"/>
  <c r="BX12" i="15" s="1"/>
  <c r="BA10" i="15"/>
  <c r="BB10" i="15" s="1"/>
  <c r="BA9" i="15"/>
  <c r="BB9" i="15" s="1"/>
  <c r="AP17" i="15"/>
  <c r="AQ17" i="15" s="1"/>
  <c r="BS4" i="15"/>
  <c r="AP15" i="15"/>
  <c r="AQ15" i="15" s="1"/>
  <c r="T17" i="15"/>
  <c r="U17" i="15" s="1"/>
  <c r="AE15" i="15"/>
  <c r="AF15" i="15" s="1"/>
  <c r="I10" i="15"/>
  <c r="J10" i="15" s="1"/>
  <c r="BL16" i="15"/>
  <c r="BM16" i="15" s="1"/>
  <c r="T14" i="15"/>
  <c r="U14" i="15" s="1"/>
  <c r="T18" i="15"/>
  <c r="U18" i="15" s="1"/>
  <c r="T6" i="15"/>
  <c r="U6" i="15" s="1"/>
  <c r="AP9" i="15"/>
  <c r="AQ9" i="15" s="1"/>
  <c r="AE5" i="15"/>
  <c r="AF5" i="15" s="1"/>
  <c r="I7" i="15"/>
  <c r="J7" i="15" s="1"/>
  <c r="AP5" i="15"/>
  <c r="AQ5" i="15" s="1"/>
  <c r="BV4" i="15"/>
  <c r="BA6" i="15"/>
  <c r="BB6" i="15" s="1"/>
  <c r="BT4" i="15"/>
  <c r="BL8" i="15"/>
  <c r="BM8" i="15" s="1"/>
  <c r="BW6" i="15"/>
  <c r="BX6" i="15" s="1"/>
  <c r="BW7" i="15"/>
  <c r="BX7" i="15" s="1"/>
  <c r="BL6" i="15"/>
  <c r="BM6" i="15" s="1"/>
  <c r="BW8" i="15"/>
  <c r="BX8" i="15" s="1"/>
  <c r="BR4" i="15"/>
  <c r="BQ4" i="15"/>
  <c r="BP4" i="15"/>
  <c r="N4" i="15"/>
  <c r="M4" i="15"/>
  <c r="F52" i="7" s="1"/>
  <c r="O4" i="15"/>
  <c r="J52" i="7" s="1"/>
  <c r="AK4" i="15"/>
  <c r="J22" i="13" s="1"/>
  <c r="AJ4" i="15"/>
  <c r="AI4" i="15"/>
  <c r="F22" i="13" s="1"/>
  <c r="AT4" i="15"/>
  <c r="F53" i="13" s="1"/>
  <c r="AV4" i="15"/>
  <c r="J53" i="13" s="1"/>
  <c r="AU4" i="15"/>
  <c r="Z4" i="15"/>
  <c r="Y4" i="15"/>
  <c r="X4" i="15"/>
  <c r="BF4" i="15"/>
  <c r="BE4" i="15"/>
  <c r="F85" i="13" s="1"/>
  <c r="BG4" i="15"/>
  <c r="J85" i="13" s="1"/>
  <c r="AP13" i="15"/>
  <c r="AQ13" i="15" s="1"/>
  <c r="AP8" i="15"/>
  <c r="AQ8" i="15" s="1"/>
  <c r="I13" i="15"/>
  <c r="J13" i="15" s="1"/>
  <c r="I16" i="15"/>
  <c r="J16" i="15" s="1"/>
  <c r="I6" i="15"/>
  <c r="J6" i="15" s="1"/>
  <c r="I11" i="15"/>
  <c r="J11" i="15" s="1"/>
  <c r="I21" i="15"/>
  <c r="J21" i="15" s="1"/>
  <c r="I25" i="15"/>
  <c r="J25" i="15" s="1"/>
  <c r="BL12" i="15"/>
  <c r="BM12" i="15" s="1"/>
  <c r="I24" i="15"/>
  <c r="J24" i="15" s="1"/>
  <c r="I20" i="15"/>
  <c r="J20" i="15" s="1"/>
  <c r="I17" i="15"/>
  <c r="J17" i="15" s="1"/>
  <c r="D4" i="15"/>
  <c r="C4" i="15"/>
  <c r="B4" i="15"/>
  <c r="AP19" i="15"/>
  <c r="AQ19" i="15" s="1"/>
  <c r="T8" i="15"/>
  <c r="U8" i="15" s="1"/>
  <c r="AE6" i="15"/>
  <c r="AF6" i="15" s="1"/>
  <c r="AE12" i="15"/>
  <c r="AF12" i="15" s="1"/>
  <c r="BL10" i="15"/>
  <c r="BM10" i="15" s="1"/>
  <c r="BW9" i="15"/>
  <c r="BX9" i="15" s="1"/>
  <c r="AE14" i="15"/>
  <c r="AF14" i="15" s="1"/>
  <c r="BL14" i="15"/>
  <c r="BM14" i="15" s="1"/>
  <c r="BL5" i="15"/>
  <c r="BM5" i="15" s="1"/>
  <c r="AE8" i="15"/>
  <c r="AF8" i="15" s="1"/>
  <c r="T7" i="15"/>
  <c r="U7" i="15" s="1"/>
  <c r="T10" i="15"/>
  <c r="U10" i="15" s="1"/>
  <c r="T13" i="15"/>
  <c r="U13" i="15" s="1"/>
  <c r="T9" i="15"/>
  <c r="U9" i="15" s="1"/>
  <c r="BL11" i="15"/>
  <c r="BM11" i="15" s="1"/>
  <c r="BL9" i="15"/>
  <c r="BM9" i="15" s="1"/>
  <c r="BW5" i="15"/>
  <c r="BX5" i="15" s="1"/>
  <c r="AE11" i="15"/>
  <c r="AF11" i="15" s="1"/>
  <c r="AP16" i="15"/>
  <c r="AQ16" i="15" s="1"/>
  <c r="AP14" i="15"/>
  <c r="AQ14" i="15" s="1"/>
  <c r="I22" i="15"/>
  <c r="J22" i="15" s="1"/>
  <c r="BA5" i="15"/>
  <c r="BB5" i="15" s="1"/>
  <c r="BA7" i="15"/>
  <c r="BB7" i="15" s="1"/>
  <c r="T5" i="15"/>
  <c r="U5" i="15" s="1"/>
  <c r="T16" i="15"/>
  <c r="U16" i="15" s="1"/>
  <c r="T11" i="15"/>
  <c r="U11" i="15" s="1"/>
  <c r="AE7" i="15"/>
  <c r="AF7" i="15" s="1"/>
  <c r="AE17" i="15"/>
  <c r="AF17" i="15" s="1"/>
  <c r="AE13" i="15"/>
  <c r="AF13" i="15" s="1"/>
  <c r="AP18" i="15"/>
  <c r="AQ18" i="15" s="1"/>
  <c r="I18" i="15"/>
  <c r="J18" i="15" s="1"/>
  <c r="I9" i="15"/>
  <c r="J9" i="15" s="1"/>
  <c r="I12" i="15"/>
  <c r="J12" i="15" s="1"/>
  <c r="I5" i="15"/>
  <c r="J5" i="15" s="1"/>
  <c r="I8" i="15"/>
  <c r="J8" i="15" s="1"/>
  <c r="BH4" i="15"/>
  <c r="M85" i="13" s="1"/>
  <c r="BK4" i="15"/>
  <c r="BI4" i="15"/>
  <c r="N85" i="13" s="1"/>
  <c r="BL13" i="15"/>
  <c r="BM13" i="15" s="1"/>
  <c r="AZ4" i="15"/>
  <c r="AX4" i="15"/>
  <c r="N53" i="13" s="1"/>
  <c r="AW4" i="15"/>
  <c r="M53" i="13" s="1"/>
  <c r="BA8" i="15"/>
  <c r="BB8" i="15" s="1"/>
  <c r="P4" i="15"/>
  <c r="M52" i="7" s="1"/>
  <c r="Q4" i="15"/>
  <c r="N52" i="7" s="1"/>
  <c r="S4" i="15"/>
  <c r="AE16" i="15"/>
  <c r="AF16" i="15" s="1"/>
  <c r="AE10" i="15"/>
  <c r="AF10" i="15" s="1"/>
  <c r="AE9" i="15"/>
  <c r="AF9" i="15" s="1"/>
  <c r="AM4" i="15"/>
  <c r="N22" i="13" s="1"/>
  <c r="AL4" i="15"/>
  <c r="M22" i="13" s="1"/>
  <c r="AO4" i="15"/>
  <c r="AP7" i="15"/>
  <c r="AQ7" i="15" s="1"/>
  <c r="AP20" i="15"/>
  <c r="AQ20" i="15" s="1"/>
  <c r="AP6" i="15"/>
  <c r="AQ6" i="15" s="1"/>
  <c r="AP22" i="15"/>
  <c r="AQ22" i="15" s="1"/>
  <c r="E4" i="15"/>
  <c r="F4" i="15"/>
  <c r="H4" i="15"/>
  <c r="I23" i="15"/>
  <c r="J23" i="15" s="1"/>
  <c r="BL15" i="15"/>
  <c r="BM15" i="15" s="1"/>
  <c r="T12" i="15"/>
  <c r="U12" i="15" s="1"/>
  <c r="T15" i="15"/>
  <c r="U15" i="15" s="1"/>
  <c r="AD4" i="15"/>
  <c r="AB4" i="15"/>
  <c r="AA4" i="15"/>
  <c r="AP10" i="15"/>
  <c r="AQ10" i="15" s="1"/>
  <c r="I14" i="15"/>
  <c r="J14" i="15" s="1"/>
  <c r="I19" i="15"/>
  <c r="J19" i="15" s="1"/>
  <c r="I15" i="15"/>
  <c r="J15" i="15" s="1"/>
  <c r="BL7" i="15"/>
  <c r="BM7" i="15" s="1"/>
  <c r="G19" i="9"/>
  <c r="G28" i="9"/>
  <c r="AB19" i="9"/>
  <c r="AB28" i="9"/>
  <c r="G9" i="9" l="1"/>
  <c r="G11" i="9"/>
  <c r="W27" i="9"/>
  <c r="BW4" i="15"/>
  <c r="BX4" i="15" s="1"/>
  <c r="V27" i="9" s="1"/>
  <c r="W16" i="9"/>
  <c r="K31" i="7" s="1"/>
  <c r="W17" i="9"/>
  <c r="K93" i="7" s="1"/>
  <c r="W24" i="9"/>
  <c r="W18" i="9"/>
  <c r="K61" i="7" s="1"/>
  <c r="W25" i="9"/>
  <c r="W26" i="9"/>
  <c r="BA4" i="15"/>
  <c r="BB4" i="15" s="1"/>
  <c r="V25" i="9" s="1"/>
  <c r="I4" i="15"/>
  <c r="J4" i="15" s="1"/>
  <c r="V16" i="9" s="1"/>
  <c r="T4" i="15"/>
  <c r="U4" i="15" s="1"/>
  <c r="V18" i="9" s="1"/>
  <c r="BL4" i="15"/>
  <c r="BM4" i="15" s="1"/>
  <c r="V26" i="9" s="1"/>
  <c r="AP4" i="15"/>
  <c r="AQ4" i="15" s="1"/>
  <c r="V24" i="9" s="1"/>
  <c r="AE4" i="15"/>
  <c r="AF4" i="15" s="1"/>
  <c r="V17" i="9" s="1"/>
  <c r="M28" i="9"/>
  <c r="F16" i="9" l="1"/>
  <c r="E31" i="7" s="1"/>
  <c r="F24" i="9"/>
  <c r="F26" i="9"/>
  <c r="F25" i="9"/>
  <c r="F17" i="9"/>
  <c r="E93" i="7" s="1"/>
  <c r="F18" i="9"/>
  <c r="E61" i="7" s="1"/>
  <c r="F27" i="9"/>
  <c r="K94" i="13"/>
  <c r="K62" i="13"/>
  <c r="J31" i="13"/>
  <c r="K31" i="13"/>
  <c r="K126" i="13"/>
  <c r="W28" i="9"/>
  <c r="W19" i="9"/>
  <c r="J61" i="7"/>
  <c r="J126" i="13"/>
  <c r="J94" i="13"/>
  <c r="C31" i="7"/>
  <c r="D31" i="7"/>
  <c r="N28" i="9"/>
  <c r="U24" i="9"/>
  <c r="J31" i="7"/>
  <c r="T28" i="9"/>
  <c r="J93" i="7"/>
  <c r="L28" i="9"/>
  <c r="J62" i="13"/>
  <c r="V28" i="9"/>
  <c r="R28" i="9"/>
  <c r="Q28" i="9"/>
  <c r="O28" i="9"/>
  <c r="P28" i="9"/>
  <c r="S28" i="9"/>
  <c r="J26" i="9"/>
  <c r="J25" i="9"/>
  <c r="J24" i="9"/>
  <c r="U27" i="9"/>
  <c r="O19" i="9"/>
  <c r="U25" i="9"/>
  <c r="M19" i="9"/>
  <c r="M9" i="9" s="1"/>
  <c r="U26" i="9"/>
  <c r="L19" i="9"/>
  <c r="T19" i="9"/>
  <c r="Q19" i="9"/>
  <c r="U18" i="9"/>
  <c r="I61" i="7" s="1"/>
  <c r="P19" i="9"/>
  <c r="R19" i="9"/>
  <c r="I31" i="7"/>
  <c r="N19" i="9"/>
  <c r="U17" i="9"/>
  <c r="I93" i="7" s="1"/>
  <c r="S19" i="9"/>
  <c r="P9" i="9" l="1"/>
  <c r="P11" i="9" s="1"/>
  <c r="O9" i="9"/>
  <c r="O11" i="9" s="1"/>
  <c r="S9" i="9"/>
  <c r="S11" i="9" s="1"/>
  <c r="R9" i="9"/>
  <c r="R11" i="9" s="1"/>
  <c r="T9" i="9"/>
  <c r="T11" i="9" s="1"/>
  <c r="N9" i="9"/>
  <c r="N11" i="9" s="1"/>
  <c r="L9" i="9"/>
  <c r="L11" i="9" s="1"/>
  <c r="D19" i="9"/>
  <c r="E19" i="9"/>
  <c r="Q9" i="9"/>
  <c r="W9" i="9"/>
  <c r="W11" i="9" s="1"/>
  <c r="D28" i="9"/>
  <c r="E28" i="9"/>
  <c r="Q11" i="9"/>
  <c r="M11" i="9"/>
  <c r="J28" i="9"/>
  <c r="J19" i="9"/>
  <c r="F28" i="9"/>
  <c r="I62" i="13"/>
  <c r="I94" i="13"/>
  <c r="I126" i="13"/>
  <c r="E31" i="13"/>
  <c r="D31" i="13"/>
  <c r="E126" i="13"/>
  <c r="C31" i="13"/>
  <c r="I31" i="13"/>
  <c r="E62" i="13"/>
  <c r="E94" i="13"/>
  <c r="C16" i="9"/>
  <c r="B31" i="7" s="1"/>
  <c r="B16" i="9"/>
  <c r="A31" i="7" s="1"/>
  <c r="G6" i="13"/>
  <c r="D3" i="13"/>
  <c r="B27" i="9"/>
  <c r="A126" i="13" s="1"/>
  <c r="C126" i="13"/>
  <c r="B17" i="9"/>
  <c r="A93" i="7" s="1"/>
  <c r="C93" i="7"/>
  <c r="B26" i="9"/>
  <c r="A94" i="13" s="1"/>
  <c r="C94" i="13"/>
  <c r="C25" i="9"/>
  <c r="B62" i="13" s="1"/>
  <c r="D62" i="13"/>
  <c r="C17" i="9"/>
  <c r="B93" i="7" s="1"/>
  <c r="D93" i="7"/>
  <c r="C18" i="9"/>
  <c r="B61" i="7" s="1"/>
  <c r="D61" i="7"/>
  <c r="C26" i="9"/>
  <c r="B94" i="13" s="1"/>
  <c r="D94" i="13"/>
  <c r="B18" i="9"/>
  <c r="A61" i="7" s="1"/>
  <c r="C61" i="7"/>
  <c r="B25" i="9"/>
  <c r="A62" i="13" s="1"/>
  <c r="C62" i="13"/>
  <c r="C27" i="9"/>
  <c r="B126" i="13" s="1"/>
  <c r="D126" i="13"/>
  <c r="U28" i="9"/>
  <c r="B24" i="9"/>
  <c r="A31" i="13" s="1"/>
  <c r="C24" i="9"/>
  <c r="B31" i="13" s="1"/>
  <c r="G67" i="7"/>
  <c r="G69" i="13"/>
  <c r="G37" i="13"/>
  <c r="G101" i="13"/>
  <c r="U19" i="9"/>
  <c r="G5" i="7"/>
  <c r="G36" i="7"/>
  <c r="V19" i="9"/>
  <c r="V9" i="9" s="1"/>
  <c r="U9" i="9" l="1"/>
  <c r="U11" i="9" s="1"/>
  <c r="J9" i="9"/>
  <c r="J11" i="9" s="1"/>
  <c r="D9" i="9"/>
  <c r="E9" i="9"/>
  <c r="F19" i="9"/>
  <c r="B19" i="9" s="1"/>
  <c r="K11" i="9"/>
  <c r="B28" i="9"/>
  <c r="C28" i="9"/>
  <c r="D11" i="9" l="1"/>
  <c r="E11" i="9"/>
  <c r="V11" i="9"/>
  <c r="F11" i="9" s="1"/>
  <c r="F9" i="9"/>
  <c r="C9" i="9" s="1"/>
  <c r="C19" i="9"/>
  <c r="B11" i="9" l="1"/>
  <c r="B9" i="9"/>
  <c r="C11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Courtney</author>
    <author>tc={36922184-313E-7744-BBBC-AA7EDA17C9D2}</author>
  </authors>
  <commentList>
    <comment ref="D8" authorId="0" shapeId="0" xr:uid="{25A2CF30-550C-D04F-8AF3-5F659B7A5FB0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Running hours divided by total available hours.
</t>
        </r>
      </text>
    </comment>
    <comment ref="E8" authorId="0" shapeId="0" xr:uid="{13D3E708-08B4-B041-B4A4-C8EFA056C0A3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Running hours divided by planned available hours.
</t>
        </r>
      </text>
    </comment>
    <comment ref="F8" authorId="0" shapeId="0" xr:uid="{70E73A08-2140-2A44-9494-1694B4DCC4FF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Theoretical estimated time divided by actual time </t>
        </r>
      </text>
    </comment>
    <comment ref="G8" authorId="0" shapeId="0" xr:uid="{B96E8BDC-0292-F145-A204-BE8E697E248F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Material Allocated divided by Material Issued </t>
        </r>
      </text>
    </comment>
    <comment ref="H8" authorId="0" shapeId="0" xr:uid="{E33F447F-73CF-9A49-A7A0-8C966FE088C3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Total hours available in period.
</t>
        </r>
      </text>
    </comment>
    <comment ref="I8" authorId="0" shapeId="0" xr:uid="{98A49D4F-3B4D-134B-8B52-2622B78BBE6E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Total hours planned to run in period in the establishment plan. 
</t>
        </r>
        <r>
          <rPr>
            <b/>
            <sz val="9"/>
            <color rgb="FF000000"/>
            <rFont val="Tahoma"/>
            <family val="2"/>
          </rPr>
          <t>Including 1 hr. break and 1 hr planned maintenance per 12 hour shift.</t>
        </r>
      </text>
    </comment>
    <comment ref="T8" authorId="0" shapeId="0" xr:uid="{4514867B-3E87-D04D-BFFB-CB88C35FE41B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Issues with ink, substrate, quality, artwork, job cards etc.</t>
        </r>
      </text>
    </comment>
    <comment ref="A9" authorId="1" shapeId="0" xr:uid="{36922184-313E-7744-BBBC-AA7EDA17C9D2}">
      <text>
        <t>[Threaded comment]
Your version of Excel allows you to read this threaded comment; however, any edits to it will get removed if the file is opened in a newer version of Excel. Learn more: https://go.microsoft.com/fwlink/?linkid=870924
Comment:
    Print total not including Indigo, at the request of RC NR 04/08/2021.</t>
      </text>
    </comment>
    <comment ref="D15" authorId="0" shapeId="0" xr:uid="{6691614C-6198-904A-A124-CD52740842DA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Running hours divided by total available hours.
</t>
        </r>
      </text>
    </comment>
    <comment ref="E15" authorId="0" shapeId="0" xr:uid="{D91365B5-4954-124C-9911-675E8BB44196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Running hours divided by planned available hours.
</t>
        </r>
      </text>
    </comment>
    <comment ref="F15" authorId="0" shapeId="0" xr:uid="{D3C68B98-6D6C-0240-BDFB-E0235098E623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Theoretical estimated time divided by actual time </t>
        </r>
      </text>
    </comment>
    <comment ref="G15" authorId="0" shapeId="0" xr:uid="{33B3D521-738C-D148-B1F9-1D157622676C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Material Allocated divided by Material Issued </t>
        </r>
      </text>
    </comment>
    <comment ref="H15" authorId="0" shapeId="0" xr:uid="{771ABD1C-2C53-B341-985E-99F5D6B34A86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Total hours available in period.
</t>
        </r>
      </text>
    </comment>
    <comment ref="I15" authorId="0" shapeId="0" xr:uid="{60221CD2-6BA8-9B43-A63D-5F15EDE59320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Total hours planned to run in period in the establishment plan. 
</t>
        </r>
        <r>
          <rPr>
            <b/>
            <sz val="9"/>
            <color rgb="FF000000"/>
            <rFont val="Tahoma"/>
            <family val="2"/>
          </rPr>
          <t>Including 1 hr. break and 1 hr planned maintenance per 12 hour shift.</t>
        </r>
      </text>
    </comment>
    <comment ref="T15" authorId="0" shapeId="0" xr:uid="{4672D07B-CE22-9B4A-A6B1-A8943C2D60D8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Issues with ink, substrate, quality, artwork, job cards etc.</t>
        </r>
      </text>
    </comment>
    <comment ref="D23" authorId="0" shapeId="0" xr:uid="{5683526F-2F74-7B4A-9C53-397D57E9D606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Running hours divided by total available hours.
</t>
        </r>
      </text>
    </comment>
    <comment ref="E23" authorId="0" shapeId="0" xr:uid="{52147DEC-3641-2142-A35B-A709058E9C43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Running hours divided by planned available hours.
</t>
        </r>
      </text>
    </comment>
    <comment ref="F23" authorId="0" shapeId="0" xr:uid="{0425976C-E581-CB4E-8E34-9EE6DD27F1A2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Theoretical estimated time divided by actual time </t>
        </r>
      </text>
    </comment>
    <comment ref="G23" authorId="0" shapeId="0" xr:uid="{7447C0D2-C765-214B-BED7-7B296A6E8F74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Material Allocated divided by Material Issued </t>
        </r>
      </text>
    </comment>
    <comment ref="H23" authorId="0" shapeId="0" xr:uid="{E24A444E-462D-B741-9C75-C150CDC08BA8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Total hours available in period.
</t>
        </r>
      </text>
    </comment>
    <comment ref="I23" authorId="0" shapeId="0" xr:uid="{76D4D64D-8A81-8F43-B81F-8FF8E8AD33A4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Total hours planned to run in period in the establishment plan. 
</t>
        </r>
        <r>
          <rPr>
            <b/>
            <sz val="9"/>
            <color rgb="FF000000"/>
            <rFont val="Tahoma"/>
            <family val="2"/>
          </rPr>
          <t>Including 1 hr. break and 1 hr planned maintenance per 12 hour shift.</t>
        </r>
      </text>
    </comment>
    <comment ref="T23" authorId="0" shapeId="0" xr:uid="{3EA0227D-4D34-9349-86B7-0E97A29D02A5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Issues with ink, substrate, quality, artwork, job cards etc.</t>
        </r>
      </text>
    </comment>
    <comment ref="D32" authorId="0" shapeId="0" xr:uid="{9FD91F1B-A90A-2C40-8910-3C21A3574E9B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Running hours divided by total available hours.
</t>
        </r>
      </text>
    </comment>
    <comment ref="E32" authorId="0" shapeId="0" xr:uid="{6F48A4B2-5382-764B-97E9-CD9D9CC561B6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Running hours divided by planned available hours.
</t>
        </r>
      </text>
    </comment>
    <comment ref="F32" authorId="0" shapeId="0" xr:uid="{29CA4BD8-6F1D-A744-B6E2-D03E21A411A6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Theoretical estimated time divided by actual time </t>
        </r>
      </text>
    </comment>
    <comment ref="G32" authorId="0" shapeId="0" xr:uid="{4431905F-4378-2149-B2FA-E05C73650FFF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Material Allocated divided by Material Issued </t>
        </r>
      </text>
    </comment>
    <comment ref="H32" authorId="0" shapeId="0" xr:uid="{266136E2-5B3B-3B4D-BC72-999BE312A09E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Total hours available in period.
</t>
        </r>
      </text>
    </comment>
    <comment ref="I32" authorId="0" shapeId="0" xr:uid="{3CE86F69-7CB9-624F-9BFC-252CE27AD76B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Total hours planned to run in period in the establishment plan. 
</t>
        </r>
        <r>
          <rPr>
            <b/>
            <sz val="9"/>
            <color rgb="FF000000"/>
            <rFont val="Tahoma"/>
            <family val="2"/>
          </rPr>
          <t>Including 1 hr. break and 1 hr planned maintenance per 12 hour shift.</t>
        </r>
      </text>
    </comment>
    <comment ref="T32" authorId="0" shapeId="0" xr:uid="{8F3CE9A9-6468-244A-8681-CD5E3114365E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Issues with ink, substrate, quality, artwork, job cards etc.</t>
        </r>
      </text>
    </comment>
    <comment ref="D41" authorId="0" shapeId="0" xr:uid="{ED69386C-420D-3B44-80CC-DB0101E7501B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Running hours divided by total available hours.
</t>
        </r>
      </text>
    </comment>
    <comment ref="E41" authorId="0" shapeId="0" xr:uid="{39DDD8F9-95D6-4C4D-8098-1BAAD640BE13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Running hours divided by planned available hours.
</t>
        </r>
      </text>
    </comment>
    <comment ref="F41" authorId="0" shapeId="0" xr:uid="{7B86E0F9-201F-1F4A-AB5E-9F89EB3C0031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Theoretical estimated time divided by actual time </t>
        </r>
      </text>
    </comment>
    <comment ref="G41" authorId="0" shapeId="0" xr:uid="{BC5CC128-2CC2-7349-8B07-C6028450917B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Material Allocated divided by Material Issued </t>
        </r>
      </text>
    </comment>
    <comment ref="H41" authorId="0" shapeId="0" xr:uid="{544FE9CD-DC33-CC41-830A-A0F339A54216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Total hours available in period.
</t>
        </r>
      </text>
    </comment>
    <comment ref="I41" authorId="0" shapeId="0" xr:uid="{DF869418-1BC5-D348-A0A1-A1AD0D4AC9D4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Total hours planned to run in period in the establishment plan. 
</t>
        </r>
        <r>
          <rPr>
            <b/>
            <sz val="9"/>
            <color rgb="FF000000"/>
            <rFont val="Tahoma"/>
            <family val="2"/>
          </rPr>
          <t>Including 1 hr. break and 1 hr planned maintenance per 12 hour shift.</t>
        </r>
      </text>
    </comment>
    <comment ref="T41" authorId="0" shapeId="0" xr:uid="{64591F76-15E9-F640-A49B-67558F7F16B2}">
      <text>
        <r>
          <rPr>
            <b/>
            <sz val="10"/>
            <color rgb="FF000000"/>
            <rFont val="Tahoma"/>
            <family val="2"/>
          </rPr>
          <t>Richard Courtney: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Issues with ink, substrate, quality, artwork, job cards etc.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<sst xmlns="http://schemas.openxmlformats.org/spreadsheetml/2006/main" count="3131" uniqueCount="599">
  <si>
    <t>Machine</t>
  </si>
  <si>
    <t>Code</t>
  </si>
  <si>
    <t>StartDate</t>
  </si>
  <si>
    <t>FinishDate</t>
  </si>
  <si>
    <t>Duration</t>
  </si>
  <si>
    <t>JobNum</t>
  </si>
  <si>
    <t>Operation</t>
  </si>
  <si>
    <t>Operator</t>
  </si>
  <si>
    <t>Quantity Logged</t>
  </si>
  <si>
    <t>Duration (Decimal)</t>
  </si>
  <si>
    <t>Time Gap (Decimal)</t>
  </si>
  <si>
    <t>Notes</t>
  </si>
  <si>
    <t>Material Issue</t>
  </si>
  <si>
    <t>OperatorComment</t>
  </si>
  <si>
    <t>Client</t>
  </si>
  <si>
    <t>EndCustomer</t>
  </si>
  <si>
    <t>Product</t>
  </si>
  <si>
    <t>Durst3</t>
  </si>
  <si>
    <t>Operator Training</t>
  </si>
  <si>
    <t>Missing hrs</t>
  </si>
  <si>
    <t>Job Card Error</t>
  </si>
  <si>
    <t>Artwork Issue</t>
  </si>
  <si>
    <t>IT Issue</t>
  </si>
  <si>
    <t>Quality Issue</t>
  </si>
  <si>
    <t>DurstP5</t>
  </si>
  <si>
    <t>HS125</t>
  </si>
  <si>
    <t>Actual Time (All in hours)</t>
  </si>
  <si>
    <t>TEEP %
 A1 x P x Q</t>
  </si>
  <si>
    <t>OEE %                A2 x P x Q</t>
  </si>
  <si>
    <t>Availability (Total)
A1</t>
  </si>
  <si>
    <t>Availability (Planned)
A2</t>
  </si>
  <si>
    <t xml:space="preserve">Total Available Hours </t>
  </si>
  <si>
    <t>Total Planned Hours</t>
  </si>
  <si>
    <t xml:space="preserve">9. Break-down </t>
  </si>
  <si>
    <t xml:space="preserve">10. Interruptions </t>
  </si>
  <si>
    <t>Opportunity Cost @ £150</t>
  </si>
  <si>
    <t>Total Jobs Despatched</t>
  </si>
  <si>
    <t>Total Jobs Late</t>
  </si>
  <si>
    <t>OTIF</t>
  </si>
  <si>
    <t>Performance 
P</t>
  </si>
  <si>
    <t>Quality 
Q</t>
  </si>
  <si>
    <t>Material Allocated        Q</t>
  </si>
  <si>
    <t>Material Issued             Q</t>
  </si>
  <si>
    <t>1. Running Time</t>
  </si>
  <si>
    <t>2. Make Ready Time</t>
  </si>
  <si>
    <t>3. Roll Change Time</t>
  </si>
  <si>
    <t>5. No work Due To No Sales</t>
  </si>
  <si>
    <t>6. Rest Breaks</t>
  </si>
  <si>
    <t>ID</t>
  </si>
  <si>
    <t>Type</t>
  </si>
  <si>
    <t>JobNo</t>
  </si>
  <si>
    <t>Quantity</t>
  </si>
  <si>
    <t>UnitPrice</t>
  </si>
  <si>
    <t>MaterialType</t>
  </si>
  <si>
    <t>MachineUsed</t>
  </si>
  <si>
    <t>Hybrid</t>
  </si>
  <si>
    <t>Wide-Format</t>
  </si>
  <si>
    <t>Durst1</t>
  </si>
  <si>
    <t>Durst2</t>
  </si>
  <si>
    <t>Matan1</t>
  </si>
  <si>
    <t>Matan2</t>
  </si>
  <si>
    <t>EstimateNo</t>
  </si>
  <si>
    <t>JobID</t>
  </si>
  <si>
    <t>EstimateCreated</t>
  </si>
  <si>
    <t>JobCreated</t>
  </si>
  <si>
    <t>RequiredDate</t>
  </si>
  <si>
    <t>JobInStudio</t>
  </si>
  <si>
    <t>ArtOnProof</t>
  </si>
  <si>
    <t>SentToPlanning</t>
  </si>
  <si>
    <t>PaperDue</t>
  </si>
  <si>
    <t>PaperIssued</t>
  </si>
  <si>
    <t>InProduction</t>
  </si>
  <si>
    <t>FinishedProduction</t>
  </si>
  <si>
    <t>QtyOrdered</t>
  </si>
  <si>
    <t>KATeam</t>
  </si>
  <si>
    <t>JobCreatedby</t>
  </si>
  <si>
    <t>ArtworkDue</t>
  </si>
  <si>
    <t>ArtApproved</t>
  </si>
  <si>
    <t>Despatched</t>
  </si>
  <si>
    <t>UnitDesc</t>
  </si>
  <si>
    <t>Material</t>
  </si>
  <si>
    <t>Date</t>
  </si>
  <si>
    <t>Actual Time of Jobs               P</t>
  </si>
  <si>
    <t>QTYLogged</t>
  </si>
  <si>
    <t>QTYOrdered</t>
  </si>
  <si>
    <t>%ageComplete</t>
  </si>
  <si>
    <t>TSE_ID</t>
  </si>
  <si>
    <t>End Customer</t>
  </si>
  <si>
    <t>Hide</t>
  </si>
  <si>
    <t>4. Not Planned In Establisment</t>
  </si>
  <si>
    <t>1. Running</t>
  </si>
  <si>
    <t>2. Make Ready</t>
  </si>
  <si>
    <t>3. Roll Change</t>
  </si>
  <si>
    <t>4. Not Planned</t>
  </si>
  <si>
    <t>5. No Work</t>
  </si>
  <si>
    <t>6. Breaks</t>
  </si>
  <si>
    <t>9. Breakdown</t>
  </si>
  <si>
    <t>10. Other Interruptions</t>
  </si>
  <si>
    <t>LastOpDate</t>
  </si>
  <si>
    <t>LastOperation</t>
  </si>
  <si>
    <t>JobNo:</t>
  </si>
  <si>
    <t>Client:</t>
  </si>
  <si>
    <t>Product:</t>
  </si>
  <si>
    <t>Duration:</t>
  </si>
  <si>
    <t>Qty Logged:</t>
  </si>
  <si>
    <t>to</t>
  </si>
  <si>
    <t>CustomerName</t>
  </si>
  <si>
    <t>JobDesc</t>
  </si>
  <si>
    <t>JobType</t>
  </si>
  <si>
    <t>4 Not Planned</t>
  </si>
  <si>
    <t>5. No work</t>
  </si>
  <si>
    <t>Hours per machine</t>
  </si>
  <si>
    <t>Total days</t>
  </si>
  <si>
    <t>Total machines</t>
  </si>
  <si>
    <t>Total machine hours</t>
  </si>
  <si>
    <t>7. Planned Maintenance</t>
  </si>
  <si>
    <t>8. Planned But No Available Operator</t>
  </si>
  <si>
    <t>8. Planned No Operator</t>
  </si>
  <si>
    <t>7. Maintenance</t>
  </si>
  <si>
    <t>8. Planned But No Operator</t>
  </si>
  <si>
    <t>Org.RequiredDate</t>
  </si>
  <si>
    <t>Latex2</t>
  </si>
  <si>
    <t>Latex1</t>
  </si>
  <si>
    <t>GS2000</t>
  </si>
  <si>
    <t>Indigo</t>
  </si>
  <si>
    <t>Hybrid Total</t>
  </si>
  <si>
    <t>Wide-Format Total</t>
  </si>
  <si>
    <t>Bureau Total</t>
  </si>
  <si>
    <t>Print Total</t>
  </si>
  <si>
    <t>Bureau</t>
  </si>
  <si>
    <t>AutoMiller</t>
  </si>
  <si>
    <t>ZundL</t>
  </si>
  <si>
    <t>ZundXL</t>
  </si>
  <si>
    <t>Finishing</t>
  </si>
  <si>
    <t>Finishing Total</t>
  </si>
  <si>
    <t>Factory Total</t>
  </si>
  <si>
    <t>PlastGrommet</t>
  </si>
  <si>
    <t>EstimatedTime</t>
  </si>
  <si>
    <t>EstimatedTime-2</t>
  </si>
  <si>
    <t>Estimated Time of Jobs P</t>
  </si>
  <si>
    <t>Up-Time</t>
  </si>
  <si>
    <t>Planned Downtime</t>
  </si>
  <si>
    <t>Unplanned Downtime</t>
  </si>
  <si>
    <t>Up-Time:</t>
  </si>
  <si>
    <t>Planned</t>
  </si>
  <si>
    <t>Downtime:</t>
  </si>
  <si>
    <t>Unplanned</t>
  </si>
  <si>
    <t>Unplanned Donwtime</t>
  </si>
  <si>
    <t>TEEP %
 A1 x P</t>
  </si>
  <si>
    <t>OEE %                A2 x P</t>
  </si>
  <si>
    <t>DespatchDate</t>
  </si>
  <si>
    <t>EstimatedMachine</t>
  </si>
  <si>
    <t>1pass</t>
  </si>
  <si>
    <t>2pass</t>
  </si>
  <si>
    <t>3pass</t>
  </si>
  <si>
    <t>4pass</t>
  </si>
  <si>
    <t>5pass</t>
  </si>
  <si>
    <t>6pass</t>
  </si>
  <si>
    <t>5pass         (HS - High Quality)</t>
  </si>
  <si>
    <t xml:space="preserve">1pass </t>
  </si>
  <si>
    <t xml:space="preserve">2pass </t>
  </si>
  <si>
    <t xml:space="preserve">4pass </t>
  </si>
  <si>
    <t xml:space="preserve">5pass </t>
  </si>
  <si>
    <t>8. No Operator</t>
  </si>
  <si>
    <t>10. Interruptions</t>
  </si>
  <si>
    <t>TEEP          (A1 x P x Q)</t>
  </si>
  <si>
    <t>Run Production</t>
  </si>
  <si>
    <t>Run POP</t>
  </si>
  <si>
    <t>Run Outdoor</t>
  </si>
  <si>
    <t>Run High Quality</t>
  </si>
  <si>
    <t>OEE                (A2 x P x Q)</t>
  </si>
  <si>
    <t>TEEP              (A1 x P x Q)</t>
  </si>
  <si>
    <t>OEE                 (A2 x P x Q)</t>
  </si>
  <si>
    <t>TEEP               (A1 x P x Q)</t>
  </si>
  <si>
    <t>TEEP                (A1 x P x Q)</t>
  </si>
  <si>
    <t>OEE                  (A2 x P x Q)</t>
  </si>
  <si>
    <t>7pass</t>
  </si>
  <si>
    <t xml:space="preserve">8pass </t>
  </si>
  <si>
    <t>7pass           (Bureau Only)</t>
  </si>
  <si>
    <t>8pass           (Bureau Only)</t>
  </si>
  <si>
    <t>2pass                                (GS - 4colN)</t>
  </si>
  <si>
    <t>3pass                              (GS - 4colL)</t>
  </si>
  <si>
    <t>4pass                            (GS - 4colH / Indigo Mono)</t>
  </si>
  <si>
    <t>5pass                     (GS - 8colN)</t>
  </si>
  <si>
    <t>6pass                          (GS - 8colL / Indigo EPM)</t>
  </si>
  <si>
    <t>7pass           (Latex Only)</t>
  </si>
  <si>
    <t>8pass           (GS - 8colH /  Indigo 4col)</t>
  </si>
  <si>
    <t>8pass</t>
  </si>
  <si>
    <t>Mono</t>
  </si>
  <si>
    <t>EPM</t>
  </si>
  <si>
    <t>4-Col</t>
  </si>
  <si>
    <t>4col N</t>
  </si>
  <si>
    <t>4col L</t>
  </si>
  <si>
    <t>4col H</t>
  </si>
  <si>
    <t>8col N</t>
  </si>
  <si>
    <t>8col L</t>
  </si>
  <si>
    <t>8col H</t>
  </si>
  <si>
    <t>1pass         (HS - Run Outdoor)</t>
  </si>
  <si>
    <t>2pass         (HS - Run Production)</t>
  </si>
  <si>
    <t>4pass         (HS - Run POP)</t>
  </si>
  <si>
    <t>Percenatge of Time Running per Speed Setting</t>
  </si>
  <si>
    <t>EstimatedTime_hrs</t>
  </si>
  <si>
    <t>N/a</t>
  </si>
  <si>
    <t>User</t>
  </si>
  <si>
    <t>OK - 20, 22, 30, 31, 148</t>
  </si>
  <si>
    <t>/100 SQM</t>
  </si>
  <si>
    <t>Vinyl - Ritrama Gloss White Removable 1000mm x 200m</t>
  </si>
  <si>
    <t>Self Adhesive</t>
  </si>
  <si>
    <t>ZUNDXL</t>
  </si>
  <si>
    <t>HS125-R2R</t>
  </si>
  <si>
    <t>19/01/2022</t>
  </si>
  <si>
    <t>Laminate - Ritrama RI Jet 121 Textured Floor 1370mm x 100m</t>
  </si>
  <si>
    <t>Laminate</t>
  </si>
  <si>
    <t>PVC - Clear Flexible Banner 1350mm x 50m</t>
  </si>
  <si>
    <t>PVC Bannergrade</t>
  </si>
  <si>
    <t>HFWeld1</t>
  </si>
  <si>
    <t>DURST2PASS</t>
  </si>
  <si>
    <t>PE - Woven 175gsm 2100mm x 240m - Innotech (Converted roll)</t>
  </si>
  <si>
    <t>Woven PE</t>
  </si>
  <si>
    <t>DURST3_3PASS</t>
  </si>
  <si>
    <t>Requisition 697596</t>
  </si>
  <si>
    <t>PE - Textile - Starlight ST601 FR - 2600mm x 125m</t>
  </si>
  <si>
    <t>Textile PE</t>
  </si>
  <si>
    <t>LRGLATEX4PSS</t>
  </si>
  <si>
    <t>Requisition 697938</t>
  </si>
  <si>
    <t>PVC - Kudox Blockout 550gsm 3200mm x 50m</t>
  </si>
  <si>
    <t>MATANSTD</t>
  </si>
  <si>
    <t>PVC - Textured Greyback Innotech 300mic 1070mm x 50m</t>
  </si>
  <si>
    <t>Rigid/Semi Rigid PVC</t>
  </si>
  <si>
    <t>GS2000-35</t>
  </si>
  <si>
    <t>Mesh - Supreme 189 3200mm x 65m  (Soyang)</t>
  </si>
  <si>
    <t>Mesh</t>
  </si>
  <si>
    <t>Requisition</t>
  </si>
  <si>
    <t>Requisition 697346</t>
  </si>
  <si>
    <t>EYE1</t>
  </si>
  <si>
    <t>Requisition 697407</t>
  </si>
  <si>
    <t>Requisition 692789</t>
  </si>
  <si>
    <t>PET - Supersmooth Greyback 290mic 1066mm x 50m</t>
  </si>
  <si>
    <t>Polyethyene</t>
  </si>
  <si>
    <t>FOTOBA</t>
  </si>
  <si>
    <t>LRGLATEX6PSS</t>
  </si>
  <si>
    <t>Requisition 697950</t>
  </si>
  <si>
    <t>Requisition 697924</t>
  </si>
  <si>
    <t>PVC - Papergraphics Frontlit Laminated 340gsm 2200mm x 200m</t>
  </si>
  <si>
    <t>PE - Textile - Flag ST110 - 1850mm x 100m</t>
  </si>
  <si>
    <t>DURST4PASS</t>
  </si>
  <si>
    <t>PVC - Mesh Innotech Vistaflex 290XT FR B1 - 3200mm x 65m</t>
  </si>
  <si>
    <t>needed to finish job RG</t>
  </si>
  <si>
    <t>PVC - Innotech Frontlit Semi Coated 450gsm 3200mm x 65m</t>
  </si>
  <si>
    <t>Requisition 696628</t>
  </si>
  <si>
    <t>Paper - Big WB Billboard Paper 150gsm 1372mm x 100m</t>
  </si>
  <si>
    <t>Paper</t>
  </si>
  <si>
    <t>Requisition 697612</t>
  </si>
  <si>
    <t>Requisition 697739</t>
  </si>
  <si>
    <t>Requisition 697726</t>
  </si>
  <si>
    <t>PVC - Innotech Frontlit Laminated 440gsm 2050mm x 200m</t>
  </si>
  <si>
    <t>Requisition 678406</t>
  </si>
  <si>
    <t>Requisition 696062</t>
  </si>
  <si>
    <t>Requisition 696719</t>
  </si>
  <si>
    <t>DURST3_2PASS</t>
  </si>
  <si>
    <t>Welder1</t>
  </si>
  <si>
    <t>PE - Woven 175gsm 1100mm x 240m - Innotech (Converted roll)</t>
  </si>
  <si>
    <t>s'fall</t>
  </si>
  <si>
    <t>Requisition 697990</t>
  </si>
  <si>
    <t>PVC - Papergraphics Frontlit Laminated 440gsm 1370mm x 100m</t>
  </si>
  <si>
    <t>Requisition 694374</t>
  </si>
  <si>
    <t>Requisition 697521</t>
  </si>
  <si>
    <t>PET - Supersmooth Greyback 225mic 914mm x 50m</t>
  </si>
  <si>
    <t>Requisition 692798</t>
  </si>
  <si>
    <t>Requisition 697875</t>
  </si>
  <si>
    <t>Requisition 697983</t>
  </si>
  <si>
    <t>.</t>
  </si>
  <si>
    <t>Requisition 678412</t>
  </si>
  <si>
    <t>Requisition 696285</t>
  </si>
  <si>
    <t>PE - Textile - Vertex Glacier FR 180gsm 3200mm x 100m</t>
  </si>
  <si>
    <t>Requisition 696630</t>
  </si>
  <si>
    <t>Requisition 696177</t>
  </si>
  <si>
    <t>Requisition 696923</t>
  </si>
  <si>
    <t>PE - Textile - Starlight ST601 FR - 3200mm x 100m</t>
  </si>
  <si>
    <t>PE - Woven 175gsm 3200mm x 200m - Innotech (Converted roll)</t>
  </si>
  <si>
    <t>Requisition 697604</t>
  </si>
  <si>
    <t>Requisition 697858</t>
  </si>
  <si>
    <t>Requisition 698194</t>
  </si>
  <si>
    <t>PVC Free - Envirotech Blockout 270gsm 5000mm x 50m</t>
  </si>
  <si>
    <t>Requisition 698110</t>
  </si>
  <si>
    <t>Requisition 678913</t>
  </si>
  <si>
    <t>Requisition 696061</t>
  </si>
  <si>
    <t>PVC - Innotech Frontlit Laminated 440gsm 1370mm x 200m</t>
  </si>
  <si>
    <t>Requisition 696631</t>
  </si>
  <si>
    <t>Requisition 696629</t>
  </si>
  <si>
    <t>Requisition 697080</t>
  </si>
  <si>
    <t>PVC - Innotech Coated Blockout 750gsm 1600mm x 50m</t>
  </si>
  <si>
    <t>GUILL</t>
  </si>
  <si>
    <t>Requisition 697535</t>
  </si>
  <si>
    <t>Requisition 697815</t>
  </si>
  <si>
    <t>Requisition 697944</t>
  </si>
  <si>
    <t>Requisition 698025</t>
  </si>
  <si>
    <t>PE - Fabrene BB745 FR  186gsm  3200mm x 2300M (Master roll)</t>
  </si>
  <si>
    <t>Fabrene</t>
  </si>
  <si>
    <t>Requisition 696808</t>
  </si>
  <si>
    <t>Requisition 697400</t>
  </si>
  <si>
    <t>KA3</t>
  </si>
  <si>
    <t>Jan Cames</t>
  </si>
  <si>
    <t>Inspired Thinking Group (ITG)</t>
  </si>
  <si>
    <t>TOFS</t>
  </si>
  <si>
    <t>TFS303 - The Orginal Factory Shop - WK44 - 1016 (W) x1524 (H) mm Poster</t>
  </si>
  <si>
    <t>Poster</t>
  </si>
  <si>
    <t>KA2</t>
  </si>
  <si>
    <t>Ceely.D</t>
  </si>
  <si>
    <t>Tesco Stores (Hertfordshire)</t>
  </si>
  <si>
    <t>Tesco</t>
  </si>
  <si>
    <t>2074 Tesco Express Aylestone Lane - Window Poster 850x600 - 2 types</t>
  </si>
  <si>
    <t>2106 Tesco Express Whiteleas Way - Window Poster 850x600 - 2 types</t>
  </si>
  <si>
    <t>2086 Tesco Express Reeds Lane - Window Poster 850x600 - 2 types</t>
  </si>
  <si>
    <t>6426 Tesco Abingdon Fitzharris - CPB - PP036CP/AH003CP</t>
  </si>
  <si>
    <t>Banner - Retail</t>
  </si>
  <si>
    <t>2021 Trials and Adhoc (4800) - Whoosh Ongoing - CPB</t>
  </si>
  <si>
    <t>TFS303 - The Orginal Factory Shop - WK44 - 762 (W) x1016 mm (H) Poster</t>
  </si>
  <si>
    <t>Kitson.N</t>
  </si>
  <si>
    <t>Inspired Thinking Group (ITG) - M&amp;B</t>
  </si>
  <si>
    <t>Harvester</t>
  </si>
  <si>
    <t>MAB8040/75584 HAR/REMOD A Board Polyprop 1200mic - 841x594mm D/S</t>
  </si>
  <si>
    <t>Lightbox Panel</t>
  </si>
  <si>
    <t>2036 Tesco Express Lambs Farm Road   - Window Poster 850x600 - 2 types</t>
  </si>
  <si>
    <t>Herbert.M</t>
  </si>
  <si>
    <t>HH Associates - Asda</t>
  </si>
  <si>
    <t>ASDA</t>
  </si>
  <si>
    <t>E02709713 - GKL WC 03/01/2021 Pallet Wrap - EB Flute - 2 part set - 2 types - Collate and Pack</t>
  </si>
  <si>
    <t>Packing</t>
  </si>
  <si>
    <t>NO MACHINE</t>
  </si>
  <si>
    <t>TFS303 - The Orginal Factory Shop - WK44 - 594 (W) x841 mm (H) Poster</t>
  </si>
  <si>
    <t>2074 Tesco Express Aylestone Lane  - CALL OFFS</t>
  </si>
  <si>
    <t>KA1</t>
  </si>
  <si>
    <t>Bay Media Ltd</t>
  </si>
  <si>
    <t>Unknown</t>
  </si>
  <si>
    <t>KL1335 Brighton ATG -  DS Lamp Post Banners - 2.0m x 0.785m</t>
  </si>
  <si>
    <t>Banner - Outdoor</t>
  </si>
  <si>
    <t>KL1333 Brighton ATG Shrek -  DS Lamp Post Banners - 2.0m x 0.785m</t>
  </si>
  <si>
    <t>2036 Tesco Express Lambs Farm Road   - CALL OFFS</t>
  </si>
  <si>
    <t>2034 Tesco Express Keldholme Lane  - CALL OFFS</t>
  </si>
  <si>
    <t>2086 Tesco Express Reeds Lane - CALL OFFS</t>
  </si>
  <si>
    <t>3488 Tesco York Tadcaster  CPB - PP0037CP</t>
  </si>
  <si>
    <t>Faye Courtney</t>
  </si>
  <si>
    <t>Independent Vetcare Ltd</t>
  </si>
  <si>
    <t>IVC Vets</t>
  </si>
  <si>
    <t>Vetpro FSDU 'Price Change' Shelf Stickers - 2 Sizes - 1750 off</t>
  </si>
  <si>
    <t>Vinyl Sticker</t>
  </si>
  <si>
    <t>TFS303 - The Orginal Factory Shop - WK44 - 762 (W) x508 (H) mm Poster</t>
  </si>
  <si>
    <t>M&amp;B</t>
  </si>
  <si>
    <t>MAB8029/745338 Quiz Night Landscape - Correx - 1200x1690mm</t>
  </si>
  <si>
    <t>Signage</t>
  </si>
  <si>
    <t>2036 Tesco Express Lambs Farm Road    - CPB - 2 types</t>
  </si>
  <si>
    <t>2106 Tesco Express Whiteleas Way  - CALL OFFS</t>
  </si>
  <si>
    <t>2034 Tesco Express Keldholme Lane - CPB - 2 types</t>
  </si>
  <si>
    <t>2086 Tesco Express Reeds Lane - CPB - 2 types</t>
  </si>
  <si>
    <t>TESCO - OVERS CALL OFFS - 18/01/2022 - Click &amp; Collect</t>
  </si>
  <si>
    <t>Inspired Thinking Group (ITG) - SPIRIT</t>
  </si>
  <si>
    <t>Greene King</t>
  </si>
  <si>
    <t>GK3912/40132 FHI Carvery Correx - 1000x1500mm</t>
  </si>
  <si>
    <t>TFS303 - The Orginal Factory Shop - WK44 - Pack &amp; Collate</t>
  </si>
  <si>
    <t>GK3912 - FHI SS22 Carvery - Pack and Collate</t>
  </si>
  <si>
    <t>TFS303 - The Orginal Factory Shop - WK44 - 297 (W) x420 mm (H) Poster (INDIGO)</t>
  </si>
  <si>
    <t>JT100 Brighton Tatoo - Bay Media DS Lamp Post Banners - 2.0m x 0.785m</t>
  </si>
  <si>
    <t>MAB8043/75591 Quiz Night / Double Sided Correx 1690 x 1200</t>
  </si>
  <si>
    <t>House</t>
  </si>
  <si>
    <t>Brockway.L</t>
  </si>
  <si>
    <t>TheSourcer.com Ltd</t>
  </si>
  <si>
    <t>Nordic Spirit</t>
  </si>
  <si>
    <t>Nordic Spirit Bollard Covers - 2 types</t>
  </si>
  <si>
    <t>Bollard cover</t>
  </si>
  <si>
    <t>HH Associates - Iceland</t>
  </si>
  <si>
    <t>Iceland</t>
  </si>
  <si>
    <t>E02705375 -  Iceland - C1P3 - Floor Graphics 940x510mm - BONUSCARDGEN211 - Bonus Card Prices - Floor Vinyl (CORE)</t>
  </si>
  <si>
    <t>Floor Graphic</t>
  </si>
  <si>
    <t>WK48 (2565) Weekly Trade - CPB</t>
  </si>
  <si>
    <t>WK48/49/50 (2566) Express Weekly Trade - CPB New</t>
  </si>
  <si>
    <t>2074 Tesco Express Aylestone Lane  - CPB - 2 types</t>
  </si>
  <si>
    <t>2106 Tesco Express Whiteleas Way  - CPB - 2 types</t>
  </si>
  <si>
    <t>2034 Tesco Express Keldholme Lane - Window Poster 850x600 - 2 types</t>
  </si>
  <si>
    <t>TESCO - OVERS CALL OFFS - 18/01/2022</t>
  </si>
  <si>
    <t>MATAN1</t>
  </si>
  <si>
    <t>19/01/2022 15:21</t>
  </si>
  <si>
    <t>Durst2 IDC - Run 4pass</t>
  </si>
  <si>
    <t>McAree.P</t>
  </si>
  <si>
    <t>No Issues</t>
  </si>
  <si>
    <t>B&amp;Q Ltd</t>
  </si>
  <si>
    <t>B&amp;Q</t>
  </si>
  <si>
    <t>Owen.C</t>
  </si>
  <si>
    <t>19/01/2022 13:30</t>
  </si>
  <si>
    <t>ZUNDXL IDC - Run</t>
  </si>
  <si>
    <t>Osman.K</t>
  </si>
  <si>
    <t>19/01/2022 10:12</t>
  </si>
  <si>
    <t>DurstP5 IDC - Run 2pass Overlap</t>
  </si>
  <si>
    <t>Lewis.C</t>
  </si>
  <si>
    <t>19/01/2022 06:46</t>
  </si>
  <si>
    <t>ZUNDL IDC - Run</t>
  </si>
  <si>
    <t>Bennett.M</t>
  </si>
  <si>
    <t>Wrap</t>
  </si>
  <si>
    <t>19/01/2022 06:26</t>
  </si>
  <si>
    <t>Durst1 IDC - Run 3pass</t>
  </si>
  <si>
    <t>roll no good core damaged to bad have to try sort new roll</t>
  </si>
  <si>
    <t>Asda Stores Ltd</t>
  </si>
  <si>
    <t>Agripa - Fleet - Production</t>
  </si>
  <si>
    <t>Banner - Event</t>
  </si>
  <si>
    <t>19/01/2022 08:39</t>
  </si>
  <si>
    <t>General Point of Sale</t>
  </si>
  <si>
    <t>19/01/2022 07:26</t>
  </si>
  <si>
    <t>19/01/2022 10:14</t>
  </si>
  <si>
    <t>Matan1 IDC - Run 4pass</t>
  </si>
  <si>
    <t>Duance.M</t>
  </si>
  <si>
    <t>ABCDesigns</t>
  </si>
  <si>
    <t>19/01/2022 08:00</t>
  </si>
  <si>
    <t>GS2000 IDC - Run 4colour H</t>
  </si>
  <si>
    <t>Schiazza.C</t>
  </si>
  <si>
    <t>job done</t>
  </si>
  <si>
    <t>Xerox (UK) Limited</t>
  </si>
  <si>
    <t>Morrisons</t>
  </si>
  <si>
    <t>19/01/2022 08:06</t>
  </si>
  <si>
    <t>19/01/2022 13:57</t>
  </si>
  <si>
    <t>done</t>
  </si>
  <si>
    <t>19/01/2022 10:47</t>
  </si>
  <si>
    <t>Latex1 IDC - Run 8pass</t>
  </si>
  <si>
    <t>Pine.L</t>
  </si>
  <si>
    <t>N2O Limited</t>
  </si>
  <si>
    <t>Merchandise Unit</t>
  </si>
  <si>
    <t>19/01/2022 08:22</t>
  </si>
  <si>
    <t>19/01/2022 08:32</t>
  </si>
  <si>
    <t>Latex2 IDC - Run 8pass</t>
  </si>
  <si>
    <t>Inspired Thinking Group (ITG) - Whitbread</t>
  </si>
  <si>
    <t>Whitbread</t>
  </si>
  <si>
    <t>Portable Displays/Structure</t>
  </si>
  <si>
    <t>19/01/2022 08:40</t>
  </si>
  <si>
    <t>19/01/2022 09:58</t>
  </si>
  <si>
    <t>19/01/2022 09:19</t>
  </si>
  <si>
    <t>19/01/2022 11:16</t>
  </si>
  <si>
    <t>HH Associates - Co-op</t>
  </si>
  <si>
    <t>Co-op</t>
  </si>
  <si>
    <t>19/01/2022 09:35</t>
  </si>
  <si>
    <t>19/01/2022 09:55</t>
  </si>
  <si>
    <t>HS125 IDC - Make Ready</t>
  </si>
  <si>
    <t>Gunter.J</t>
  </si>
  <si>
    <t>Ok for production run</t>
  </si>
  <si>
    <t>Tesco (EDI)</t>
  </si>
  <si>
    <t>Safety Signs</t>
  </si>
  <si>
    <t>19/01/2022 10:37</t>
  </si>
  <si>
    <t>HS125 IDC - Run Production</t>
  </si>
  <si>
    <t>Break</t>
  </si>
  <si>
    <t>19/01/2022 10:06</t>
  </si>
  <si>
    <t>19/01/2022 10:19</t>
  </si>
  <si>
    <t>19/01/2022 10:13</t>
  </si>
  <si>
    <t>19/01/2022 10:24</t>
  </si>
  <si>
    <t>wrong ink put i tony sorting out</t>
  </si>
  <si>
    <t>19/01/2022 10:18</t>
  </si>
  <si>
    <t>19/01/2022 10:42</t>
  </si>
  <si>
    <t>19/01/2022 11:35</t>
  </si>
  <si>
    <t>Communisis Print Management SE</t>
  </si>
  <si>
    <t>19/01/2022 11:00</t>
  </si>
  <si>
    <t>19/01/2022 11:45</t>
  </si>
  <si>
    <t>19/01/2022 11:09</t>
  </si>
  <si>
    <t>19/01/2022 11:33</t>
  </si>
  <si>
    <t>19/01/2022 11:56</t>
  </si>
  <si>
    <t>J</t>
  </si>
  <si>
    <t>Inspired Thinking Group (ITG) - KFC</t>
  </si>
  <si>
    <t>KFC</t>
  </si>
  <si>
    <t>19/01/2022 12:14</t>
  </si>
  <si>
    <t>19/01/2022 13:27</t>
  </si>
  <si>
    <t>19/01/2022 12:21</t>
  </si>
  <si>
    <t>19/01/2022 12:36</t>
  </si>
  <si>
    <t>19/01/2022 12:48</t>
  </si>
  <si>
    <t>19/01/2022 14:08</t>
  </si>
  <si>
    <t>19/01/2022 13:07</t>
  </si>
  <si>
    <t>19/01/2022 13:16</t>
  </si>
  <si>
    <t>19/01/2022 14:32</t>
  </si>
  <si>
    <t>Matan1 IDC - Make Ready</t>
  </si>
  <si>
    <t>break</t>
  </si>
  <si>
    <t>19/01/2022 13:50</t>
  </si>
  <si>
    <t>19/01/2022 14:36</t>
  </si>
  <si>
    <t>19/01/2022 15:18</t>
  </si>
  <si>
    <t>Durst1 IDC - Make Ready</t>
  </si>
  <si>
    <t>waiting on files to rip over</t>
  </si>
  <si>
    <t>19/01/2022 14:22</t>
  </si>
  <si>
    <t>19/01/2022 14:33</t>
  </si>
  <si>
    <t>19/01/2022 15:07</t>
  </si>
  <si>
    <t>19/01/2022 14:53</t>
  </si>
  <si>
    <t>19/01/2022 15:31</t>
  </si>
  <si>
    <t>George</t>
  </si>
  <si>
    <t>19/01/2022 15:04</t>
  </si>
  <si>
    <t>19/01/2022 17:49</t>
  </si>
  <si>
    <t>start</t>
  </si>
  <si>
    <t>19/01/2022 17:03</t>
  </si>
  <si>
    <t>stop for maintenance and clean up</t>
  </si>
  <si>
    <t>19/01/2022 15:24</t>
  </si>
  <si>
    <t>19/01/2022 18:16</t>
  </si>
  <si>
    <t>19/01/2022 15:37</t>
  </si>
  <si>
    <t>19/01/2022 15:43</t>
  </si>
  <si>
    <t>Every single banner is a separate job with separate paperwork. Im wasting more time signing jobcards and logging in and out the job than actually cutting,.</t>
  </si>
  <si>
    <t>19/01/2022 15:48</t>
  </si>
  <si>
    <t>as previous, it took me more time to log in and out and sign the jobcard than do the job</t>
  </si>
  <si>
    <t>make ready</t>
  </si>
  <si>
    <t>19/01/2022 15:53</t>
  </si>
  <si>
    <t>19/01/2022 16:27</t>
  </si>
  <si>
    <t>19/01/2022 16:15</t>
  </si>
  <si>
    <t>19/01/2022 17:44</t>
  </si>
  <si>
    <t>AutoMiller IDC - Run</t>
  </si>
  <si>
    <t>Huntley.J</t>
  </si>
  <si>
    <t>Delta Display Ltd</t>
  </si>
  <si>
    <t>Sainsbury's</t>
  </si>
  <si>
    <t>19/01/2022 16:26</t>
  </si>
  <si>
    <t>19/01/2022 16:59</t>
  </si>
  <si>
    <t>19/01/2022 17:04</t>
  </si>
  <si>
    <t>19/01/2022 18:03</t>
  </si>
  <si>
    <t>20/01/2022 05:50</t>
  </si>
  <si>
    <t>Biedulewicz.P</t>
  </si>
  <si>
    <t>19/01/2022 18:05</t>
  </si>
  <si>
    <t>20/01/2022 00:15</t>
  </si>
  <si>
    <t>Belev.P</t>
  </si>
  <si>
    <t>Wegrzyn.K</t>
  </si>
  <si>
    <t>19/01/2022 18:17</t>
  </si>
  <si>
    <t>20/01/2022 00:50</t>
  </si>
  <si>
    <t>Boitchev.N</t>
  </si>
  <si>
    <t>19/01/2022 20:08</t>
  </si>
  <si>
    <t>Matan2 IDC - Make Ready</t>
  </si>
  <si>
    <t>ready to print</t>
  </si>
  <si>
    <t>Augustus Martin</t>
  </si>
  <si>
    <t>Prems</t>
  </si>
  <si>
    <t>20/01/2022 01:53</t>
  </si>
  <si>
    <t>Matan2 IDC - Run 4pass</t>
  </si>
  <si>
    <t>19/01/2022 22:38</t>
  </si>
  <si>
    <t>19/01/2022 22:39</t>
  </si>
  <si>
    <t>19/01/2022 23:15</t>
  </si>
  <si>
    <t>Inspired Thinking Group (ITG) - Halfords</t>
  </si>
  <si>
    <t>Halfords</t>
  </si>
  <si>
    <t>19/01/2022 23:53</t>
  </si>
  <si>
    <t>20/01/2022 05:43</t>
  </si>
  <si>
    <t>Ending Ssift and Ran out of Material</t>
  </si>
  <si>
    <t>20/01/2022 00:46</t>
  </si>
  <si>
    <t>20/01/2022 03:58</t>
  </si>
  <si>
    <t>Durst2 IDC - Run 2pass</t>
  </si>
  <si>
    <t>Change Print Quality</t>
  </si>
  <si>
    <t>Marks &amp; Spencer PLC</t>
  </si>
  <si>
    <t>Marks &amp; Spencer</t>
  </si>
  <si>
    <t>20/01/2022 01:13</t>
  </si>
  <si>
    <t>cant find job card</t>
  </si>
  <si>
    <t>20/01/2022 03:00</t>
  </si>
  <si>
    <t>20/01/2022 05:14</t>
  </si>
  <si>
    <t>end of shift maintenance</t>
  </si>
  <si>
    <t>20/01/2022 03:30</t>
  </si>
  <si>
    <t>20/01/2022 05:44</t>
  </si>
  <si>
    <t>20/01/2022 05:47</t>
  </si>
  <si>
    <t>Ending Shift</t>
  </si>
  <si>
    <t>20/01/2022 05:29</t>
  </si>
  <si>
    <t>end of shift</t>
  </si>
  <si>
    <t>20/01/2022 05:55</t>
  </si>
  <si>
    <t>AutoMiller IDC - No Work</t>
  </si>
  <si>
    <t>AutoMiller IDC - Maintenance</t>
  </si>
  <si>
    <t>AutoMiller IDC - Not Planned</t>
  </si>
  <si>
    <t>Durst1 IDC - Material Issue</t>
  </si>
  <si>
    <t>Durst1 IDC - Break</t>
  </si>
  <si>
    <t>Durst1 IDC - Maintenance</t>
  </si>
  <si>
    <t>Durst2 IDC - Maintenance</t>
  </si>
  <si>
    <t>Durst2 IDC - Make ready</t>
  </si>
  <si>
    <t>DurstP5 IDC - Make Ready</t>
  </si>
  <si>
    <t>DurstP5 IDC - No Work</t>
  </si>
  <si>
    <t>DurstP5 IDC - Maintenance</t>
  </si>
  <si>
    <t>DurstP5 IDC - Not Planned</t>
  </si>
  <si>
    <t>GS2000 IDC - Not Planned</t>
  </si>
  <si>
    <t>GS2000 IDC - Planned But No Operator</t>
  </si>
  <si>
    <t>GS2000 IDC - Break</t>
  </si>
  <si>
    <t>Durst3 IDC - Maintenance</t>
  </si>
  <si>
    <t>HS125 IDC - Planned But No Operator</t>
  </si>
  <si>
    <t>HS125 IDC - Break</t>
  </si>
  <si>
    <t>job paused,for reprint of job The Sourcer 348971</t>
  </si>
  <si>
    <t>HS125 IDC - No Work</t>
  </si>
  <si>
    <t>Latex1 IDC - Not Planned</t>
  </si>
  <si>
    <t>Latex1 IDC - No Work</t>
  </si>
  <si>
    <t>Latex2 IDC - Not Planned</t>
  </si>
  <si>
    <t>Latex2 IDC - Make Ready</t>
  </si>
  <si>
    <t>Latex2 IDC - No Work</t>
  </si>
  <si>
    <t>Indigo IDC - Not Planned</t>
  </si>
  <si>
    <t>Indigo IDC - No Work</t>
  </si>
  <si>
    <t>Matan1 IDC - Breakdown</t>
  </si>
  <si>
    <t>Matan1 IDC - Maintenance</t>
  </si>
  <si>
    <t>Matan1 IDC - Job Card Error</t>
  </si>
  <si>
    <t>Matan1 IDC - No Work</t>
  </si>
  <si>
    <t>Matan2 IDC - No Work</t>
  </si>
  <si>
    <t>all units removed and clean also all demist fans and machine it self operators not doing daily maintence all fillters to fans changed</t>
  </si>
  <si>
    <t>Matan2 IDC - Repair In Progress</t>
  </si>
  <si>
    <t>Matan2 IDC - Maintenance</t>
  </si>
  <si>
    <t>PlastGrommet IDC - Breakdown</t>
  </si>
  <si>
    <t>PlastGrommet IDC - Not Planned</t>
  </si>
  <si>
    <t>ZUNDL IDC - No Work</t>
  </si>
  <si>
    <t>ZUNDL IDC - Maintenance</t>
  </si>
  <si>
    <t>ZUNDXL IDC - No Work</t>
  </si>
  <si>
    <t>ZUNDXL IDC - Maintenance</t>
  </si>
  <si>
    <t>ZUNDXL IDC - Not Planned</t>
  </si>
  <si>
    <t>Gardners</t>
  </si>
  <si>
    <t>No Customer</t>
  </si>
  <si>
    <t>No Product</t>
  </si>
  <si>
    <t>The Sourcer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</si>
</sst>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_(&quot;£&quot;* #,##0_);_(&quot;£&quot;* \(#,##0\);_(&quot;£&quot;* &quot;-&quot;??_);_(@_)"/>
    <numFmt numFmtId="167" formatCode="#,##0.0"/>
    <numFmt numFmtId="168" formatCode="[$-F400]h:mm:ss\ AM/PM"/>
    <numFmt numFmtId="169" formatCode="&quot;£&quot;#,##0"/>
  </numFmts>
  <fonts count="28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000000"/>
      <name val="Tahoma"/>
      <family val="2"/>
    </font>
    <font>
      <b/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6B8B7"/>
        <bgColor rgb="FF000000"/>
      </patternFill>
    </fill>
  </fills>
  <borders count="7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/>
      <top/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/>
      <diagonal/>
    </border>
    <border>
      <left style="medium">
        <color rgb="FFFF0000"/>
      </left>
      <right/>
      <top style="medium">
        <color rgb="FFFF0000"/>
      </top>
      <bottom style="thin">
        <color theme="2" tint="-9.9948118533890809E-2"/>
      </bottom>
      <diagonal/>
    </border>
    <border>
      <left/>
      <right/>
      <top style="medium">
        <color rgb="FFFF0000"/>
      </top>
      <bottom style="thin">
        <color theme="2" tint="-9.9948118533890809E-2"/>
      </bottom>
      <diagonal/>
    </border>
    <border>
      <left/>
      <right style="medium">
        <color rgb="FFFF0000"/>
      </right>
      <top style="medium">
        <color rgb="FFFF0000"/>
      </top>
      <bottom style="thin">
        <color theme="2" tint="-9.9948118533890809E-2"/>
      </bottom>
      <diagonal/>
    </border>
    <border>
      <left style="medium">
        <color rgb="FFFF0000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rgb="FFFF0000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rgb="FFFF0000"/>
      </left>
      <right/>
      <top style="thin">
        <color theme="2" tint="-9.9948118533890809E-2"/>
      </top>
      <bottom style="medium">
        <color rgb="FFFF0000"/>
      </bottom>
      <diagonal/>
    </border>
    <border>
      <left/>
      <right/>
      <top style="thin">
        <color theme="2" tint="-9.9948118533890809E-2"/>
      </top>
      <bottom style="medium">
        <color rgb="FFFF0000"/>
      </bottom>
      <diagonal/>
    </border>
    <border>
      <left/>
      <right style="medium">
        <color rgb="FFFF0000"/>
      </right>
      <top style="thin">
        <color theme="2" tint="-9.9948118533890809E-2"/>
      </top>
      <bottom style="medium">
        <color rgb="FFFF0000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thin">
        <color theme="1"/>
      </bottom>
      <diagonal/>
    </border>
    <border>
      <left style="medium">
        <color rgb="FFFF0000"/>
      </left>
      <right style="thin">
        <color indexed="64"/>
      </right>
      <top style="thin">
        <color theme="1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rgb="FFFF0000"/>
      </bottom>
      <diagonal/>
    </border>
    <border>
      <left style="thin">
        <color indexed="64"/>
      </left>
      <right/>
      <top style="thin">
        <color theme="1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5" fillId="4" borderId="3" applyNumberFormat="0" applyAlignment="0" applyProtection="0"/>
    <xf numFmtId="0" fontId="6" fillId="5" borderId="3" applyNumberFormat="0" applyAlignment="0" applyProtection="0"/>
  </cellStyleXfs>
  <cellXfs count="28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0" xfId="0" applyFill="1"/>
    <xf numFmtId="1" fontId="0" fillId="3" borderId="0" xfId="0" applyNumberFormat="1" applyFill="1"/>
    <xf numFmtId="0" fontId="1" fillId="3" borderId="0" xfId="0" applyFont="1" applyFill="1" applyAlignment="1">
      <alignment vertical="center"/>
    </xf>
    <xf numFmtId="2" fontId="1" fillId="3" borderId="0" xfId="0" applyNumberFormat="1" applyFont="1" applyFill="1" applyAlignment="1">
      <alignment vertical="center"/>
    </xf>
    <xf numFmtId="14" fontId="1" fillId="3" borderId="0" xfId="2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1" fontId="7" fillId="3" borderId="0" xfId="3" applyNumberFormat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vertical="center"/>
    </xf>
    <xf numFmtId="3" fontId="3" fillId="7" borderId="4" xfId="0" applyNumberFormat="1" applyFont="1" applyFill="1" applyBorder="1" applyAlignment="1">
      <alignment vertical="center"/>
    </xf>
    <xf numFmtId="0" fontId="2" fillId="8" borderId="4" xfId="0" applyFont="1" applyFill="1" applyBorder="1" applyAlignment="1">
      <alignment horizontal="center" vertical="center" wrapText="1"/>
    </xf>
    <xf numFmtId="164" fontId="1" fillId="8" borderId="4" xfId="1" applyNumberFormat="1" applyFont="1" applyFill="1" applyBorder="1" applyAlignment="1">
      <alignment vertical="center"/>
    </xf>
    <xf numFmtId="164" fontId="3" fillId="8" borderId="4" xfId="1" applyNumberFormat="1" applyFont="1" applyFill="1" applyBorder="1" applyAlignment="1">
      <alignment vertical="center"/>
    </xf>
    <xf numFmtId="3" fontId="1" fillId="8" borderId="4" xfId="1" applyNumberFormat="1" applyFont="1" applyFill="1" applyBorder="1" applyAlignment="1">
      <alignment vertical="center"/>
    </xf>
    <xf numFmtId="3" fontId="3" fillId="8" borderId="4" xfId="0" applyNumberFormat="1" applyFont="1" applyFill="1" applyBorder="1" applyAlignment="1">
      <alignment vertical="center"/>
    </xf>
    <xf numFmtId="0" fontId="2" fillId="9" borderId="4" xfId="0" applyFont="1" applyFill="1" applyBorder="1" applyAlignment="1">
      <alignment horizontal="center" vertical="center" wrapText="1"/>
    </xf>
    <xf numFmtId="2" fontId="2" fillId="9" borderId="4" xfId="0" applyNumberFormat="1" applyFont="1" applyFill="1" applyBorder="1" applyAlignment="1">
      <alignment horizontal="center" vertical="center" wrapText="1"/>
    </xf>
    <xf numFmtId="3" fontId="1" fillId="9" borderId="4" xfId="1" applyNumberFormat="1" applyFont="1" applyFill="1" applyBorder="1" applyAlignment="1">
      <alignment vertical="center"/>
    </xf>
    <xf numFmtId="3" fontId="3" fillId="9" borderId="4" xfId="0" applyNumberFormat="1" applyFont="1" applyFill="1" applyBorder="1" applyAlignment="1">
      <alignment vertical="center"/>
    </xf>
    <xf numFmtId="9" fontId="3" fillId="0" borderId="4" xfId="1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165" fontId="1" fillId="0" borderId="4" xfId="1" applyNumberFormat="1" applyFont="1" applyFill="1" applyBorder="1" applyAlignment="1">
      <alignment vertical="center"/>
    </xf>
    <xf numFmtId="165" fontId="1" fillId="0" borderId="4" xfId="0" applyNumberFormat="1" applyFont="1" applyFill="1" applyBorder="1" applyAlignment="1">
      <alignment vertical="center"/>
    </xf>
    <xf numFmtId="165" fontId="1" fillId="0" borderId="5" xfId="0" applyNumberFormat="1" applyFont="1" applyFill="1" applyBorder="1" applyAlignment="1">
      <alignment vertical="center"/>
    </xf>
    <xf numFmtId="166" fontId="1" fillId="0" borderId="5" xfId="0" applyNumberFormat="1" applyFont="1" applyFill="1" applyBorder="1" applyAlignment="1">
      <alignment vertical="center"/>
    </xf>
    <xf numFmtId="166" fontId="3" fillId="0" borderId="5" xfId="0" applyNumberFormat="1" applyFont="1" applyFill="1" applyBorder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0" fillId="3" borderId="0" xfId="0" applyFill="1" applyAlignment="1">
      <alignment horizontal="left"/>
    </xf>
    <xf numFmtId="0" fontId="10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22" fontId="2" fillId="0" borderId="0" xfId="0" applyNumberFormat="1" applyFont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3" fillId="0" borderId="0" xfId="0" applyFont="1"/>
    <xf numFmtId="0" fontId="0" fillId="3" borderId="1" xfId="0" applyFont="1" applyFill="1" applyBorder="1"/>
    <xf numFmtId="1" fontId="2" fillId="3" borderId="1" xfId="0" applyNumberFormat="1" applyFont="1" applyFill="1" applyBorder="1" applyAlignment="1">
      <alignment horizontal="right"/>
    </xf>
    <xf numFmtId="0" fontId="2" fillId="3" borderId="2" xfId="0" applyFont="1" applyFill="1" applyBorder="1"/>
    <xf numFmtId="0" fontId="0" fillId="3" borderId="2" xfId="0" applyFont="1" applyFill="1" applyBorder="1"/>
    <xf numFmtId="0" fontId="0" fillId="3" borderId="0" xfId="0" applyFont="1" applyFill="1"/>
    <xf numFmtId="1" fontId="0" fillId="3" borderId="0" xfId="0" applyNumberFormat="1" applyFont="1" applyFill="1"/>
    <xf numFmtId="0" fontId="2" fillId="3" borderId="0" xfId="0" applyFont="1" applyFill="1"/>
    <xf numFmtId="0" fontId="16" fillId="3" borderId="2" xfId="0" applyFont="1" applyFill="1" applyBorder="1"/>
    <xf numFmtId="1" fontId="16" fillId="3" borderId="2" xfId="0" applyNumberFormat="1" applyFont="1" applyFill="1" applyBorder="1" applyAlignment="1">
      <alignment horizontal="left"/>
    </xf>
    <xf numFmtId="14" fontId="2" fillId="3" borderId="1" xfId="0" applyNumberFormat="1" applyFont="1" applyFill="1" applyBorder="1"/>
    <xf numFmtId="168" fontId="2" fillId="2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2" fontId="0" fillId="3" borderId="0" xfId="0" applyNumberFormat="1" applyFill="1"/>
    <xf numFmtId="165" fontId="1" fillId="3" borderId="0" xfId="0" applyNumberFormat="1" applyFont="1" applyFill="1" applyAlignment="1">
      <alignment vertical="center"/>
    </xf>
    <xf numFmtId="22" fontId="3" fillId="0" borderId="0" xfId="0" applyNumberFormat="1" applyFont="1" applyAlignment="1">
      <alignment horizontal="center"/>
    </xf>
    <xf numFmtId="22" fontId="3" fillId="0" borderId="0" xfId="0" applyNumberFormat="1" applyFont="1" applyFill="1" applyAlignment="1">
      <alignment horizontal="center"/>
    </xf>
    <xf numFmtId="22" fontId="1" fillId="0" borderId="0" xfId="0" applyNumberFormat="1" applyFont="1"/>
    <xf numFmtId="22" fontId="1" fillId="0" borderId="0" xfId="0" applyNumberFormat="1" applyFont="1" applyFill="1"/>
    <xf numFmtId="9" fontId="0" fillId="3" borderId="0" xfId="1" applyFont="1" applyFill="1"/>
    <xf numFmtId="0" fontId="17" fillId="11" borderId="0" xfId="0" applyFont="1" applyFill="1" applyAlignment="1">
      <alignment horizontal="left" vertical="center"/>
    </xf>
    <xf numFmtId="0" fontId="2" fillId="11" borderId="0" xfId="0" applyFont="1" applyFill="1"/>
    <xf numFmtId="0" fontId="18" fillId="11" borderId="0" xfId="0" applyFont="1" applyFill="1" applyAlignment="1">
      <alignment vertical="center"/>
    </xf>
    <xf numFmtId="0" fontId="19" fillId="11" borderId="0" xfId="0" applyFont="1" applyFill="1" applyAlignment="1">
      <alignment horizontal="center" vertical="center"/>
    </xf>
    <xf numFmtId="0" fontId="20" fillId="11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17" fillId="3" borderId="0" xfId="0" applyFont="1" applyFill="1" applyAlignment="1">
      <alignment horizontal="left" vertical="center"/>
    </xf>
    <xf numFmtId="0" fontId="1" fillId="12" borderId="0" xfId="0" applyFont="1" applyFill="1" applyAlignment="1">
      <alignment vertical="center"/>
    </xf>
    <xf numFmtId="1" fontId="16" fillId="3" borderId="0" xfId="0" applyNumberFormat="1" applyFont="1" applyFill="1" applyBorder="1" applyAlignment="1">
      <alignment horizontal="left"/>
    </xf>
    <xf numFmtId="0" fontId="21" fillId="7" borderId="4" xfId="0" applyFont="1" applyFill="1" applyBorder="1" applyAlignment="1">
      <alignment horizontal="center" vertical="center" wrapText="1"/>
    </xf>
    <xf numFmtId="0" fontId="21" fillId="10" borderId="4" xfId="0" applyFont="1" applyFill="1" applyBorder="1" applyAlignment="1">
      <alignment horizontal="center" vertical="center" wrapText="1"/>
    </xf>
    <xf numFmtId="0" fontId="21" fillId="9" borderId="4" xfId="0" applyFont="1" applyFill="1" applyBorder="1" applyAlignment="1">
      <alignment horizontal="center" vertical="center" wrapText="1"/>
    </xf>
    <xf numFmtId="0" fontId="21" fillId="8" borderId="4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21" fillId="9" borderId="5" xfId="0" applyFont="1" applyFill="1" applyBorder="1" applyAlignment="1">
      <alignment horizontal="center" vertical="center" wrapText="1"/>
    </xf>
    <xf numFmtId="0" fontId="21" fillId="7" borderId="9" xfId="0" applyFont="1" applyFill="1" applyBorder="1" applyAlignment="1">
      <alignment horizontal="center" vertical="center" wrapText="1"/>
    </xf>
    <xf numFmtId="0" fontId="21" fillId="10" borderId="1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165" fontId="1" fillId="0" borderId="17" xfId="0" applyNumberFormat="1" applyFont="1" applyFill="1" applyBorder="1" applyAlignment="1">
      <alignment vertical="center"/>
    </xf>
    <xf numFmtId="165" fontId="1" fillId="0" borderId="18" xfId="1" applyNumberFormat="1" applyFont="1" applyFill="1" applyBorder="1" applyAlignment="1">
      <alignment vertical="center"/>
    </xf>
    <xf numFmtId="167" fontId="3" fillId="0" borderId="19" xfId="0" applyNumberFormat="1" applyFont="1" applyFill="1" applyBorder="1" applyAlignment="1">
      <alignment vertical="center"/>
    </xf>
    <xf numFmtId="167" fontId="3" fillId="0" borderId="20" xfId="0" applyNumberFormat="1" applyFont="1" applyFill="1" applyBorder="1" applyAlignment="1">
      <alignment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165" fontId="1" fillId="0" borderId="18" xfId="0" applyNumberFormat="1" applyFont="1" applyFill="1" applyBorder="1" applyAlignment="1">
      <alignment vertical="center"/>
    </xf>
    <xf numFmtId="167" fontId="3" fillId="0" borderId="21" xfId="0" applyNumberFormat="1" applyFont="1" applyFill="1" applyBorder="1" applyAlignment="1">
      <alignment vertical="center"/>
    </xf>
    <xf numFmtId="167" fontId="3" fillId="0" borderId="22" xfId="0" applyNumberFormat="1" applyFont="1" applyFill="1" applyBorder="1" applyAlignment="1">
      <alignment vertical="center"/>
    </xf>
    <xf numFmtId="167" fontId="3" fillId="0" borderId="23" xfId="0" applyNumberFormat="1" applyFont="1" applyFill="1" applyBorder="1" applyAlignment="1">
      <alignment vertical="center"/>
    </xf>
    <xf numFmtId="164" fontId="1" fillId="9" borderId="5" xfId="1" applyNumberFormat="1" applyFont="1" applyFill="1" applyBorder="1" applyAlignment="1">
      <alignment vertical="center"/>
    </xf>
    <xf numFmtId="0" fontId="2" fillId="7" borderId="12" xfId="0" applyFont="1" applyFill="1" applyBorder="1" applyAlignment="1">
      <alignment horizontal="center" vertical="center" wrapText="1"/>
    </xf>
    <xf numFmtId="164" fontId="3" fillId="7" borderId="13" xfId="1" applyNumberFormat="1" applyFont="1" applyFill="1" applyBorder="1" applyAlignment="1">
      <alignment vertical="center"/>
    </xf>
    <xf numFmtId="164" fontId="1" fillId="7" borderId="29" xfId="1" applyNumberFormat="1" applyFont="1" applyFill="1" applyBorder="1" applyAlignment="1">
      <alignment vertical="center"/>
    </xf>
    <xf numFmtId="164" fontId="1" fillId="7" borderId="31" xfId="1" applyNumberFormat="1" applyFont="1" applyFill="1" applyBorder="1" applyAlignment="1">
      <alignment vertical="center"/>
    </xf>
    <xf numFmtId="165" fontId="1" fillId="0" borderId="27" xfId="0" applyNumberFormat="1" applyFont="1" applyFill="1" applyBorder="1" applyAlignment="1">
      <alignment vertical="center"/>
    </xf>
    <xf numFmtId="165" fontId="1" fillId="0" borderId="33" xfId="1" applyNumberFormat="1" applyFont="1" applyFill="1" applyBorder="1" applyAlignment="1">
      <alignment vertical="center"/>
    </xf>
    <xf numFmtId="165" fontId="1" fillId="0" borderId="28" xfId="1" applyNumberFormat="1" applyFont="1" applyFill="1" applyBorder="1" applyAlignment="1">
      <alignment vertical="center"/>
    </xf>
    <xf numFmtId="165" fontId="1" fillId="0" borderId="29" xfId="0" applyNumberFormat="1" applyFont="1" applyFill="1" applyBorder="1" applyAlignment="1">
      <alignment vertical="center"/>
    </xf>
    <xf numFmtId="165" fontId="1" fillId="0" borderId="30" xfId="1" applyNumberFormat="1" applyFont="1" applyFill="1" applyBorder="1" applyAlignment="1">
      <alignment vertical="center"/>
    </xf>
    <xf numFmtId="165" fontId="1" fillId="0" borderId="31" xfId="0" applyNumberFormat="1" applyFont="1" applyFill="1" applyBorder="1" applyAlignment="1">
      <alignment vertical="center"/>
    </xf>
    <xf numFmtId="165" fontId="1" fillId="0" borderId="34" xfId="1" applyNumberFormat="1" applyFont="1" applyFill="1" applyBorder="1" applyAlignment="1">
      <alignment vertical="center"/>
    </xf>
    <xf numFmtId="165" fontId="1" fillId="0" borderId="32" xfId="1" applyNumberFormat="1" applyFont="1" applyFill="1" applyBorder="1" applyAlignment="1">
      <alignment vertical="center"/>
    </xf>
    <xf numFmtId="0" fontId="2" fillId="3" borderId="35" xfId="0" applyFont="1" applyFill="1" applyBorder="1"/>
    <xf numFmtId="0" fontId="0" fillId="3" borderId="35" xfId="0" applyFont="1" applyFill="1" applyBorder="1"/>
    <xf numFmtId="0" fontId="0" fillId="3" borderId="36" xfId="0" applyFont="1" applyFill="1" applyBorder="1"/>
    <xf numFmtId="0" fontId="2" fillId="3" borderId="37" xfId="0" applyFont="1" applyFill="1" applyBorder="1"/>
    <xf numFmtId="0" fontId="0" fillId="3" borderId="38" xfId="0" applyFont="1" applyFill="1" applyBorder="1"/>
    <xf numFmtId="0" fontId="2" fillId="3" borderId="40" xfId="0" applyFont="1" applyFill="1" applyBorder="1"/>
    <xf numFmtId="0" fontId="2" fillId="3" borderId="42" xfId="0" applyFont="1" applyFill="1" applyBorder="1"/>
    <xf numFmtId="0" fontId="0" fillId="3" borderId="43" xfId="0" applyFont="1" applyFill="1" applyBorder="1"/>
    <xf numFmtId="0" fontId="0" fillId="7" borderId="4" xfId="0" applyFont="1" applyFill="1" applyBorder="1" applyAlignment="1">
      <alignment horizontal="center" vertical="center"/>
    </xf>
    <xf numFmtId="1" fontId="0" fillId="10" borderId="4" xfId="0" applyNumberFormat="1" applyFont="1" applyFill="1" applyBorder="1" applyAlignment="1">
      <alignment horizontal="center" vertical="center"/>
    </xf>
    <xf numFmtId="3" fontId="0" fillId="9" borderId="4" xfId="0" applyNumberFormat="1" applyFont="1" applyFill="1" applyBorder="1" applyAlignment="1">
      <alignment horizontal="center" vertical="center"/>
    </xf>
    <xf numFmtId="3" fontId="0" fillId="8" borderId="4" xfId="0" applyNumberFormat="1" applyFont="1" applyFill="1" applyBorder="1" applyAlignment="1">
      <alignment horizontal="center" vertical="center"/>
    </xf>
    <xf numFmtId="9" fontId="0" fillId="3" borderId="4" xfId="0" applyNumberFormat="1" applyFont="1" applyFill="1" applyBorder="1" applyAlignment="1">
      <alignment horizontal="center" vertical="center"/>
    </xf>
    <xf numFmtId="165" fontId="2" fillId="12" borderId="11" xfId="0" applyNumberFormat="1" applyFont="1" applyFill="1" applyBorder="1" applyAlignment="1">
      <alignment horizontal="center" vertical="center" wrapText="1"/>
    </xf>
    <xf numFmtId="165" fontId="1" fillId="12" borderId="11" xfId="0" applyNumberFormat="1" applyFont="1" applyFill="1" applyBorder="1" applyAlignment="1">
      <alignment vertical="center"/>
    </xf>
    <xf numFmtId="0" fontId="1" fillId="1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0" fillId="7" borderId="6" xfId="1" applyFont="1" applyFill="1" applyBorder="1" applyAlignment="1">
      <alignment horizontal="center" vertical="center"/>
    </xf>
    <xf numFmtId="9" fontId="0" fillId="10" borderId="7" xfId="1" applyFont="1" applyFill="1" applyBorder="1" applyAlignment="1">
      <alignment horizontal="center" vertical="center"/>
    </xf>
    <xf numFmtId="9" fontId="0" fillId="9" borderId="5" xfId="1" applyFont="1" applyFill="1" applyBorder="1" applyAlignment="1">
      <alignment horizontal="center" vertical="center"/>
    </xf>
    <xf numFmtId="9" fontId="0" fillId="8" borderId="4" xfId="1" applyFont="1" applyFill="1" applyBorder="1" applyAlignment="1">
      <alignment horizontal="center" vertical="center"/>
    </xf>
    <xf numFmtId="169" fontId="0" fillId="3" borderId="4" xfId="0" applyNumberFormat="1" applyFont="1" applyFill="1" applyBorder="1" applyAlignment="1">
      <alignment horizontal="center" vertical="center"/>
    </xf>
    <xf numFmtId="165" fontId="0" fillId="3" borderId="39" xfId="0" applyNumberFormat="1" applyFont="1" applyFill="1" applyBorder="1"/>
    <xf numFmtId="165" fontId="0" fillId="3" borderId="41" xfId="0" applyNumberFormat="1" applyFont="1" applyFill="1" applyBorder="1"/>
    <xf numFmtId="165" fontId="0" fillId="3" borderId="44" xfId="0" applyNumberFormat="1" applyFont="1" applyFill="1" applyBorder="1"/>
    <xf numFmtId="165" fontId="0" fillId="3" borderId="35" xfId="0" applyNumberFormat="1" applyFont="1" applyFill="1" applyBorder="1"/>
    <xf numFmtId="165" fontId="0" fillId="3" borderId="2" xfId="0" applyNumberFormat="1" applyFont="1" applyFill="1" applyBorder="1"/>
    <xf numFmtId="165" fontId="16" fillId="3" borderId="2" xfId="0" applyNumberFormat="1" applyFont="1" applyFill="1" applyBorder="1" applyAlignment="1">
      <alignment horizontal="left"/>
    </xf>
    <xf numFmtId="165" fontId="15" fillId="3" borderId="0" xfId="0" applyNumberFormat="1" applyFont="1" applyFill="1" applyAlignment="1">
      <alignment horizontal="right"/>
    </xf>
    <xf numFmtId="2" fontId="0" fillId="3" borderId="0" xfId="0" applyNumberFormat="1" applyFont="1" applyFill="1"/>
    <xf numFmtId="2" fontId="2" fillId="0" borderId="0" xfId="0" applyNumberFormat="1" applyFont="1" applyAlignment="1">
      <alignment horizontal="center" vertical="center" wrapText="1"/>
    </xf>
    <xf numFmtId="165" fontId="15" fillId="3" borderId="2" xfId="0" applyNumberFormat="1" applyFont="1" applyFill="1" applyBorder="1"/>
    <xf numFmtId="2" fontId="20" fillId="11" borderId="0" xfId="0" applyNumberFormat="1" applyFont="1" applyFill="1" applyAlignment="1">
      <alignment vertical="center"/>
    </xf>
    <xf numFmtId="2" fontId="17" fillId="11" borderId="0" xfId="0" applyNumberFormat="1" applyFont="1" applyFill="1" applyAlignment="1">
      <alignment horizontal="left" vertical="center"/>
    </xf>
    <xf numFmtId="2" fontId="2" fillId="11" borderId="0" xfId="0" applyNumberFormat="1" applyFont="1" applyFill="1"/>
    <xf numFmtId="0" fontId="1" fillId="12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/>
    </xf>
    <xf numFmtId="14" fontId="1" fillId="6" borderId="8" xfId="2" applyNumberFormat="1" applyFont="1" applyFill="1" applyBorder="1" applyAlignment="1">
      <alignment vertical="center"/>
    </xf>
    <xf numFmtId="14" fontId="1" fillId="6" borderId="5" xfId="2" applyNumberFormat="1" applyFont="1" applyFill="1" applyBorder="1" applyAlignment="1">
      <alignment vertical="center"/>
    </xf>
    <xf numFmtId="0" fontId="1" fillId="6" borderId="11" xfId="0" applyFont="1" applyFill="1" applyBorder="1" applyAlignment="1">
      <alignment horizontal="center" vertical="center"/>
    </xf>
    <xf numFmtId="0" fontId="0" fillId="2" borderId="0" xfId="0" applyNumberFormat="1" applyFont="1" applyFill="1" applyAlignment="1">
      <alignment horizontal="left" vertical="top"/>
    </xf>
    <xf numFmtId="2" fontId="0" fillId="2" borderId="0" xfId="0" applyNumberFormat="1" applyFont="1" applyFill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2" fontId="0" fillId="2" borderId="0" xfId="0" applyNumberFormat="1" applyFill="1" applyAlignment="1">
      <alignment horizontal="left" vertical="top"/>
    </xf>
    <xf numFmtId="168" fontId="0" fillId="2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 vertical="top"/>
    </xf>
    <xf numFmtId="22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4" fontId="2" fillId="3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9" fillId="13" borderId="4" xfId="0" applyFont="1" applyFill="1" applyBorder="1" applyAlignment="1">
      <alignment horizontal="center" vertical="center" wrapText="1"/>
    </xf>
    <xf numFmtId="0" fontId="8" fillId="13" borderId="4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vertical="center"/>
    </xf>
    <xf numFmtId="9" fontId="9" fillId="13" borderId="4" xfId="1" applyFont="1" applyFill="1" applyBorder="1" applyAlignment="1">
      <alignment vertical="center"/>
    </xf>
    <xf numFmtId="9" fontId="9" fillId="13" borderId="8" xfId="1" applyFont="1" applyFill="1" applyBorder="1" applyAlignment="1">
      <alignment vertical="center"/>
    </xf>
    <xf numFmtId="0" fontId="2" fillId="14" borderId="12" xfId="0" applyFont="1" applyFill="1" applyBorder="1" applyAlignment="1">
      <alignment horizontal="center" vertical="center" wrapText="1"/>
    </xf>
    <xf numFmtId="164" fontId="1" fillId="14" borderId="30" xfId="1" applyNumberFormat="1" applyFont="1" applyFill="1" applyBorder="1" applyAlignment="1">
      <alignment vertical="center"/>
    </xf>
    <xf numFmtId="164" fontId="1" fillId="14" borderId="32" xfId="1" applyNumberFormat="1" applyFont="1" applyFill="1" applyBorder="1" applyAlignment="1">
      <alignment vertical="center"/>
    </xf>
    <xf numFmtId="164" fontId="3" fillId="14" borderId="13" xfId="1" applyNumberFormat="1" applyFont="1" applyFill="1" applyBorder="1" applyAlignment="1">
      <alignment vertical="center"/>
    </xf>
    <xf numFmtId="0" fontId="2" fillId="14" borderId="4" xfId="0" applyFont="1" applyFill="1" applyBorder="1" applyAlignment="1">
      <alignment horizontal="center" vertical="center" wrapText="1"/>
    </xf>
    <xf numFmtId="1" fontId="1" fillId="14" borderId="4" xfId="0" applyNumberFormat="1" applyFont="1" applyFill="1" applyBorder="1" applyAlignment="1">
      <alignment vertical="center"/>
    </xf>
    <xf numFmtId="3" fontId="3" fillId="14" borderId="4" xfId="0" applyNumberFormat="1" applyFont="1" applyFill="1" applyBorder="1" applyAlignment="1">
      <alignment vertical="center"/>
    </xf>
    <xf numFmtId="165" fontId="1" fillId="12" borderId="0" xfId="0" applyNumberFormat="1" applyFont="1" applyFill="1" applyBorder="1" applyAlignment="1">
      <alignment vertical="center" wrapText="1"/>
    </xf>
    <xf numFmtId="1" fontId="1" fillId="12" borderId="1" xfId="0" applyNumberFormat="1" applyFont="1" applyFill="1" applyBorder="1" applyAlignment="1">
      <alignment horizontal="left" vertical="center"/>
    </xf>
    <xf numFmtId="3" fontId="1" fillId="12" borderId="0" xfId="0" applyNumberFormat="1" applyFont="1" applyFill="1" applyAlignment="1">
      <alignment horizontal="left" vertical="center"/>
    </xf>
    <xf numFmtId="0" fontId="2" fillId="0" borderId="48" xfId="0" applyFont="1" applyFill="1" applyBorder="1" applyAlignment="1">
      <alignment horizontal="center" vertical="center" wrapText="1"/>
    </xf>
    <xf numFmtId="167" fontId="3" fillId="0" borderId="49" xfId="0" applyNumberFormat="1" applyFont="1" applyFill="1" applyBorder="1" applyAlignment="1">
      <alignment vertical="center"/>
    </xf>
    <xf numFmtId="167" fontId="3" fillId="0" borderId="4" xfId="0" applyNumberFormat="1" applyFont="1" applyFill="1" applyBorder="1" applyAlignment="1">
      <alignment vertical="center"/>
    </xf>
    <xf numFmtId="167" fontId="3" fillId="0" borderId="18" xfId="0" applyNumberFormat="1" applyFont="1" applyFill="1" applyBorder="1" applyAlignment="1">
      <alignment vertical="center"/>
    </xf>
    <xf numFmtId="167" fontId="3" fillId="0" borderId="5" xfId="0" applyNumberFormat="1" applyFont="1" applyFill="1" applyBorder="1" applyAlignment="1">
      <alignment vertical="center"/>
    </xf>
    <xf numFmtId="167" fontId="3" fillId="0" borderId="54" xfId="0" applyNumberFormat="1" applyFont="1" applyFill="1" applyBorder="1" applyAlignment="1">
      <alignment vertical="center"/>
    </xf>
    <xf numFmtId="164" fontId="3" fillId="9" borderId="5" xfId="1" applyNumberFormat="1" applyFont="1" applyFill="1" applyBorder="1" applyAlignment="1">
      <alignment vertical="center"/>
    </xf>
    <xf numFmtId="167" fontId="3" fillId="0" borderId="27" xfId="0" applyNumberFormat="1" applyFont="1" applyFill="1" applyBorder="1" applyAlignment="1">
      <alignment vertical="center"/>
    </xf>
    <xf numFmtId="167" fontId="3" fillId="0" borderId="33" xfId="0" applyNumberFormat="1" applyFont="1" applyFill="1" applyBorder="1" applyAlignment="1">
      <alignment vertical="center"/>
    </xf>
    <xf numFmtId="167" fontId="3" fillId="0" borderId="28" xfId="0" applyNumberFormat="1" applyFont="1" applyFill="1" applyBorder="1" applyAlignment="1">
      <alignment vertical="center"/>
    </xf>
    <xf numFmtId="167" fontId="3" fillId="0" borderId="29" xfId="0" applyNumberFormat="1" applyFont="1" applyFill="1" applyBorder="1" applyAlignment="1">
      <alignment vertical="center"/>
    </xf>
    <xf numFmtId="167" fontId="3" fillId="0" borderId="30" xfId="0" applyNumberFormat="1" applyFont="1" applyFill="1" applyBorder="1" applyAlignment="1">
      <alignment vertical="center"/>
    </xf>
    <xf numFmtId="167" fontId="3" fillId="0" borderId="31" xfId="0" applyNumberFormat="1" applyFont="1" applyFill="1" applyBorder="1" applyAlignment="1">
      <alignment vertical="center"/>
    </xf>
    <xf numFmtId="167" fontId="3" fillId="0" borderId="34" xfId="0" applyNumberFormat="1" applyFont="1" applyFill="1" applyBorder="1" applyAlignment="1">
      <alignment vertical="center"/>
    </xf>
    <xf numFmtId="167" fontId="3" fillId="0" borderId="32" xfId="0" applyNumberFormat="1" applyFont="1" applyFill="1" applyBorder="1" applyAlignment="1">
      <alignment vertical="center"/>
    </xf>
    <xf numFmtId="164" fontId="3" fillId="7" borderId="27" xfId="1" applyNumberFormat="1" applyFont="1" applyFill="1" applyBorder="1" applyAlignment="1">
      <alignment vertical="center"/>
    </xf>
    <xf numFmtId="164" fontId="3" fillId="14" borderId="28" xfId="1" applyNumberFormat="1" applyFont="1" applyFill="1" applyBorder="1" applyAlignment="1">
      <alignment vertical="center"/>
    </xf>
    <xf numFmtId="164" fontId="3" fillId="7" borderId="29" xfId="1" applyNumberFormat="1" applyFont="1" applyFill="1" applyBorder="1" applyAlignment="1">
      <alignment vertical="center"/>
    </xf>
    <xf numFmtId="164" fontId="3" fillId="14" borderId="30" xfId="1" applyNumberFormat="1" applyFont="1" applyFill="1" applyBorder="1" applyAlignment="1">
      <alignment vertical="center"/>
    </xf>
    <xf numFmtId="164" fontId="3" fillId="7" borderId="31" xfId="1" applyNumberFormat="1" applyFont="1" applyFill="1" applyBorder="1" applyAlignment="1">
      <alignment vertical="center"/>
    </xf>
    <xf numFmtId="164" fontId="3" fillId="14" borderId="32" xfId="1" applyNumberFormat="1" applyFont="1" applyFill="1" applyBorder="1" applyAlignment="1">
      <alignment vertical="center"/>
    </xf>
    <xf numFmtId="2" fontId="22" fillId="15" borderId="4" xfId="0" applyNumberFormat="1" applyFont="1" applyFill="1" applyBorder="1" applyAlignment="1">
      <alignment horizontal="center" vertical="center" wrapText="1"/>
    </xf>
    <xf numFmtId="0" fontId="23" fillId="3" borderId="2" xfId="0" applyFont="1" applyFill="1" applyBorder="1"/>
    <xf numFmtId="0" fontId="25" fillId="11" borderId="4" xfId="0" applyFont="1" applyFill="1" applyBorder="1" applyAlignment="1">
      <alignment horizontal="center" vertical="center" wrapText="1"/>
    </xf>
    <xf numFmtId="3" fontId="26" fillId="11" borderId="4" xfId="1" applyNumberFormat="1" applyFont="1" applyFill="1" applyBorder="1" applyAlignment="1">
      <alignment vertical="center"/>
    </xf>
    <xf numFmtId="3" fontId="27" fillId="11" borderId="4" xfId="0" applyNumberFormat="1" applyFont="1" applyFill="1" applyBorder="1" applyAlignment="1">
      <alignment vertical="center"/>
    </xf>
    <xf numFmtId="164" fontId="26" fillId="11" borderId="4" xfId="1" applyNumberFormat="1" applyFont="1" applyFill="1" applyBorder="1" applyAlignment="1">
      <alignment vertical="center"/>
    </xf>
    <xf numFmtId="164" fontId="27" fillId="11" borderId="4" xfId="1" applyNumberFormat="1" applyFont="1" applyFill="1" applyBorder="1" applyAlignment="1">
      <alignment vertical="center"/>
    </xf>
    <xf numFmtId="3" fontId="3" fillId="0" borderId="4" xfId="0" applyNumberFormat="1" applyFont="1" applyFill="1" applyBorder="1" applyAlignment="1">
      <alignment vertical="center"/>
    </xf>
    <xf numFmtId="9" fontId="27" fillId="11" borderId="4" xfId="1" applyFont="1" applyFill="1" applyBorder="1" applyAlignment="1">
      <alignment vertical="center"/>
    </xf>
    <xf numFmtId="0" fontId="27" fillId="11" borderId="4" xfId="0" applyFont="1" applyFill="1" applyBorder="1" applyAlignment="1">
      <alignment vertical="center"/>
    </xf>
    <xf numFmtId="164" fontId="9" fillId="13" borderId="4" xfId="1" applyNumberFormat="1" applyFont="1" applyFill="1" applyBorder="1" applyAlignment="1">
      <alignment vertical="center"/>
    </xf>
    <xf numFmtId="164" fontId="9" fillId="13" borderId="8" xfId="1" applyNumberFormat="1" applyFont="1" applyFill="1" applyBorder="1" applyAlignment="1">
      <alignment vertical="center"/>
    </xf>
    <xf numFmtId="167" fontId="1" fillId="9" borderId="4" xfId="1" applyNumberFormat="1" applyFont="1" applyFill="1" applyBorder="1" applyAlignment="1">
      <alignment vertical="center"/>
    </xf>
    <xf numFmtId="0" fontId="3" fillId="6" borderId="9" xfId="0" applyFont="1" applyFill="1" applyBorder="1" applyAlignment="1">
      <alignment horizontal="center" vertical="center" wrapText="1"/>
    </xf>
    <xf numFmtId="0" fontId="3" fillId="6" borderId="55" xfId="0" applyFont="1" applyFill="1" applyBorder="1" applyAlignment="1">
      <alignment horizontal="center" vertical="center" wrapText="1"/>
    </xf>
    <xf numFmtId="0" fontId="3" fillId="6" borderId="55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165" fontId="0" fillId="3" borderId="0" xfId="0" applyNumberFormat="1" applyFill="1"/>
    <xf numFmtId="9" fontId="0" fillId="3" borderId="0" xfId="0" applyNumberFormat="1" applyFont="1" applyFill="1"/>
    <xf numFmtId="0" fontId="9" fillId="3" borderId="0" xfId="0" applyFont="1" applyFill="1" applyBorder="1" applyAlignment="1">
      <alignment vertical="center"/>
    </xf>
    <xf numFmtId="9" fontId="9" fillId="3" borderId="0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9" fontId="3" fillId="3" borderId="0" xfId="0" applyNumberFormat="1" applyFont="1" applyFill="1" applyBorder="1" applyAlignment="1">
      <alignment horizontal="center" vertical="center"/>
    </xf>
    <xf numFmtId="9" fontId="9" fillId="13" borderId="4" xfId="0" applyNumberFormat="1" applyFont="1" applyFill="1" applyBorder="1" applyAlignment="1">
      <alignment horizontal="center" vertical="center"/>
    </xf>
    <xf numFmtId="0" fontId="8" fillId="13" borderId="8" xfId="0" applyFont="1" applyFill="1" applyBorder="1" applyAlignment="1">
      <alignment horizontal="center" vertical="center" wrapText="1"/>
    </xf>
    <xf numFmtId="9" fontId="9" fillId="13" borderId="8" xfId="0" applyNumberFormat="1" applyFont="1" applyFill="1" applyBorder="1" applyAlignment="1">
      <alignment horizontal="center" vertical="center"/>
    </xf>
    <xf numFmtId="165" fontId="23" fillId="3" borderId="2" xfId="0" applyNumberFormat="1" applyFont="1" applyFill="1" applyBorder="1" applyAlignment="1">
      <alignment horizontal="left"/>
    </xf>
    <xf numFmtId="1" fontId="23" fillId="3" borderId="2" xfId="0" applyNumberFormat="1" applyFont="1" applyFill="1" applyBorder="1" applyAlignment="1">
      <alignment horizontal="left"/>
    </xf>
    <xf numFmtId="0" fontId="9" fillId="3" borderId="0" xfId="0" applyFont="1" applyFill="1" applyBorder="1" applyAlignment="1">
      <alignment horizontal="center" vertical="center"/>
    </xf>
    <xf numFmtId="9" fontId="9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0" fontId="2" fillId="11" borderId="0" xfId="0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3" fillId="6" borderId="5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3" fontId="27" fillId="11" borderId="57" xfId="0" applyNumberFormat="1" applyFont="1" applyFill="1" applyBorder="1" applyAlignment="1">
      <alignment vertical="center"/>
    </xf>
    <xf numFmtId="3" fontId="27" fillId="11" borderId="58" xfId="0" applyNumberFormat="1" applyFont="1" applyFill="1" applyBorder="1" applyAlignment="1">
      <alignment vertical="center"/>
    </xf>
    <xf numFmtId="3" fontId="27" fillId="11" borderId="7" xfId="0" applyNumberFormat="1" applyFont="1" applyFill="1" applyBorder="1" applyAlignment="1">
      <alignment vertical="center"/>
    </xf>
    <xf numFmtId="3" fontId="27" fillId="11" borderId="56" xfId="0" applyNumberFormat="1" applyFont="1" applyFill="1" applyBorder="1" applyAlignment="1">
      <alignment vertical="center"/>
    </xf>
    <xf numFmtId="3" fontId="27" fillId="11" borderId="6" xfId="0" applyNumberFormat="1" applyFont="1" applyFill="1" applyBorder="1" applyAlignment="1">
      <alignment vertical="center"/>
    </xf>
    <xf numFmtId="9" fontId="1" fillId="3" borderId="0" xfId="0" applyNumberFormat="1" applyFont="1" applyFill="1" applyBorder="1" applyAlignment="1">
      <alignment vertical="center"/>
    </xf>
    <xf numFmtId="9" fontId="0" fillId="3" borderId="0" xfId="0" applyNumberFormat="1" applyFont="1" applyFill="1" applyBorder="1" applyAlignment="1">
      <alignment vertical="center"/>
    </xf>
    <xf numFmtId="3" fontId="3" fillId="12" borderId="11" xfId="0" applyNumberFormat="1" applyFont="1" applyFill="1" applyBorder="1" applyAlignment="1">
      <alignment vertical="center"/>
    </xf>
    <xf numFmtId="3" fontId="3" fillId="12" borderId="8" xfId="0" applyNumberFormat="1" applyFont="1" applyFill="1" applyBorder="1" applyAlignment="1">
      <alignment vertical="center"/>
    </xf>
    <xf numFmtId="165" fontId="1" fillId="12" borderId="0" xfId="0" applyNumberFormat="1" applyFont="1" applyFill="1" applyAlignment="1">
      <alignment vertical="center"/>
    </xf>
    <xf numFmtId="164" fontId="3" fillId="6" borderId="68" xfId="1" applyNumberFormat="1" applyFont="1" applyFill="1" applyBorder="1" applyAlignment="1">
      <alignment horizontal="center" vertical="center"/>
    </xf>
    <xf numFmtId="164" fontId="3" fillId="6" borderId="69" xfId="1" applyNumberFormat="1" applyFont="1" applyFill="1" applyBorder="1" applyAlignment="1">
      <alignment horizontal="center" vertical="center"/>
    </xf>
    <xf numFmtId="164" fontId="3" fillId="6" borderId="69" xfId="1" applyNumberFormat="1" applyFont="1" applyFill="1" applyBorder="1" applyAlignment="1">
      <alignment horizontal="center" vertical="center" wrapText="1"/>
    </xf>
    <xf numFmtId="164" fontId="3" fillId="6" borderId="70" xfId="1" applyNumberFormat="1" applyFont="1" applyFill="1" applyBorder="1" applyAlignment="1">
      <alignment horizontal="center" vertical="center" wrapText="1"/>
    </xf>
    <xf numFmtId="164" fontId="3" fillId="6" borderId="60" xfId="1" applyNumberFormat="1" applyFont="1" applyFill="1" applyBorder="1" applyAlignment="1">
      <alignment vertical="center"/>
    </xf>
    <xf numFmtId="164" fontId="3" fillId="6" borderId="61" xfId="1" applyNumberFormat="1" applyFont="1" applyFill="1" applyBorder="1" applyAlignment="1">
      <alignment vertical="center"/>
    </xf>
    <xf numFmtId="164" fontId="3" fillId="6" borderId="62" xfId="1" applyNumberFormat="1" applyFont="1" applyFill="1" applyBorder="1" applyAlignment="1">
      <alignment vertical="center"/>
    </xf>
    <xf numFmtId="164" fontId="3" fillId="6" borderId="63" xfId="1" applyNumberFormat="1" applyFont="1" applyFill="1" applyBorder="1" applyAlignment="1">
      <alignment vertical="center"/>
    </xf>
    <xf numFmtId="164" fontId="1" fillId="6" borderId="56" xfId="1" applyNumberFormat="1" applyFont="1" applyFill="1" applyBorder="1" applyAlignment="1">
      <alignment vertical="center"/>
    </xf>
    <xf numFmtId="164" fontId="1" fillId="6" borderId="4" xfId="1" applyNumberFormat="1" applyFont="1" applyFill="1" applyBorder="1" applyAlignment="1">
      <alignment vertical="center"/>
    </xf>
    <xf numFmtId="164" fontId="3" fillId="6" borderId="6" xfId="1" applyNumberFormat="1" applyFont="1" applyFill="1" applyBorder="1" applyAlignment="1">
      <alignment vertical="center"/>
    </xf>
    <xf numFmtId="164" fontId="3" fillId="6" borderId="58" xfId="1" applyNumberFormat="1" applyFont="1" applyFill="1" applyBorder="1" applyAlignment="1">
      <alignment vertical="center"/>
    </xf>
    <xf numFmtId="164" fontId="1" fillId="6" borderId="57" xfId="1" applyNumberFormat="1" applyFont="1" applyFill="1" applyBorder="1" applyAlignment="1">
      <alignment vertical="center"/>
    </xf>
    <xf numFmtId="164" fontId="3" fillId="6" borderId="64" xfId="1" applyNumberFormat="1" applyFont="1" applyFill="1" applyBorder="1" applyAlignment="1">
      <alignment vertical="center"/>
    </xf>
    <xf numFmtId="164" fontId="3" fillId="6" borderId="7" xfId="1" applyNumberFormat="1" applyFont="1" applyFill="1" applyBorder="1" applyAlignment="1">
      <alignment vertical="center"/>
    </xf>
    <xf numFmtId="164" fontId="1" fillId="7" borderId="27" xfId="1" applyNumberFormat="1" applyFont="1" applyFill="1" applyBorder="1" applyAlignment="1">
      <alignment vertical="center"/>
    </xf>
    <xf numFmtId="164" fontId="1" fillId="14" borderId="28" xfId="1" applyNumberFormat="1" applyFont="1" applyFill="1" applyBorder="1" applyAlignment="1">
      <alignment vertical="center"/>
    </xf>
    <xf numFmtId="0" fontId="21" fillId="11" borderId="4" xfId="0" applyFont="1" applyFill="1" applyBorder="1" applyAlignment="1">
      <alignment horizontal="center" vertical="center" wrapText="1"/>
    </xf>
    <xf numFmtId="3" fontId="0" fillId="11" borderId="4" xfId="0" applyNumberFormat="1" applyFont="1" applyFill="1" applyBorder="1" applyAlignment="1">
      <alignment horizontal="center" vertical="center"/>
    </xf>
    <xf numFmtId="14" fontId="1" fillId="0" borderId="0" xfId="0" applyNumberFormat="1" applyFont="1"/>
    <xf numFmtId="14" fontId="3" fillId="0" borderId="0" xfId="0" applyNumberFormat="1" applyFont="1"/>
    <xf numFmtId="3" fontId="0" fillId="11" borderId="4" xfId="0" applyNumberFormat="1" applyFill="1" applyBorder="1" applyAlignment="1">
      <alignment horizontal="center" vertical="center"/>
    </xf>
    <xf numFmtId="0" fontId="1" fillId="0" borderId="0" xfId="0" applyNumberFormat="1" applyFont="1"/>
    <xf numFmtId="0" fontId="1" fillId="0" borderId="0" xfId="0" applyFont="1" applyAlignment="1">
      <alignment wrapText="1"/>
    </xf>
    <xf numFmtId="0" fontId="3" fillId="3" borderId="50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164" fontId="3" fillId="6" borderId="65" xfId="1" applyNumberFormat="1" applyFont="1" applyFill="1" applyBorder="1" applyAlignment="1">
      <alignment horizontal="center" vertical="center"/>
    </xf>
    <xf numFmtId="164" fontId="3" fillId="6" borderId="66" xfId="1" applyNumberFormat="1" applyFont="1" applyFill="1" applyBorder="1" applyAlignment="1">
      <alignment horizontal="center" vertical="center"/>
    </xf>
    <xf numFmtId="164" fontId="3" fillId="6" borderId="67" xfId="1" applyNumberFormat="1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right"/>
    </xf>
    <xf numFmtId="0" fontId="0" fillId="0" borderId="0" xfId="0" applyFont="1" applyAlignment="1">
      <alignment horizontal="left" vertical="center" wrapText="1"/>
    </xf>
    <xf numFmtId="2" fontId="0" fillId="3" borderId="0" xfId="0" applyNumberFormat="1" applyFont="1" applyFill="1" applyAlignment="1">
      <alignment horizontal="left"/>
    </xf>
  </cellXfs>
  <cellStyles count="4">
    <cellStyle name="Calculation" xfId="3" builtinId="22"/>
    <cellStyle name="Input" xfId="2" builtinId="20"/>
    <cellStyle name="Normal" xfId="0" builtinId="0"/>
    <cellStyle name="Per cent" xfId="1" builtinId="5"/>
  </cellStyles>
  <dxfs count="66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</dxf>
    <dxf>
      <font>
        <color theme="0" tint="-0.499984740745262"/>
      </font>
    </dxf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662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Durst 1330 - 3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07249758901402"/>
          <c:y val="0.23643938197714531"/>
          <c:w val="0.67050158607474675"/>
          <c:h val="0.5961368647100929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94D-0A40-BDCC-0855B270AAE2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94D-0A40-BDCC-0855B270AAE2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4E1-1742-B019-5F24EAACCE75}"/>
              </c:ext>
            </c:extLst>
          </c:dPt>
          <c:dLbls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487586845453396"/>
                      <c:h val="0.142418973416587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794D-0A40-BDCC-0855B270AAE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0.23568807449701579"/>
                      <c:h val="0.1724413052258040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84E1-1742-B019-5F24EAACCE7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Hybrid!$F$2:$F$4</c:f>
              <c:strCache>
                <c:ptCount val="3"/>
                <c:pt idx="0">
                  <c:v>Up-Time</c:v>
                </c:pt>
                <c:pt idx="1">
                  <c:v>Planned Downtime</c:v>
                </c:pt>
                <c:pt idx="2">
                  <c:v>Unplanned Donwtime</c:v>
                </c:pt>
              </c:strCache>
            </c:strRef>
          </c:cat>
          <c:val>
            <c:numRef>
              <c:f>Hybrid!$G$2:$G$4</c:f>
              <c:numCache>
                <c:formatCode>0.0</c:formatCode>
                <c:ptCount val="3"/>
                <c:pt idx="0">
                  <c:v>0</c:v>
                </c:pt>
                <c:pt idx="1">
                  <c:v>24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E1-1742-B019-5F24EAACC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Durst P5 - 3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150634913055813"/>
          <c:y val="0.26139867558734448"/>
          <c:w val="0.68278677819190914"/>
          <c:h val="0.60504129261679607"/>
        </c:manualLayout>
      </c:layout>
      <c:pie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426-B346-87D3-E7521E40E23E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426-B346-87D3-E7521E40E23E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26-B346-87D3-E7521E40E23E}"/>
              </c:ext>
            </c:extLst>
          </c:dPt>
          <c:dLbls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916078704601975"/>
                      <c:h val="0.1433909703464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2426-B346-87D3-E7521E40E23E}"/>
                </c:ext>
              </c:extLst>
            </c:dLbl>
            <c:dLbl>
              <c:idx val="2"/>
              <c:layout>
                <c:manualLayout>
                  <c:x val="-5.7564341114250697E-2"/>
                  <c:y val="-4.0896193529514095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973046037867273"/>
                      <c:h val="0.1560355354506720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2426-B346-87D3-E7521E40E23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Hybrid!$F$33:$F$35</c:f>
              <c:strCache>
                <c:ptCount val="3"/>
                <c:pt idx="0">
                  <c:v>Up-Time</c:v>
                </c:pt>
                <c:pt idx="1">
                  <c:v>Planned Downtime</c:v>
                </c:pt>
                <c:pt idx="2">
                  <c:v>Unplanned Donwtime</c:v>
                </c:pt>
              </c:strCache>
            </c:strRef>
          </c:cat>
          <c:val>
            <c:numRef>
              <c:f>Hybrid!$G$33:$G$35</c:f>
              <c:numCache>
                <c:formatCode>0.0</c:formatCode>
                <c:ptCount val="3"/>
                <c:pt idx="0">
                  <c:v>6.2</c:v>
                </c:pt>
                <c:pt idx="1">
                  <c:v>17.8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26-B346-87D3-E7521E40E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HS125 - 3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68444403956496"/>
          <c:y val="0.25712152390796189"/>
          <c:w val="0.70374611588505154"/>
          <c:h val="0.62017326600716116"/>
        </c:manualLayout>
      </c:layout>
      <c:pie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98-5643-8074-1AAA7723F26C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98-5643-8074-1AAA7723F26C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98-5643-8074-1AAA7723F26C}"/>
              </c:ext>
            </c:extLst>
          </c:dPt>
          <c:dLbls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61444473763064"/>
                      <c:h val="0.1445331144041088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BC98-5643-8074-1AAA7723F26C}"/>
                </c:ext>
              </c:extLst>
            </c:dLbl>
            <c:dLbl>
              <c:idx val="2"/>
              <c:layout>
                <c:manualLayout>
                  <c:x val="5.4763331648754979E-2"/>
                  <c:y val="-4.151271898932971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990178509154626"/>
                      <c:h val="0.1494414607881075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BC98-5643-8074-1AAA7723F26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Hybrid!$F$64:$F$66</c:f>
              <c:strCache>
                <c:ptCount val="3"/>
                <c:pt idx="0">
                  <c:v>Up-Time</c:v>
                </c:pt>
                <c:pt idx="1">
                  <c:v>Planned Downtime</c:v>
                </c:pt>
                <c:pt idx="2">
                  <c:v>Unplanned Donwtime</c:v>
                </c:pt>
              </c:strCache>
            </c:strRef>
          </c:cat>
          <c:val>
            <c:numRef>
              <c:f>Hybrid!$G$64:$G$66</c:f>
              <c:numCache>
                <c:formatCode>0.0</c:formatCode>
                <c:ptCount val="3"/>
                <c:pt idx="0">
                  <c:v>4.5000000000000009</c:v>
                </c:pt>
                <c:pt idx="1">
                  <c:v>15.9</c:v>
                </c:pt>
                <c:pt idx="2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98-5643-8074-1AAA7723F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Durst 1330 - 10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860-4B49-9901-8AC2B48FD539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860-4B49-9901-8AC2B48FD539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860-4B49-9901-8AC2B48FD539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860-4B49-9901-8AC2B48FD53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860-4B49-9901-8AC2B48FD539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860-4B49-9901-8AC2B48FD539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860-4B49-9901-8AC2B48FD53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7449111-8835-014C-A251-F071060CCC7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64D21C4-284E-9A45-8292-5D78FBAD32A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860-4B49-9901-8AC2B48FD53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A0811BD-B105-E645-831B-83453D16B52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6212BF3-0835-DA4E-9354-31D520A98E4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860-4B49-9901-8AC2B48FD53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5ED2911-5EFE-8E40-AAC7-4DA472544C7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8B6EB72-859B-7B4E-B0D0-27324DB6164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860-4B49-9901-8AC2B48FD53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5B0BD97-D26F-2247-8E6A-47C4A1B2F9B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C1D9D5E-C4BD-8549-84E7-0536A688469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860-4B49-9901-8AC2B48FD53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24ACF9F-029E-7A46-B082-9F8B8A180B4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167192D-DA6E-1842-8BC3-9232BA2FE9A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860-4B49-9901-8AC2B48FD53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5A670BF-E9FE-6E47-BAA5-F5B894E356E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B252EA7-1F9C-6843-815F-CEC3C93B4CC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860-4B49-9901-8AC2B48FD53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A6C81F5-1B6C-BB49-9C3A-F16C46F1A0F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C044BBC-183C-CE4A-9F53-4BD75554032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860-4B49-9901-8AC2B48FD53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618AB17-E0AC-5C49-9511-5B4A70D46B1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59112AA-ADB7-1E44-A9B6-06B5BD2FCDF7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860-4B49-9901-8AC2B48FD53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2B76441-F764-E147-BBE1-F5D7824CB8C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7CF9796-7846-0943-818B-051B2B9EAF1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860-4B49-9901-8AC2B48FD53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714DDDC-5548-E047-94A2-0E52E9D6AE9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C235638-C229-1044-8341-CABCD60A1DC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860-4B49-9901-8AC2B48FD5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Hybrid!$J$2:$J$11</c:f>
              <c:strCache>
                <c:ptCount val="10"/>
                <c:pt idx="0">
                  <c:v>1. Running</c:v>
                </c:pt>
                <c:pt idx="1">
                  <c:v>2. Make Ready</c:v>
                </c:pt>
                <c:pt idx="2">
                  <c:v>3. Roll Change Time</c:v>
                </c:pt>
                <c:pt idx="3">
                  <c:v>4 Not Planned</c:v>
                </c:pt>
                <c:pt idx="4">
                  <c:v>5. No work</c:v>
                </c:pt>
                <c:pt idx="5">
                  <c:v>6. Breaks</c:v>
                </c:pt>
                <c:pt idx="6">
                  <c:v>7. Maintenance</c:v>
                </c:pt>
                <c:pt idx="7">
                  <c:v>8. Planned No Operator</c:v>
                </c:pt>
                <c:pt idx="8">
                  <c:v>9. Break-down </c:v>
                </c:pt>
                <c:pt idx="9">
                  <c:v>10. Interruptions </c:v>
                </c:pt>
              </c:strCache>
            </c:strRef>
          </c:cat>
          <c:val>
            <c:numRef>
              <c:f>Hybrid!$K$2:$K$11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Hybrid!$L$2:$L$11</c15:f>
                <c15:dlblRangeCache>
                  <c:ptCount val="10"/>
                  <c:pt idx="0">
                    <c:v>0%</c:v>
                  </c:pt>
                  <c:pt idx="1">
                    <c:v>0%</c:v>
                  </c:pt>
                  <c:pt idx="2">
                    <c:v>0%</c:v>
                  </c:pt>
                  <c:pt idx="3">
                    <c:v>0%</c:v>
                  </c:pt>
                  <c:pt idx="4">
                    <c:v>0%</c:v>
                  </c:pt>
                  <c:pt idx="5">
                    <c:v>0%</c:v>
                  </c:pt>
                  <c:pt idx="6">
                    <c:v>100%</c:v>
                  </c:pt>
                  <c:pt idx="7">
                    <c:v>0%</c:v>
                  </c:pt>
                  <c:pt idx="8">
                    <c:v>0%</c:v>
                  </c:pt>
                  <c:pt idx="9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E860-4B49-9901-8AC2B48FD5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04034655"/>
        <c:axId val="679271071"/>
      </c:barChart>
      <c:catAx>
        <c:axId val="12040346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1071"/>
        <c:crosses val="autoZero"/>
        <c:auto val="1"/>
        <c:lblAlgn val="ctr"/>
        <c:lblOffset val="100"/>
        <c:noMultiLvlLbl val="0"/>
      </c:catAx>
      <c:valAx>
        <c:axId val="67927107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Durst P5 - 10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8D2-C54B-9948-5BA5B33143F6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8D2-C54B-9948-5BA5B33143F6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8D2-C54B-9948-5BA5B33143F6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8D2-C54B-9948-5BA5B33143F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8D2-C54B-9948-5BA5B33143F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8D2-C54B-9948-5BA5B33143F6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8D2-C54B-9948-5BA5B33143F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D13CBCD-32BB-4F4C-B864-F7BEBC95001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AC3F202-6CA4-5843-8FDB-2C26D7EE956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8D2-C54B-9948-5BA5B33143F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D7CE466-BEC1-8944-9628-6FFDF38040D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7FCA470-1228-2F43-86FD-70018540D7D7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8D2-C54B-9948-5BA5B33143F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056305E-B6A7-3743-929F-9AF860AAB35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79FA299-03C2-8F49-A9F4-037DA841CA27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8D2-C54B-9948-5BA5B33143F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370A44A-441E-854A-A921-4E82293F660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122DC07-AA21-784D-BC55-491ECCE15C4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8D2-C54B-9948-5BA5B33143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E7E662E-C566-6C4F-96C0-FA92FA84E36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37525AF-0326-794F-AB11-9126A31C64B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8D2-C54B-9948-5BA5B33143F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AA9A1F4-B8AC-134D-81A5-8E669BF3CB6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39E3E05-5160-B243-8F1B-34CC093ACBD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8D2-C54B-9948-5BA5B33143F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DEF6641-EF7C-1746-8552-EC83D1B36BF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5BFF261-1E97-FA42-BA97-7CCE2963D5F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8D2-C54B-9948-5BA5B33143F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7D1977F-0A77-CA40-8446-AA5AB6CCAF3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B75D251-9F06-474B-BD86-D9B96DBA897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8D2-C54B-9948-5BA5B33143F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AA1BAB7-E80A-724D-AE2D-CACCEC8AEB1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B753074-FF16-E24B-BB1A-FFC0209BF9C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8D2-C54B-9948-5BA5B33143F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06E4C45-D2B7-B44B-A745-D163E94C743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F4A14A9-FA6A-C345-A77C-7C4EBD4C5FF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8D2-C54B-9948-5BA5B33143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Hybrid!$J$33:$J$42</c:f>
              <c:strCache>
                <c:ptCount val="10"/>
                <c:pt idx="0">
                  <c:v>1. Running</c:v>
                </c:pt>
                <c:pt idx="1">
                  <c:v>2. Make Ready</c:v>
                </c:pt>
                <c:pt idx="2">
                  <c:v>3. Roll Change</c:v>
                </c:pt>
                <c:pt idx="3">
                  <c:v>4. Not Planned</c:v>
                </c:pt>
                <c:pt idx="4">
                  <c:v>5. No Work</c:v>
                </c:pt>
                <c:pt idx="5">
                  <c:v>6. Breaks</c:v>
                </c:pt>
                <c:pt idx="6">
                  <c:v>7. Maintenance</c:v>
                </c:pt>
                <c:pt idx="7">
                  <c:v>8. No Operator</c:v>
                </c:pt>
                <c:pt idx="8">
                  <c:v>9. Breakdown</c:v>
                </c:pt>
                <c:pt idx="9">
                  <c:v>10. Interruptions</c:v>
                </c:pt>
              </c:strCache>
            </c:strRef>
          </c:cat>
          <c:val>
            <c:numRef>
              <c:f>Hybrid!$K$33:$K$42</c:f>
              <c:numCache>
                <c:formatCode>0.0</c:formatCode>
                <c:ptCount val="10"/>
                <c:pt idx="0">
                  <c:v>1</c:v>
                </c:pt>
                <c:pt idx="1">
                  <c:v>5.2</c:v>
                </c:pt>
                <c:pt idx="2">
                  <c:v>0</c:v>
                </c:pt>
                <c:pt idx="3">
                  <c:v>12</c:v>
                </c:pt>
                <c:pt idx="4">
                  <c:v>4.3</c:v>
                </c:pt>
                <c:pt idx="5">
                  <c:v>0</c:v>
                </c:pt>
                <c:pt idx="6">
                  <c:v>1.5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Hybrid!$L$33:$L$42</c15:f>
                <c15:dlblRangeCache>
                  <c:ptCount val="10"/>
                  <c:pt idx="0">
                    <c:v>4%</c:v>
                  </c:pt>
                  <c:pt idx="1">
                    <c:v>22%</c:v>
                  </c:pt>
                  <c:pt idx="2">
                    <c:v>0%</c:v>
                  </c:pt>
                  <c:pt idx="3">
                    <c:v>50%</c:v>
                  </c:pt>
                  <c:pt idx="4">
                    <c:v>18%</c:v>
                  </c:pt>
                  <c:pt idx="5">
                    <c:v>0%</c:v>
                  </c:pt>
                  <c:pt idx="6">
                    <c:v>6%</c:v>
                  </c:pt>
                  <c:pt idx="7">
                    <c:v>0%</c:v>
                  </c:pt>
                  <c:pt idx="8">
                    <c:v>0%</c:v>
                  </c:pt>
                  <c:pt idx="9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68D2-C54B-9948-5BA5B33143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04034655"/>
        <c:axId val="679271071"/>
      </c:barChart>
      <c:catAx>
        <c:axId val="12040346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1071"/>
        <c:crosses val="autoZero"/>
        <c:auto val="1"/>
        <c:lblAlgn val="ctr"/>
        <c:lblOffset val="100"/>
        <c:noMultiLvlLbl val="0"/>
      </c:catAx>
      <c:valAx>
        <c:axId val="67927107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HS125 - 10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211-D149-BF56-B22A495AE657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211-D149-BF56-B22A495AE657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211-D149-BF56-B22A495AE657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211-D149-BF56-B22A495AE65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211-D149-BF56-B22A495AE65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11-D149-BF56-B22A495AE65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11-D149-BF56-B22A495AE65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2E17D17-25B9-2246-B0F1-5F1E2DC4567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50321B6-D838-A24E-AFAE-A72089B2029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211-D149-BF56-B22A495AE65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A459F79-7CA8-D449-8052-13E1AF1B25B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411B22B-36A8-B34B-8391-45EBE56BA50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211-D149-BF56-B22A495AE65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9B02B4D-B6D7-FB45-BF2E-659498D05F1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6C26229-256A-A842-A872-6D94203DAB4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211-D149-BF56-B22A495AE65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0B7EA9A-E089-DF40-873B-F87D6BD64DF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DE46083-775F-0348-931E-9443DFC2772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211-D149-BF56-B22A495AE65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3BF5C0F-A1BB-0344-8372-F6BBB778285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A605471-5000-7D43-A4B3-B1F73B670C1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211-D149-BF56-B22A495AE65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38D20D0-48E3-AE4C-A8B3-15DA358298D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982A7AC-0F56-1443-B751-01FA8FCAECC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211-D149-BF56-B22A495AE65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41D0246-91CD-A54C-9119-0BFE71B5762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D3689D5-6C75-274A-85EA-7184584959E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211-D149-BF56-B22A495AE65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3CFBEF3-A887-6041-A34E-0F7A60A2893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C772796-5D10-E84B-93C7-DB204503CD4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211-D149-BF56-B22A495AE65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458DB9B-FE65-4743-9B2B-11791CBD921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9D0C16B-884A-514A-9EC4-EFCF374ED19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211-D149-BF56-B22A495AE65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1947A4A-D19C-6F46-A5FE-EC0D9449583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8EBC30E-62AE-DA48-99F4-56F9B160FD8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211-D149-BF56-B22A495AE6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Hybrid!$J$64:$J$73</c:f>
              <c:strCache>
                <c:ptCount val="10"/>
                <c:pt idx="0">
                  <c:v>1. Running</c:v>
                </c:pt>
                <c:pt idx="1">
                  <c:v>2. Make Ready</c:v>
                </c:pt>
                <c:pt idx="2">
                  <c:v>3. Roll Change</c:v>
                </c:pt>
                <c:pt idx="3">
                  <c:v>4. Not Planned</c:v>
                </c:pt>
                <c:pt idx="4">
                  <c:v>5. No Work</c:v>
                </c:pt>
                <c:pt idx="5">
                  <c:v>6. Breaks</c:v>
                </c:pt>
                <c:pt idx="6">
                  <c:v>7. Maintenance</c:v>
                </c:pt>
                <c:pt idx="7">
                  <c:v>8. No Operator</c:v>
                </c:pt>
                <c:pt idx="8">
                  <c:v>9. Breakdown</c:v>
                </c:pt>
                <c:pt idx="9">
                  <c:v>10. Interruptions</c:v>
                </c:pt>
              </c:strCache>
            </c:strRef>
          </c:cat>
          <c:val>
            <c:numRef>
              <c:f>Hybrid!$K$64:$K$73</c:f>
              <c:numCache>
                <c:formatCode>0.0</c:formatCode>
                <c:ptCount val="10"/>
                <c:pt idx="0">
                  <c:v>4.1000000000000005</c:v>
                </c:pt>
                <c:pt idx="1">
                  <c:v>0.4</c:v>
                </c:pt>
                <c:pt idx="2">
                  <c:v>0</c:v>
                </c:pt>
                <c:pt idx="3">
                  <c:v>0</c:v>
                </c:pt>
                <c:pt idx="4">
                  <c:v>14.9</c:v>
                </c:pt>
                <c:pt idx="5">
                  <c:v>1</c:v>
                </c:pt>
                <c:pt idx="6">
                  <c:v>0</c:v>
                </c:pt>
                <c:pt idx="7">
                  <c:v>3.6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Hybrid!$L$64:$L$73</c15:f>
                <c15:dlblRangeCache>
                  <c:ptCount val="10"/>
                  <c:pt idx="0">
                    <c:v>17%</c:v>
                  </c:pt>
                  <c:pt idx="1">
                    <c:v>2%</c:v>
                  </c:pt>
                  <c:pt idx="2">
                    <c:v>0%</c:v>
                  </c:pt>
                  <c:pt idx="3">
                    <c:v>0%</c:v>
                  </c:pt>
                  <c:pt idx="4">
                    <c:v>62%</c:v>
                  </c:pt>
                  <c:pt idx="5">
                    <c:v>4%</c:v>
                  </c:pt>
                  <c:pt idx="6">
                    <c:v>0%</c:v>
                  </c:pt>
                  <c:pt idx="7">
                    <c:v>15%</c:v>
                  </c:pt>
                  <c:pt idx="8">
                    <c:v>0%</c:v>
                  </c:pt>
                  <c:pt idx="9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4211-D149-BF56-B22A495AE6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04034655"/>
        <c:axId val="679271071"/>
      </c:barChart>
      <c:catAx>
        <c:axId val="12040346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1071"/>
        <c:crosses val="autoZero"/>
        <c:auto val="1"/>
        <c:lblAlgn val="ctr"/>
        <c:lblOffset val="100"/>
        <c:noMultiLvlLbl val="0"/>
      </c:catAx>
      <c:valAx>
        <c:axId val="67927107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Durst 1 - 3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02340632078528"/>
          <c:y val="0.25781793427958233"/>
          <c:w val="0.6883288390321074"/>
          <c:h val="0.56884551146798745"/>
        </c:manualLayout>
      </c:layout>
      <c:pie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AA-D048-8ED8-867BAF4AAC4A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AA-D048-8ED8-867BAF4AAC4A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AA-D048-8ED8-867BAF4AAC4A}"/>
              </c:ext>
            </c:extLst>
          </c:dPt>
          <c:dLbls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908331807361289"/>
                      <c:h val="0.1742589666104002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BAAA-D048-8ED8-867BAF4AAC4A}"/>
                </c:ext>
              </c:extLst>
            </c:dLbl>
            <c:dLbl>
              <c:idx val="2"/>
              <c:layout>
                <c:manualLayout>
                  <c:x val="9.3497862252889127E-2"/>
                  <c:y val="0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626788332638882"/>
                      <c:h val="0.1534909772329289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BAAA-D048-8ED8-867BAF4AAC4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WideFormat!$F$3:$F$5</c:f>
              <c:strCache>
                <c:ptCount val="3"/>
                <c:pt idx="0">
                  <c:v>Up-Time</c:v>
                </c:pt>
                <c:pt idx="1">
                  <c:v>Planned Downtime</c:v>
                </c:pt>
                <c:pt idx="2">
                  <c:v>Unplanned Donwtime</c:v>
                </c:pt>
              </c:strCache>
            </c:strRef>
          </c:cat>
          <c:val>
            <c:numRef>
              <c:f>WideFormat!$G$3:$G$5</c:f>
              <c:numCache>
                <c:formatCode>0.0</c:formatCode>
                <c:ptCount val="3"/>
                <c:pt idx="0">
                  <c:v>20.2</c:v>
                </c:pt>
                <c:pt idx="1">
                  <c:v>2.1</c:v>
                </c:pt>
                <c:pt idx="2">
                  <c:v>1.7000000000000002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9-A64E-9803-FBD391AAB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Durst 2 - 3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89790365271092"/>
          <c:y val="0.25290694436020611"/>
          <c:w val="0.70406391916687394"/>
          <c:h val="0.59891965891522758"/>
        </c:manualLayout>
      </c:layout>
      <c:pie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EEF-764F-BE6F-C96CE43DBBDB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EF-764F-BE6F-C96CE43DBBDB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EEF-764F-BE6F-C96CE43DBBDB}"/>
              </c:ext>
            </c:extLst>
          </c:dPt>
          <c:dLbls>
            <c:dLbl>
              <c:idx val="0"/>
              <c:layout>
                <c:manualLayout>
                  <c:x val="-4.2068671673679087E-2"/>
                  <c:y val="8.0932122425809647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002083688011374"/>
                      <c:h val="0.1226523809464867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EEF-764F-BE6F-C96CE43DBBDB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14043843111161"/>
                      <c:h val="0.173620605116668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7EEF-764F-BE6F-C96CE43DBBD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0.27410139173505199"/>
                      <c:h val="0.157288155733494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7EEF-764F-BE6F-C96CE43DBBD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WideFormat!$F$34:$F$36</c:f>
              <c:strCache>
                <c:ptCount val="3"/>
                <c:pt idx="0">
                  <c:v>Up-Time</c:v>
                </c:pt>
                <c:pt idx="1">
                  <c:v>Planned Downtime</c:v>
                </c:pt>
                <c:pt idx="2">
                  <c:v>Unplanned Donwtime</c:v>
                </c:pt>
              </c:strCache>
            </c:strRef>
          </c:cat>
          <c:val>
            <c:numRef>
              <c:f>WideFormat!$G$34:$G$36</c:f>
              <c:numCache>
                <c:formatCode>0.0</c:formatCode>
                <c:ptCount val="3"/>
                <c:pt idx="0">
                  <c:v>23.8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EF-764F-BE6F-C96CE43DB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Matan</a:t>
            </a:r>
            <a:r>
              <a:rPr lang="en-GB" sz="1200" b="1" baseline="0"/>
              <a:t> 1</a:t>
            </a:r>
            <a:r>
              <a:rPr lang="en-GB" sz="1200" b="1"/>
              <a:t> - 3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08755606868538"/>
          <c:y val="0.2729496164677771"/>
          <c:w val="0.70471245127070203"/>
          <c:h val="0.62857362270198547"/>
        </c:manualLayout>
      </c:layout>
      <c:pie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27-6549-B082-ABBD454B0A2C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27-6549-B082-ABBD454B0A2C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F27-6549-B082-ABBD454B0A2C}"/>
              </c:ext>
            </c:extLst>
          </c:dPt>
          <c:dLbls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461825950177516"/>
                      <c:h val="0.145058332399628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2F27-6549-B082-ABBD454B0A2C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223894363632771"/>
                      <c:h val="0.1653925272589248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2F27-6549-B082-ABBD454B0A2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WideFormat!$F$66:$F$68</c:f>
              <c:strCache>
                <c:ptCount val="3"/>
                <c:pt idx="0">
                  <c:v>Up-Time</c:v>
                </c:pt>
                <c:pt idx="1">
                  <c:v>Planned Downtime</c:v>
                </c:pt>
                <c:pt idx="2">
                  <c:v>Unplanned Donwtime</c:v>
                </c:pt>
              </c:strCache>
            </c:strRef>
          </c:cat>
          <c:val>
            <c:numRef>
              <c:f>WideFormat!$G$66:$G$68</c:f>
              <c:numCache>
                <c:formatCode>0.0</c:formatCode>
                <c:ptCount val="3"/>
                <c:pt idx="0">
                  <c:v>15.3</c:v>
                </c:pt>
                <c:pt idx="1">
                  <c:v>5.8000000000000007</c:v>
                </c:pt>
                <c:pt idx="2">
                  <c:v>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27-6549-B082-ABBD454B0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Matan</a:t>
            </a:r>
            <a:r>
              <a:rPr lang="en-GB" sz="1200" b="1" baseline="0"/>
              <a:t> 2</a:t>
            </a:r>
            <a:r>
              <a:rPr lang="en-GB" sz="1200" b="1"/>
              <a:t> - 3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22129025663706"/>
          <c:y val="0.26718511523102279"/>
          <c:w val="0.72046455969667189"/>
          <c:h val="0.60050763024650977"/>
        </c:manualLayout>
      </c:layout>
      <c:pie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53-FF46-B45C-14172E51D735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53-FF46-B45C-14172E51D735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53-FF46-B45C-14172E51D735}"/>
              </c:ext>
            </c:extLst>
          </c:dPt>
          <c:dLbls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98900754228323"/>
                      <c:h val="0.1711134483640808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153-FF46-B45C-14172E51D735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901475407442324"/>
                      <c:h val="0.143921201691018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E153-FF46-B45C-14172E51D73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WideFormat!$F$98:$F$100</c:f>
              <c:strCache>
                <c:ptCount val="3"/>
                <c:pt idx="0">
                  <c:v>Up-Time</c:v>
                </c:pt>
                <c:pt idx="1">
                  <c:v>Planned Downtime</c:v>
                </c:pt>
                <c:pt idx="2">
                  <c:v>Unplanned Donwtime</c:v>
                </c:pt>
              </c:strCache>
            </c:strRef>
          </c:cat>
          <c:val>
            <c:numRef>
              <c:f>WideFormat!$G$98:$G$100</c:f>
              <c:numCache>
                <c:formatCode>0.0</c:formatCode>
                <c:ptCount val="3"/>
                <c:pt idx="0">
                  <c:v>10.5</c:v>
                </c:pt>
                <c:pt idx="1">
                  <c:v>7.5000000000000009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53-FF46-B45C-14172E51D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Durst 1 - 10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14-FB4A-A5F7-DA0EA6770C0C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14-FB4A-A5F7-DA0EA6770C0C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14-FB4A-A5F7-DA0EA6770C0C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14-FB4A-A5F7-DA0EA6770C0C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B14-FB4A-A5F7-DA0EA6770C0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B14-FB4A-A5F7-DA0EA6770C0C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B14-FB4A-A5F7-DA0EA6770C0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9AA68A7-ED95-834E-B3EE-4027AB4DE62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33A9821-4541-6447-A62B-680DA97AAEB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B14-FB4A-A5F7-DA0EA6770C0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B6E21F7-ACDF-5C4B-8342-1F6CC06ADDD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CDC388B-757D-2045-B421-4D94887DB7AB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B14-FB4A-A5F7-DA0EA6770C0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3D2DAEA-CE11-3342-BA02-47631C8169B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3FCECFA-9B3E-5843-9592-F73D6D221FD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B14-FB4A-A5F7-DA0EA6770C0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E565EA6-8E94-7845-8762-26DCCEBE422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F9479F5-A9F5-0245-AD9D-D1AF950E990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B14-FB4A-A5F7-DA0EA6770C0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3FB445E-4D3A-CA41-87A9-13C9F2926FE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B846520-061C-4D4D-B4F5-AFDFC72AFFE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B14-FB4A-A5F7-DA0EA6770C0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A908E4F-735C-8D44-874D-D4E0C598667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F1E8D8B-7343-D94E-A29E-9D8B4D31FD5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B14-FB4A-A5F7-DA0EA6770C0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CA6AA60-E920-D446-8EC0-B14F58494AC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6B7237E-C423-B94B-B0ED-46F63DAA097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B14-FB4A-A5F7-DA0EA6770C0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5F45A00-33CB-FB4B-9069-4672BA504B7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16C0B8C-ED48-A648-9B90-595A868931E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B14-FB4A-A5F7-DA0EA6770C0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36D7082-AD6E-8A45-82A6-BE954EC9E91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96B978C-1447-B745-B428-72CD049A4D2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B14-FB4A-A5F7-DA0EA6770C0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A6E6EEC-530E-864F-A1A0-93845FADF80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82D0DDC-4018-8C48-B685-B571B06D259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B14-FB4A-A5F7-DA0EA6770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WideFormat!$J$3:$J$12</c:f>
              <c:strCache>
                <c:ptCount val="10"/>
                <c:pt idx="0">
                  <c:v>1. Running</c:v>
                </c:pt>
                <c:pt idx="1">
                  <c:v>2. Make Ready</c:v>
                </c:pt>
                <c:pt idx="2">
                  <c:v>3. Roll Change</c:v>
                </c:pt>
                <c:pt idx="3">
                  <c:v>4. Not Planned</c:v>
                </c:pt>
                <c:pt idx="4">
                  <c:v>5. No Work</c:v>
                </c:pt>
                <c:pt idx="5">
                  <c:v>6. Breaks</c:v>
                </c:pt>
                <c:pt idx="6">
                  <c:v>7. Maintenance</c:v>
                </c:pt>
                <c:pt idx="7">
                  <c:v>8. No Operator</c:v>
                </c:pt>
                <c:pt idx="8">
                  <c:v>9. Breakdown</c:v>
                </c:pt>
                <c:pt idx="9">
                  <c:v>10. Interruptions</c:v>
                </c:pt>
              </c:strCache>
            </c:strRef>
          </c:cat>
          <c:val>
            <c:numRef>
              <c:f>WideFormat!$K$3:$K$12</c:f>
              <c:numCache>
                <c:formatCode>0.0</c:formatCode>
                <c:ptCount val="10"/>
                <c:pt idx="0">
                  <c:v>18.5</c:v>
                </c:pt>
                <c:pt idx="1">
                  <c:v>1.7000000000000002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1.8</c:v>
                </c:pt>
                <c:pt idx="6">
                  <c:v>0.30000000000000004</c:v>
                </c:pt>
                <c:pt idx="7">
                  <c:v>0</c:v>
                </c:pt>
                <c:pt idx="8">
                  <c:v>0</c:v>
                </c:pt>
                <c:pt idx="9">
                  <c:v>1.7000000000000002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WideFormat!$L$3:$L$12</c15:f>
                <c15:dlblRangeCache>
                  <c:ptCount val="10"/>
                  <c:pt idx="0">
                    <c:v>77%</c:v>
                  </c:pt>
                  <c:pt idx="1">
                    <c:v>7%</c:v>
                  </c:pt>
                  <c:pt idx="2">
                    <c:v>0%</c:v>
                  </c:pt>
                  <c:pt idx="3">
                    <c:v>0%</c:v>
                  </c:pt>
                  <c:pt idx="4">
                    <c:v>0%</c:v>
                  </c:pt>
                  <c:pt idx="5">
                    <c:v>8%</c:v>
                  </c:pt>
                  <c:pt idx="6">
                    <c:v>1%</c:v>
                  </c:pt>
                  <c:pt idx="7">
                    <c:v>0%</c:v>
                  </c:pt>
                  <c:pt idx="8">
                    <c:v>0%</c:v>
                  </c:pt>
                  <c:pt idx="9">
                    <c:v>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7B14-FB4A-A5F7-DA0EA6770C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04034655"/>
        <c:axId val="679271071"/>
      </c:barChart>
      <c:catAx>
        <c:axId val="12040346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1071"/>
        <c:crosses val="autoZero"/>
        <c:auto val="1"/>
        <c:lblAlgn val="ctr"/>
        <c:lblOffset val="100"/>
        <c:noMultiLvlLbl val="0"/>
      </c:catAx>
      <c:valAx>
        <c:axId val="67927107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Durst 2 - 10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35C-3D41-A0CA-2887B6EC4B38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35C-3D41-A0CA-2887B6EC4B38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35C-3D41-A0CA-2887B6EC4B38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35C-3D41-A0CA-2887B6EC4B3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35C-3D41-A0CA-2887B6EC4B3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35C-3D41-A0CA-2887B6EC4B3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35C-3D41-A0CA-2887B6EC4B3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C891AC8-F3B5-704F-BBD8-45DEC0AAC0C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64737D5-4D3A-F947-B7CC-EC17D7EC2BE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35C-3D41-A0CA-2887B6EC4B3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4707D9F-6EDC-1F4F-B7BE-C8C77DD55F9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3124B89-7408-E64E-AAD1-C4B429C0185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35C-3D41-A0CA-2887B6EC4B3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049FBE5-0A70-4A4F-ACEB-B17ACA0C590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93C45B4-A570-A745-9CB5-88576A94B89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35C-3D41-A0CA-2887B6EC4B3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BCDF935-53B6-4446-B932-FAE8348C15A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4EDB8EE-097A-674F-85CF-BF01DF87A5D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5C-3D41-A0CA-2887B6EC4B3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D0D708C-3CE4-1C42-B1D1-AA4D2266AC3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9B6D0C0-B6A3-7A4F-A7D2-EF0DED8039F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35C-3D41-A0CA-2887B6EC4B3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2CC128E-7583-4645-B94E-EBB03169785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2374898-3589-DF42-8EB3-2B7C2B46A4D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35C-3D41-A0CA-2887B6EC4B3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93A236A-35E0-EA41-AA46-79417129E76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17356DE-8430-D94F-ADEE-65EA9FE1009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35C-3D41-A0CA-2887B6EC4B3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6A1CBDA-EEC2-214A-8EB7-5AED84493C8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A11C26C-E380-E64B-833A-60EE9B88173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35C-3D41-A0CA-2887B6EC4B3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8CAFAB8-767E-3547-931B-4FBA92D8AC5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69B6658-211B-BD4D-ABF7-C5F0B33A6F4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35C-3D41-A0CA-2887B6EC4B3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B47ABCF-56A3-E549-800B-C8740B9AD9E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9649A96-FEC8-DB44-B8A7-9E61CB73DB7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35C-3D41-A0CA-2887B6EC4B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WideFormat!$J$34:$J$43</c:f>
              <c:strCache>
                <c:ptCount val="10"/>
                <c:pt idx="0">
                  <c:v>1. Running</c:v>
                </c:pt>
                <c:pt idx="1">
                  <c:v>2. Make Ready</c:v>
                </c:pt>
                <c:pt idx="2">
                  <c:v>3. Roll Change</c:v>
                </c:pt>
                <c:pt idx="3">
                  <c:v>4. Not Planned</c:v>
                </c:pt>
                <c:pt idx="4">
                  <c:v>5. No Work</c:v>
                </c:pt>
                <c:pt idx="5">
                  <c:v>6. Breaks</c:v>
                </c:pt>
                <c:pt idx="6">
                  <c:v>7. Maintenance</c:v>
                </c:pt>
                <c:pt idx="7">
                  <c:v>8. No Operator</c:v>
                </c:pt>
                <c:pt idx="8">
                  <c:v>9. Breakdown</c:v>
                </c:pt>
                <c:pt idx="9">
                  <c:v>10. Interruptions</c:v>
                </c:pt>
              </c:strCache>
            </c:strRef>
          </c:cat>
          <c:val>
            <c:numRef>
              <c:f>WideFormat!$K$34:$K$43</c:f>
              <c:numCache>
                <c:formatCode>0.0</c:formatCode>
                <c:ptCount val="10"/>
                <c:pt idx="0">
                  <c:v>23.8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WideFormat!$L$34:$L$43</c15:f>
                <c15:dlblRangeCache>
                  <c:ptCount val="10"/>
                  <c:pt idx="0">
                    <c:v>99%</c:v>
                  </c:pt>
                  <c:pt idx="1">
                    <c:v>0%</c:v>
                  </c:pt>
                  <c:pt idx="2">
                    <c:v>0%</c:v>
                  </c:pt>
                  <c:pt idx="3">
                    <c:v>0%</c:v>
                  </c:pt>
                  <c:pt idx="4">
                    <c:v>0%</c:v>
                  </c:pt>
                  <c:pt idx="5">
                    <c:v>0%</c:v>
                  </c:pt>
                  <c:pt idx="6">
                    <c:v>1%</c:v>
                  </c:pt>
                  <c:pt idx="7">
                    <c:v>0%</c:v>
                  </c:pt>
                  <c:pt idx="8">
                    <c:v>0%</c:v>
                  </c:pt>
                  <c:pt idx="9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035C-3D41-A0CA-2887B6EC4B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04034655"/>
        <c:axId val="679271071"/>
      </c:barChart>
      <c:catAx>
        <c:axId val="12040346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1071"/>
        <c:crosses val="autoZero"/>
        <c:auto val="1"/>
        <c:lblAlgn val="ctr"/>
        <c:lblOffset val="100"/>
        <c:noMultiLvlLbl val="0"/>
      </c:catAx>
      <c:valAx>
        <c:axId val="67927107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Matan</a:t>
            </a:r>
            <a:r>
              <a:rPr lang="en-GB" sz="1200" b="1" baseline="0"/>
              <a:t> 1</a:t>
            </a:r>
            <a:r>
              <a:rPr lang="en-GB" sz="1200" b="1"/>
              <a:t> - 10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F40-EA4B-B446-FAA6A6F504D7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F40-EA4B-B446-FAA6A6F504D7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F40-EA4B-B446-FAA6A6F504D7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F40-EA4B-B446-FAA6A6F504D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F40-EA4B-B446-FAA6A6F504D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F40-EA4B-B446-FAA6A6F504D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F40-EA4B-B446-FAA6A6F504D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04CB653-06FD-6E48-8876-452F7B32EE3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44F56DF-5E4B-2440-88CC-88762358DAA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F40-EA4B-B446-FAA6A6F504D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5B737A4-FE73-3B4B-A02F-5389CE25734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6E03C7D-7931-3F48-B1DE-BDCEA81C53B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F40-EA4B-B446-FAA6A6F504D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0F99BE4-4FEE-C94C-9CCA-B8C4B1476FC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33FCAA7-827C-9441-BE6F-5D1E0D15287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F40-EA4B-B446-FAA6A6F504D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7C3012F-DABA-0C47-9201-D248F0320C2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BD8CF82-7D60-2441-85C6-03963D65C5C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F40-EA4B-B446-FAA6A6F504D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D920519-9AD6-924D-9EC5-BFCC0B5A089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9608CB1-6FC8-AD4C-9DFF-92D2F416162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F40-EA4B-B446-FAA6A6F504D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CAC6F2B-CEFD-F746-AEF8-E07A8CC4025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AB22EE3-F7B4-2B49-8FA9-1F0A3671CE0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F40-EA4B-B446-FAA6A6F504D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239214D-2034-8F41-AF10-0D321935483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72C1D5A-588F-BA4F-8429-5BF8B1571DB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F40-EA4B-B446-FAA6A6F504D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689E0E8-FB59-C44D-8160-76531329AD0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3ADF7E3-693C-754C-B537-4BFD30CA828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F40-EA4B-B446-FAA6A6F504D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7F6C413-C77E-0940-A9AB-ED3644CE032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27DEACE-4808-B040-A27F-AC6D0D4D3D2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F40-EA4B-B446-FAA6A6F504D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05AAD61-2BF9-8C4F-9100-712D2CBD469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8775F8B-6410-DA49-B735-8CFBE5EB52F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F40-EA4B-B446-FAA6A6F504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WideFormat!$J$66:$J$75</c:f>
              <c:strCache>
                <c:ptCount val="10"/>
                <c:pt idx="0">
                  <c:v>1. Running</c:v>
                </c:pt>
                <c:pt idx="1">
                  <c:v>2. Make Ready</c:v>
                </c:pt>
                <c:pt idx="2">
                  <c:v>3. Roll Change</c:v>
                </c:pt>
                <c:pt idx="3">
                  <c:v>4. Not Planned</c:v>
                </c:pt>
                <c:pt idx="4">
                  <c:v>5. No Work</c:v>
                </c:pt>
                <c:pt idx="5">
                  <c:v>6. Breaks</c:v>
                </c:pt>
                <c:pt idx="6">
                  <c:v>7. Maintenance</c:v>
                </c:pt>
                <c:pt idx="7">
                  <c:v>8. No Operator</c:v>
                </c:pt>
                <c:pt idx="8">
                  <c:v>9. Breakdown</c:v>
                </c:pt>
                <c:pt idx="9">
                  <c:v>10. Interruptions</c:v>
                </c:pt>
              </c:strCache>
            </c:strRef>
          </c:cat>
          <c:val>
            <c:numRef>
              <c:f>WideFormat!$K$66:$K$75</c:f>
              <c:numCache>
                <c:formatCode>0.0</c:formatCode>
                <c:ptCount val="10"/>
                <c:pt idx="0">
                  <c:v>10.600000000000001</c:v>
                </c:pt>
                <c:pt idx="1">
                  <c:v>4.7</c:v>
                </c:pt>
                <c:pt idx="2">
                  <c:v>0</c:v>
                </c:pt>
                <c:pt idx="3">
                  <c:v>0</c:v>
                </c:pt>
                <c:pt idx="4">
                  <c:v>4.8000000000000007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2.5</c:v>
                </c:pt>
                <c:pt idx="9">
                  <c:v>0.4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WideFormat!$L$66:$L$75</c15:f>
                <c15:dlblRangeCache>
                  <c:ptCount val="10"/>
                  <c:pt idx="0">
                    <c:v>44%</c:v>
                  </c:pt>
                  <c:pt idx="1">
                    <c:v>20%</c:v>
                  </c:pt>
                  <c:pt idx="2">
                    <c:v>0%</c:v>
                  </c:pt>
                  <c:pt idx="3">
                    <c:v>0%</c:v>
                  </c:pt>
                  <c:pt idx="4">
                    <c:v>20%</c:v>
                  </c:pt>
                  <c:pt idx="5">
                    <c:v>0%</c:v>
                  </c:pt>
                  <c:pt idx="6">
                    <c:v>4%</c:v>
                  </c:pt>
                  <c:pt idx="7">
                    <c:v>0%</c:v>
                  </c:pt>
                  <c:pt idx="8">
                    <c:v>10%</c:v>
                  </c:pt>
                  <c:pt idx="9">
                    <c:v>2%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DF40-EA4B-B446-FAA6A6F504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04034655"/>
        <c:axId val="679271071"/>
      </c:barChart>
      <c:catAx>
        <c:axId val="12040346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1071"/>
        <c:crosses val="autoZero"/>
        <c:auto val="1"/>
        <c:lblAlgn val="ctr"/>
        <c:lblOffset val="100"/>
        <c:noMultiLvlLbl val="0"/>
      </c:catAx>
      <c:valAx>
        <c:axId val="67927107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Matan 2 - 10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38C-8545-B0B3-AE52A18117F2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38C-8545-B0B3-AE52A18117F2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38C-8545-B0B3-AE52A18117F2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38C-8545-B0B3-AE52A18117F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38C-8545-B0B3-AE52A18117F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38C-8545-B0B3-AE52A18117F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38C-8545-B0B3-AE52A18117F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06C9806C-630F-9D4F-B062-6DE31BAAC1B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12F992A-048E-8044-8CFC-A9E41D88920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38C-8545-B0B3-AE52A18117F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02E36A9-27E1-5A4A-A6C1-57BACA3E69C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9401E19-6064-2D47-AB83-72598ABEB33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38C-8545-B0B3-AE52A18117F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6A539E2-6BAA-2C4B-B8C9-CB95E060A7F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037D9B1-4AC0-5145-86B6-8DCC211C2EDB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38C-8545-B0B3-AE52A18117F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D6B9CF7-E23B-C843-8E53-34FDDB61C98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6B0E097-4832-6141-BA4D-838CEFBF9CF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8C-8545-B0B3-AE52A18117F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F93F5FE-33DD-AE44-99B5-836F653DD01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B0D2D93-FD9B-4B4E-BED1-632D912DB89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38C-8545-B0B3-AE52A18117F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8A91726-4309-8549-9077-53A55651521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F038211-8759-AD4B-8D88-66FB3A388E8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38C-8545-B0B3-AE52A18117F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8CCE385-7EC4-DC4A-8B11-7EB0CD1F289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3F20A77-DDC2-EC4B-A65F-1A5CF7D2922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38C-8545-B0B3-AE52A18117F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637DC73-1A49-FB44-95A1-135638F8DE0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79C452F-2B76-6E45-AF8F-38DAEA5379F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38C-8545-B0B3-AE52A18117F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B4D4A6D-51DD-E14D-924E-891C76C97A9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939D733-6FE8-B34E-8490-BA3E2BD9CE8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38C-8545-B0B3-AE52A18117F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4070432-D146-5D46-A3B9-380FD93D53F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D697F00-FF2F-5243-8BF4-73830D8D18A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38C-8545-B0B3-AE52A18117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WideFormat!$J$98:$J$107</c:f>
              <c:strCache>
                <c:ptCount val="10"/>
                <c:pt idx="0">
                  <c:v>1. Running</c:v>
                </c:pt>
                <c:pt idx="1">
                  <c:v>2. Make Ready</c:v>
                </c:pt>
                <c:pt idx="2">
                  <c:v>3. Roll Change</c:v>
                </c:pt>
                <c:pt idx="3">
                  <c:v>4. Not Planned</c:v>
                </c:pt>
                <c:pt idx="4">
                  <c:v>5. No Work</c:v>
                </c:pt>
                <c:pt idx="5">
                  <c:v>6. Breaks</c:v>
                </c:pt>
                <c:pt idx="6">
                  <c:v>7. Maintenance</c:v>
                </c:pt>
                <c:pt idx="7">
                  <c:v>8. No Operator</c:v>
                </c:pt>
                <c:pt idx="8">
                  <c:v>9. Breakdown</c:v>
                </c:pt>
                <c:pt idx="9">
                  <c:v>10. Interruptions</c:v>
                </c:pt>
              </c:strCache>
            </c:strRef>
          </c:cat>
          <c:val>
            <c:numRef>
              <c:f>WideFormat!$K$98:$K$107</c:f>
              <c:numCache>
                <c:formatCode>0.0</c:formatCode>
                <c:ptCount val="10"/>
                <c:pt idx="0">
                  <c:v>8.3000000000000007</c:v>
                </c:pt>
                <c:pt idx="1">
                  <c:v>2.2000000000000002</c:v>
                </c:pt>
                <c:pt idx="2">
                  <c:v>0</c:v>
                </c:pt>
                <c:pt idx="3">
                  <c:v>0</c:v>
                </c:pt>
                <c:pt idx="4">
                  <c:v>7.1000000000000005</c:v>
                </c:pt>
                <c:pt idx="5">
                  <c:v>0</c:v>
                </c:pt>
                <c:pt idx="6">
                  <c:v>0.4</c:v>
                </c:pt>
                <c:pt idx="7">
                  <c:v>0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WideFormat!$L$98:$L$107</c15:f>
                <c15:dlblRangeCache>
                  <c:ptCount val="10"/>
                  <c:pt idx="0">
                    <c:v>35%</c:v>
                  </c:pt>
                  <c:pt idx="1">
                    <c:v>9%</c:v>
                  </c:pt>
                  <c:pt idx="2">
                    <c:v>0%</c:v>
                  </c:pt>
                  <c:pt idx="3">
                    <c:v>0%</c:v>
                  </c:pt>
                  <c:pt idx="4">
                    <c:v>30%</c:v>
                  </c:pt>
                  <c:pt idx="5">
                    <c:v>0%</c:v>
                  </c:pt>
                  <c:pt idx="6">
                    <c:v>2%</c:v>
                  </c:pt>
                  <c:pt idx="7">
                    <c:v>0%</c:v>
                  </c:pt>
                  <c:pt idx="8">
                    <c:v>25%</c:v>
                  </c:pt>
                  <c:pt idx="9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038C-8545-B0B3-AE52A18117F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04034655"/>
        <c:axId val="679271071"/>
      </c:barChart>
      <c:catAx>
        <c:axId val="12040346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1071"/>
        <c:crosses val="autoZero"/>
        <c:auto val="1"/>
        <c:lblAlgn val="ctr"/>
        <c:lblOffset val="100"/>
        <c:noMultiLvlLbl val="0"/>
      </c:catAx>
      <c:valAx>
        <c:axId val="67927107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Indigo - 3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16188299043266"/>
          <c:y val="0.20030371203599551"/>
          <c:w val="0.71847193294386591"/>
          <c:h val="0.59658830146231723"/>
        </c:manualLayout>
      </c:layout>
      <c:pie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B2-3643-A90B-45C53BF15100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0A4-394C-A1B6-F4B06B65955E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0A4-394C-A1B6-F4B06B65955E}"/>
              </c:ext>
            </c:extLst>
          </c:dPt>
          <c:dLbls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418107521193543"/>
                      <c:h val="0.1450055293986248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60A4-394C-A1B6-F4B06B65955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6339108251443727"/>
                      <c:h val="0.1653323223631532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0A4-394C-A1B6-F4B06B65955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Bureau!$F$2:$F$4</c:f>
              <c:strCache>
                <c:ptCount val="3"/>
                <c:pt idx="0">
                  <c:v>Up-Time</c:v>
                </c:pt>
                <c:pt idx="1">
                  <c:v>Planned Downtime</c:v>
                </c:pt>
                <c:pt idx="2">
                  <c:v>Unplanned Donwtime</c:v>
                </c:pt>
              </c:strCache>
            </c:strRef>
          </c:cat>
          <c:val>
            <c:numRef>
              <c:f>Bureau!$G$2:$G$4</c:f>
              <c:numCache>
                <c:formatCode>0.0</c:formatCode>
                <c:ptCount val="3"/>
                <c:pt idx="0">
                  <c:v>0</c:v>
                </c:pt>
                <c:pt idx="1">
                  <c:v>24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4-394C-A1B6-F4B06B659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GS2000 - 3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16188299043266"/>
          <c:y val="0.20030371203599551"/>
          <c:w val="0.71847193294386591"/>
          <c:h val="0.59658830146231723"/>
        </c:manualLayout>
      </c:layout>
      <c:pie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37-E74C-A2FD-2D82961B73B5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37-E74C-A2FD-2D82961B73B5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37-E74C-A2FD-2D82961B73B5}"/>
              </c:ext>
            </c:extLst>
          </c:dPt>
          <c:dLbls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39118766230801"/>
                      <c:h val="0.1439597320676983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37-E74C-A2FD-2D82961B73B5}"/>
                </c:ext>
              </c:extLst>
            </c:dLbl>
            <c:dLbl>
              <c:idx val="2"/>
              <c:layout>
                <c:manualLayout>
                  <c:x val="-0.24911469363331476"/>
                  <c:y val="6.586065208937530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434274063311889"/>
                      <c:h val="0.1522394586380680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DE37-E74C-A2FD-2D82961B73B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Bureau!$F$33:$F$35</c:f>
              <c:strCache>
                <c:ptCount val="3"/>
                <c:pt idx="0">
                  <c:v>Up-Time</c:v>
                </c:pt>
                <c:pt idx="1">
                  <c:v>Planned Downtime</c:v>
                </c:pt>
                <c:pt idx="2">
                  <c:v>Unplanned Donwtime</c:v>
                </c:pt>
              </c:strCache>
            </c:strRef>
          </c:cat>
          <c:val>
            <c:numRef>
              <c:f>Bureau!$G$33:$G$35</c:f>
              <c:numCache>
                <c:formatCode>0.0</c:formatCode>
                <c:ptCount val="3"/>
                <c:pt idx="0">
                  <c:v>6.4</c:v>
                </c:pt>
                <c:pt idx="1">
                  <c:v>16.7</c:v>
                </c:pt>
                <c:pt idx="2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37-E74C-A2FD-2D82961B7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Latex1 - 3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16188299043266"/>
          <c:y val="0.20030371203599551"/>
          <c:w val="0.71847193294386591"/>
          <c:h val="0.59658830146231723"/>
        </c:manualLayout>
      </c:layout>
      <c:pie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1AE-194C-BA3A-FA436EE84507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1AE-194C-BA3A-FA436EE84507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1AE-194C-BA3A-FA436EE84507}"/>
              </c:ext>
            </c:extLst>
          </c:dPt>
          <c:dLbls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010450627934802"/>
                      <c:h val="0.1760403928715889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1AE-194C-BA3A-FA436EE84507}"/>
                </c:ext>
              </c:extLst>
            </c:dLbl>
            <c:dLbl>
              <c:idx val="2"/>
              <c:layout>
                <c:manualLayout>
                  <c:x val="-0.25088216358844295"/>
                  <c:y val="7.260193314498375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313348862530235"/>
                      <c:h val="0.1641399770236578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D1AE-194C-BA3A-FA436EE8450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Bureau!$F$65:$F$67</c:f>
              <c:strCache>
                <c:ptCount val="3"/>
                <c:pt idx="0">
                  <c:v>Up-Time</c:v>
                </c:pt>
                <c:pt idx="1">
                  <c:v>Planned Downtime</c:v>
                </c:pt>
                <c:pt idx="2">
                  <c:v>Unplanned Donwtime</c:v>
                </c:pt>
              </c:strCache>
            </c:strRef>
          </c:cat>
          <c:val>
            <c:numRef>
              <c:f>Bureau!$G$65:$G$67</c:f>
              <c:numCache>
                <c:formatCode>0.0</c:formatCode>
                <c:ptCount val="3"/>
                <c:pt idx="0">
                  <c:v>3.6</c:v>
                </c:pt>
                <c:pt idx="1">
                  <c:v>20.399999999999999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AE-194C-BA3A-FA436EE84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Latex2 - 3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88575154220372"/>
          <c:y val="0.2253037120359955"/>
          <c:w val="0.67959543273651302"/>
          <c:h val="0.57158830146231721"/>
        </c:manualLayout>
      </c:layout>
      <c:pie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EE-B049-9BE7-14ABC367389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EE-B049-9BE7-14ABC3673894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EE-B049-9BE7-14ABC3673894}"/>
              </c:ext>
            </c:extLst>
          </c:dPt>
          <c:dLbls>
            <c:dLbl>
              <c:idx val="1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2365682564583156"/>
                      <c:h val="0.1608110121030902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CEE-B049-9BE7-14ABC3673894}"/>
                </c:ext>
              </c:extLst>
            </c:dLbl>
            <c:dLbl>
              <c:idx val="2"/>
              <c:layout>
                <c:manualLayout>
                  <c:x val="-0.20269153121320468"/>
                  <c:y val="3.7834896851691259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5942579280668321"/>
                      <c:h val="0.1528457706606289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CCEE-B049-9BE7-14ABC367389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Bureau!$F$96:$F$98</c:f>
              <c:strCache>
                <c:ptCount val="3"/>
                <c:pt idx="0">
                  <c:v>Up-Time</c:v>
                </c:pt>
                <c:pt idx="1">
                  <c:v>Planned Downtime</c:v>
                </c:pt>
                <c:pt idx="2">
                  <c:v>Unplanned Donwtime</c:v>
                </c:pt>
              </c:strCache>
            </c:strRef>
          </c:cat>
          <c:val>
            <c:numRef>
              <c:f>Bureau!$G$96:$G$98</c:f>
              <c:numCache>
                <c:formatCode>0.0</c:formatCode>
                <c:ptCount val="3"/>
                <c:pt idx="0">
                  <c:v>3.1</c:v>
                </c:pt>
                <c:pt idx="1">
                  <c:v>20.9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EE-B049-9BE7-14ABC3673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Latex</a:t>
            </a:r>
            <a:r>
              <a:rPr lang="en-GB" sz="1200" b="1" baseline="0"/>
              <a:t> 2 </a:t>
            </a:r>
            <a:r>
              <a:rPr lang="en-GB" sz="1200" b="1"/>
              <a:t>- 10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A0-6045-9F5E-087180B4D708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A0-6045-9F5E-087180B4D708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A0-6045-9F5E-087180B4D708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0A0-6045-9F5E-087180B4D70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0A0-6045-9F5E-087180B4D70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0A0-6045-9F5E-087180B4D70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0A0-6045-9F5E-087180B4D70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EEA6C02-903C-2D4D-8367-732E903465D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23A1828-5F00-E148-AEC9-BE917CF420E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0A0-6045-9F5E-087180B4D70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B18BAA6-4DCD-4542-9432-B03523AA3C6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22621F0-D8CA-EC4A-A79D-AFFBD26F9FC7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0A0-6045-9F5E-087180B4D70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C9888D6-1B10-C541-A48B-EC19C373758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4DF3290-C787-E542-99FE-78C7AC8A936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0A0-6045-9F5E-087180B4D70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9DD4575-1A3A-A740-8BA6-4A62D5FA26F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0FC42C3-45E4-E64E-A98D-25ADBDE071D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0A0-6045-9F5E-087180B4D70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2C62357-9573-0741-BE1E-2FF38063F11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1F9EEF8-66F6-CC45-B5B7-75C9DFE0A82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0A0-6045-9F5E-087180B4D70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46C0FA5-520E-984B-8C67-F55B8CB1651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D478CE3-FB03-B840-8C41-719D1BFA356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0A0-6045-9F5E-087180B4D70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F21F385-03F6-804B-9F1C-854E16A63A5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357BA25-F4FE-EC45-B840-9A1B68004A9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0A0-6045-9F5E-087180B4D70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0D64168-05C8-8C4B-AD42-F7C45B8D5E4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851376E-CEB6-044E-A297-BA64AC5A9CF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0A0-6045-9F5E-087180B4D70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208C791-B186-DA45-A710-348CB390FC0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35C60E8-0449-0B44-8A11-8CF27BFF2DB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0A0-6045-9F5E-087180B4D70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F5340C7-6D53-FF4E-B60B-FE31FC34E19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7216838-3168-9149-8C78-F75F95A4AB5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0A0-6045-9F5E-087180B4D7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Bureau!$J$96:$J$105</c:f>
              <c:strCache>
                <c:ptCount val="10"/>
                <c:pt idx="0">
                  <c:v>1. Running</c:v>
                </c:pt>
                <c:pt idx="1">
                  <c:v>2. Make Ready</c:v>
                </c:pt>
                <c:pt idx="2">
                  <c:v>3. Roll Change</c:v>
                </c:pt>
                <c:pt idx="3">
                  <c:v>4. Not Planned</c:v>
                </c:pt>
                <c:pt idx="4">
                  <c:v>5. No Work</c:v>
                </c:pt>
                <c:pt idx="5">
                  <c:v>6. Breaks</c:v>
                </c:pt>
                <c:pt idx="6">
                  <c:v>7. Maintenance</c:v>
                </c:pt>
                <c:pt idx="7">
                  <c:v>8. No Operator</c:v>
                </c:pt>
                <c:pt idx="8">
                  <c:v>9. Breakdown</c:v>
                </c:pt>
                <c:pt idx="9">
                  <c:v>10. Interruptions</c:v>
                </c:pt>
              </c:strCache>
            </c:strRef>
          </c:cat>
          <c:val>
            <c:numRef>
              <c:f>Bureau!$K$96:$K$105</c:f>
              <c:numCache>
                <c:formatCode>0.0</c:formatCode>
                <c:ptCount val="10"/>
                <c:pt idx="0">
                  <c:v>2.7</c:v>
                </c:pt>
                <c:pt idx="1">
                  <c:v>0.4</c:v>
                </c:pt>
                <c:pt idx="2">
                  <c:v>0</c:v>
                </c:pt>
                <c:pt idx="3">
                  <c:v>16</c:v>
                </c:pt>
                <c:pt idx="4">
                  <c:v>4.9000000000000004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Bureau!$L$96:$L$105</c15:f>
                <c15:dlblRangeCache>
                  <c:ptCount val="10"/>
                  <c:pt idx="0">
                    <c:v>11%</c:v>
                  </c:pt>
                  <c:pt idx="1">
                    <c:v>2%</c:v>
                  </c:pt>
                  <c:pt idx="2">
                    <c:v>0%</c:v>
                  </c:pt>
                  <c:pt idx="3">
                    <c:v>67%</c:v>
                  </c:pt>
                  <c:pt idx="4">
                    <c:v>20%</c:v>
                  </c:pt>
                  <c:pt idx="5">
                    <c:v>0%</c:v>
                  </c:pt>
                  <c:pt idx="6">
                    <c:v>0%</c:v>
                  </c:pt>
                  <c:pt idx="7">
                    <c:v>0%</c:v>
                  </c:pt>
                  <c:pt idx="8">
                    <c:v>0%</c:v>
                  </c:pt>
                  <c:pt idx="9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A0A0-6045-9F5E-087180B4D7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04034655"/>
        <c:axId val="679271071"/>
      </c:barChart>
      <c:catAx>
        <c:axId val="12040346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1071"/>
        <c:crosses val="autoZero"/>
        <c:auto val="1"/>
        <c:lblAlgn val="ctr"/>
        <c:lblOffset val="100"/>
        <c:noMultiLvlLbl val="0"/>
      </c:catAx>
      <c:valAx>
        <c:axId val="67927107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Latex</a:t>
            </a:r>
            <a:r>
              <a:rPr lang="en-GB" sz="1200" b="1" baseline="0"/>
              <a:t> 1 </a:t>
            </a:r>
            <a:r>
              <a:rPr lang="en-GB" sz="1200" b="1"/>
              <a:t>- 10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1C-DE4D-ADD2-E07111D2317C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1C-DE4D-ADD2-E07111D2317C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1C-DE4D-ADD2-E07111D2317C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1C-DE4D-ADD2-E07111D2317C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1C-DE4D-ADD2-E07111D2317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51C-DE4D-ADD2-E07111D2317C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51C-DE4D-ADD2-E07111D2317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04BDA9A2-2AC8-BE4E-8C04-20267753309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64FC0FE-DE15-834C-BCE8-CD683AB90A9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51C-DE4D-ADD2-E07111D2317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CCC46B7-55B3-B14C-B10D-5A778C0F02D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7E2F025-148B-3B47-946A-FEA4E59E6E6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51C-DE4D-ADD2-E07111D2317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7214763-9365-CC4E-A6A2-AEE3608A8F2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6835556-A3DD-5E47-A9F9-EE87E850550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51C-DE4D-ADD2-E07111D2317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6B17DBE-783E-6A4B-BE34-A5414E46905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DDD895F-8823-5C45-BEAE-B762B1AE005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51C-DE4D-ADD2-E07111D2317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77B4D49-7460-8940-9E8E-B5E2BC68CB9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D6B6E91-1918-224E-B07E-FE534F3D8FE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51C-DE4D-ADD2-E07111D2317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E55901F-1210-AD41-AEE9-DAF0CFFC8C3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D58CA8E-B0DD-884E-8B4E-032904AF11D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51C-DE4D-ADD2-E07111D2317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63E907A-D3D1-A845-B686-C217695A1CB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CC5F927-92A4-B640-92ED-966F3E1AE0F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51C-DE4D-ADD2-E07111D2317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C0084EA-102C-F840-A491-5067E7A553D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E6FA333-5FA9-CD4D-9ADF-309A99BA006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51C-DE4D-ADD2-E07111D2317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AF5128B-F203-2447-BC49-43053BFA4C9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F3D6201-3849-0B4B-9F3D-B1ED3166F50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51C-DE4D-ADD2-E07111D2317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339DD89-5007-284D-9750-09C58AB2EDA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6FAD4F1-F25F-8940-8AC3-12C23DF20AC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51C-DE4D-ADD2-E07111D231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Bureau!$J$65:$J$74</c:f>
              <c:strCache>
                <c:ptCount val="10"/>
                <c:pt idx="0">
                  <c:v>1. Running</c:v>
                </c:pt>
                <c:pt idx="1">
                  <c:v>2. Make Ready</c:v>
                </c:pt>
                <c:pt idx="2">
                  <c:v>3. Roll Change</c:v>
                </c:pt>
                <c:pt idx="3">
                  <c:v>4. Not Planned</c:v>
                </c:pt>
                <c:pt idx="4">
                  <c:v>5. No Work</c:v>
                </c:pt>
                <c:pt idx="5">
                  <c:v>6. Breaks</c:v>
                </c:pt>
                <c:pt idx="6">
                  <c:v>7. Maintenance</c:v>
                </c:pt>
                <c:pt idx="7">
                  <c:v>8. No Operator</c:v>
                </c:pt>
                <c:pt idx="8">
                  <c:v>9. Breakdown</c:v>
                </c:pt>
                <c:pt idx="9">
                  <c:v>10. Interruptions</c:v>
                </c:pt>
              </c:strCache>
            </c:strRef>
          </c:cat>
          <c:val>
            <c:numRef>
              <c:f>Bureau!$K$65:$K$74</c:f>
              <c:numCache>
                <c:formatCode>0.0</c:formatCode>
                <c:ptCount val="10"/>
                <c:pt idx="0">
                  <c:v>3.6</c:v>
                </c:pt>
                <c:pt idx="1">
                  <c:v>0</c:v>
                </c:pt>
                <c:pt idx="2">
                  <c:v>0</c:v>
                </c:pt>
                <c:pt idx="3">
                  <c:v>16</c:v>
                </c:pt>
                <c:pt idx="4">
                  <c:v>4.4000000000000004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Bureau!$L$65:$L$74</c15:f>
                <c15:dlblRangeCache>
                  <c:ptCount val="10"/>
                  <c:pt idx="0">
                    <c:v>15%</c:v>
                  </c:pt>
                  <c:pt idx="1">
                    <c:v>0%</c:v>
                  </c:pt>
                  <c:pt idx="2">
                    <c:v>0%</c:v>
                  </c:pt>
                  <c:pt idx="3">
                    <c:v>67%</c:v>
                  </c:pt>
                  <c:pt idx="4">
                    <c:v>18%</c:v>
                  </c:pt>
                  <c:pt idx="5">
                    <c:v>0%</c:v>
                  </c:pt>
                  <c:pt idx="6">
                    <c:v>0%</c:v>
                  </c:pt>
                  <c:pt idx="7">
                    <c:v>0%</c:v>
                  </c:pt>
                  <c:pt idx="8">
                    <c:v>0%</c:v>
                  </c:pt>
                  <c:pt idx="9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B51C-DE4D-ADD2-E07111D231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04034655"/>
        <c:axId val="679271071"/>
      </c:barChart>
      <c:catAx>
        <c:axId val="12040346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1071"/>
        <c:crosses val="autoZero"/>
        <c:auto val="1"/>
        <c:lblAlgn val="ctr"/>
        <c:lblOffset val="100"/>
        <c:noMultiLvlLbl val="0"/>
      </c:catAx>
      <c:valAx>
        <c:axId val="67927107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GS2000 - 10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D8E-E94B-AFF6-5411B3B7D4EA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D8E-E94B-AFF6-5411B3B7D4EA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D8E-E94B-AFF6-5411B3B7D4EA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D8E-E94B-AFF6-5411B3B7D4E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D8E-E94B-AFF6-5411B3B7D4EA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D8E-E94B-AFF6-5411B3B7D4EA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D8E-E94B-AFF6-5411B3B7D4E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E439642-B0F7-4C42-A44D-64975013419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EAE88ED-F43B-0446-9BE7-A67764171D5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D8E-E94B-AFF6-5411B3B7D4E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20058E6-C998-6240-AB5E-95478378AC3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D2F980F-1D71-6249-BEB4-D1B934F9A46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D8E-E94B-AFF6-5411B3B7D4E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BB55A5F-6ABA-894E-A8B5-02BDA55CAB7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7F8B474-2AC4-614F-A841-FC650E8688B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D8E-E94B-AFF6-5411B3B7D4E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AF1E25F-C928-A94C-9A91-49A86C5876E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17F1F47-1AE0-EE4B-AE56-ACAF85D3137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D8E-E94B-AFF6-5411B3B7D4E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305EA92-5443-7C4C-AD84-45BCABD73D6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905C67B-3C73-A641-AC92-F97AC5456D7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D8E-E94B-AFF6-5411B3B7D4E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C2CDC43-3814-4E4F-B725-6A520355E14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4049B1C-BA19-6B4A-A4A9-4EFC5CA22F1B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D8E-E94B-AFF6-5411B3B7D4E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9F305FB-FDFE-6A44-BF72-2D21D9EADA8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BF59AE5-5994-024C-B437-7C5440E9AD0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D8E-E94B-AFF6-5411B3B7D4E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BD31C49-5B1D-154A-BB28-CEE58E66775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B21FEDE-34F7-C340-AD79-E8E3B9607F8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D8E-E94B-AFF6-5411B3B7D4E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CFD0242-899E-FB4A-9B0C-DA04531D3BC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8F42A1C-44A8-184B-9DD2-4EF974C65A0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D8E-E94B-AFF6-5411B3B7D4E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821EEE3-3867-6845-BCFF-796BBF39555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F3451EC-8781-0546-913C-3F5A925D72F7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D8E-E94B-AFF6-5411B3B7D4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Bureau!$J$33:$J$42</c:f>
              <c:strCache>
                <c:ptCount val="10"/>
                <c:pt idx="0">
                  <c:v>1. Running</c:v>
                </c:pt>
                <c:pt idx="1">
                  <c:v>2. Make Ready</c:v>
                </c:pt>
                <c:pt idx="2">
                  <c:v>3. Roll Change</c:v>
                </c:pt>
                <c:pt idx="3">
                  <c:v>4. Not Planned</c:v>
                </c:pt>
                <c:pt idx="4">
                  <c:v>5. No Work</c:v>
                </c:pt>
                <c:pt idx="5">
                  <c:v>6. Breaks</c:v>
                </c:pt>
                <c:pt idx="6">
                  <c:v>7. Maintenance</c:v>
                </c:pt>
                <c:pt idx="7">
                  <c:v>8. No Operator</c:v>
                </c:pt>
                <c:pt idx="8">
                  <c:v>9. Breakdown</c:v>
                </c:pt>
                <c:pt idx="9">
                  <c:v>10. Interruptions</c:v>
                </c:pt>
              </c:strCache>
            </c:strRef>
          </c:cat>
          <c:val>
            <c:numRef>
              <c:f>Bureau!$K$33:$K$42</c:f>
              <c:numCache>
                <c:formatCode>0.0</c:formatCode>
                <c:ptCount val="10"/>
                <c:pt idx="0">
                  <c:v>6.4</c:v>
                </c:pt>
                <c:pt idx="1">
                  <c:v>0</c:v>
                </c:pt>
                <c:pt idx="2">
                  <c:v>0</c:v>
                </c:pt>
                <c:pt idx="3">
                  <c:v>16</c:v>
                </c:pt>
                <c:pt idx="4">
                  <c:v>0</c:v>
                </c:pt>
                <c:pt idx="5">
                  <c:v>0.70000000000000007</c:v>
                </c:pt>
                <c:pt idx="6">
                  <c:v>0</c:v>
                </c:pt>
                <c:pt idx="7">
                  <c:v>0.9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Bureau!$L$33:$L$42</c15:f>
                <c15:dlblRangeCache>
                  <c:ptCount val="10"/>
                  <c:pt idx="0">
                    <c:v>27%</c:v>
                  </c:pt>
                  <c:pt idx="1">
                    <c:v>0%</c:v>
                  </c:pt>
                  <c:pt idx="2">
                    <c:v>0%</c:v>
                  </c:pt>
                  <c:pt idx="3">
                    <c:v>67%</c:v>
                  </c:pt>
                  <c:pt idx="4">
                    <c:v>0%</c:v>
                  </c:pt>
                  <c:pt idx="5">
                    <c:v>3%</c:v>
                  </c:pt>
                  <c:pt idx="6">
                    <c:v>0%</c:v>
                  </c:pt>
                  <c:pt idx="7">
                    <c:v>4%</c:v>
                  </c:pt>
                  <c:pt idx="8">
                    <c:v>0%</c:v>
                  </c:pt>
                  <c:pt idx="9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DD8E-E94B-AFF6-5411B3B7D4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04034655"/>
        <c:axId val="679271071"/>
      </c:barChart>
      <c:catAx>
        <c:axId val="12040346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1071"/>
        <c:crosses val="autoZero"/>
        <c:auto val="1"/>
        <c:lblAlgn val="ctr"/>
        <c:lblOffset val="100"/>
        <c:noMultiLvlLbl val="0"/>
      </c:catAx>
      <c:valAx>
        <c:axId val="67927107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Indigo - 10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7F-F843-9CFF-DEED071DD634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7F-F843-9CFF-DEED071DD634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7F-F843-9CFF-DEED071DD634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7F-F843-9CFF-DEED071DD63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57F-F843-9CFF-DEED071DD63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57F-F843-9CFF-DEED071DD63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57F-F843-9CFF-DEED071DD63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F850C4F-C7D6-DE4A-B813-DBF620A794C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6F6E6A8-4A5F-F849-938C-61883ABC8BC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57F-F843-9CFF-DEED071DD63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5E2FF36-429F-E647-86D8-6F1236E4F08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3161A13-8475-BC48-BC12-0E74C93F616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57F-F843-9CFF-DEED071DD63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AA3FC66-F4E3-5B42-B1C7-8139ECC18A3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78E2803-8CB2-1C40-AE43-95D8D3E38F8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57F-F843-9CFF-DEED071DD63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7151C90-C971-0945-86AB-98B18028929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92693BD-0017-374C-9FBB-F4243720551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7F-F843-9CFF-DEED071DD63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D3AB64D-0CC8-EC42-B3D1-B79C1300FBB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C4D5542-6D1B-3B43-9312-EBBB591CF9A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57F-F843-9CFF-DEED071DD63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CA9B01E-AEAD-0F4C-9868-883A13B765B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AF6735B-D90C-8940-91DB-90BABD56834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57F-F843-9CFF-DEED071DD63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C205796-377D-3543-A197-6C13CFF88FE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5547D93-3962-5840-A393-DEFB91EB6C2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57F-F843-9CFF-DEED071DD63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199EE89-7EDD-7D4D-957B-2DA3656605F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77E82E6-DE11-4941-A45F-88FA470F393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57F-F843-9CFF-DEED071DD63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4579DEE-62FA-3E4E-9B07-E54776EC7ED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967109A-49FF-C54D-83E6-E68533CE51A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57F-F843-9CFF-DEED071DD63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36DDFA9-F70F-D44F-AD6D-B1CE8D34503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98B5839-A5AE-4A4F-9D2A-A56A3B7C1C0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357F-F843-9CFF-DEED071DD6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Bureau!$J$2:$J$11</c:f>
              <c:strCache>
                <c:ptCount val="10"/>
                <c:pt idx="0">
                  <c:v>1. Running</c:v>
                </c:pt>
                <c:pt idx="1">
                  <c:v>2. Make Ready</c:v>
                </c:pt>
                <c:pt idx="2">
                  <c:v>3. Roll Change</c:v>
                </c:pt>
                <c:pt idx="3">
                  <c:v>4. Not Planned</c:v>
                </c:pt>
                <c:pt idx="4">
                  <c:v>5. No Work</c:v>
                </c:pt>
                <c:pt idx="5">
                  <c:v>6. Breaks</c:v>
                </c:pt>
                <c:pt idx="6">
                  <c:v>7. Maintenance</c:v>
                </c:pt>
                <c:pt idx="7">
                  <c:v>8. No Operator</c:v>
                </c:pt>
                <c:pt idx="8">
                  <c:v>9. Breakdown</c:v>
                </c:pt>
                <c:pt idx="9">
                  <c:v>10. Interruptions</c:v>
                </c:pt>
              </c:strCache>
            </c:strRef>
          </c:cat>
          <c:val>
            <c:numRef>
              <c:f>Bureau!$K$2:$K$11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Bureau!$L$2:$L$11</c15:f>
                <c15:dlblRangeCache>
                  <c:ptCount val="10"/>
                  <c:pt idx="0">
                    <c:v>0%</c:v>
                  </c:pt>
                  <c:pt idx="1">
                    <c:v>0%</c:v>
                  </c:pt>
                  <c:pt idx="2">
                    <c:v>0%</c:v>
                  </c:pt>
                  <c:pt idx="3">
                    <c:v>67%</c:v>
                  </c:pt>
                  <c:pt idx="4">
                    <c:v>33%</c:v>
                  </c:pt>
                  <c:pt idx="5">
                    <c:v>0%</c:v>
                  </c:pt>
                  <c:pt idx="6">
                    <c:v>0%</c:v>
                  </c:pt>
                  <c:pt idx="7">
                    <c:v>0%</c:v>
                  </c:pt>
                  <c:pt idx="8">
                    <c:v>0%</c:v>
                  </c:pt>
                  <c:pt idx="9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357F-F843-9CFF-DEED071DD6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04034655"/>
        <c:axId val="679271071"/>
      </c:barChart>
      <c:catAx>
        <c:axId val="12040346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1071"/>
        <c:crosses val="autoZero"/>
        <c:auto val="1"/>
        <c:lblAlgn val="ctr"/>
        <c:lblOffset val="100"/>
        <c:noMultiLvlLbl val="0"/>
      </c:catAx>
      <c:valAx>
        <c:axId val="67927107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AutoMiller - 3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94273127753303"/>
          <c:y val="0.23288188976377952"/>
          <c:w val="0.7312775330396476"/>
          <c:h val="0.60363636363636364"/>
        </c:manualLayout>
      </c:layout>
      <c:pie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83-A24A-B761-B611B44BB47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8B-804E-A9B8-43309BB9871B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F8B-804E-A9B8-43309BB9871B}"/>
              </c:ext>
            </c:extLst>
          </c:dPt>
          <c:dLbls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108983855506594"/>
                      <c:h val="0.1446901982550342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F8B-804E-A9B8-43309BB9871B}"/>
                </c:ext>
              </c:extLst>
            </c:dLbl>
            <c:dLbl>
              <c:idx val="2"/>
              <c:layout>
                <c:manualLayout>
                  <c:x val="-6.1674008810572681E-2"/>
                  <c:y val="1.090909090909091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064587741510285"/>
                      <c:h val="0.154511667859699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EF8B-804E-A9B8-43309BB9871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Finishing!$F$3:$F$5</c:f>
              <c:strCache>
                <c:ptCount val="3"/>
                <c:pt idx="0">
                  <c:v>Up-Time</c:v>
                </c:pt>
                <c:pt idx="1">
                  <c:v>Planned Downtime</c:v>
                </c:pt>
                <c:pt idx="2">
                  <c:v>Unplanned Donwtime</c:v>
                </c:pt>
              </c:strCache>
            </c:strRef>
          </c:cat>
          <c:val>
            <c:numRef>
              <c:f>Finishing!$G$3:$G$5</c:f>
              <c:numCache>
                <c:formatCode>0.0</c:formatCode>
                <c:ptCount val="3"/>
                <c:pt idx="0">
                  <c:v>3.7</c:v>
                </c:pt>
                <c:pt idx="1">
                  <c:v>20.3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8B-804E-A9B8-43309BB98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PlastGrommet - 3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94273127753303"/>
          <c:y val="0.23288188976377952"/>
          <c:w val="0.7312775330396476"/>
          <c:h val="0.60363636363636364"/>
        </c:manualLayout>
      </c:layout>
      <c:pie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E7-094F-91A8-A34919313153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E7-094F-91A8-A34919313153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E7-094F-91A8-A34919313153}"/>
              </c:ext>
            </c:extLst>
          </c:dPt>
          <c:dLbls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845007903785789"/>
                      <c:h val="0.1717927843164952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38E7-094F-91A8-A34919313153}"/>
                </c:ext>
              </c:extLst>
            </c:dLbl>
            <c:dLbl>
              <c:idx val="2"/>
              <c:layout>
                <c:manualLayout>
                  <c:x val="-0.16069542939996975"/>
                  <c:y val="3.155583756387981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3244285990617236"/>
                      <c:h val="0.1573270290181481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38E7-094F-91A8-A3491931315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Finishing!$F$34:$F$36</c:f>
              <c:strCache>
                <c:ptCount val="3"/>
                <c:pt idx="0">
                  <c:v>Up-Time</c:v>
                </c:pt>
                <c:pt idx="1">
                  <c:v>Planned Downtime</c:v>
                </c:pt>
                <c:pt idx="2">
                  <c:v>Unplanned Donwtime</c:v>
                </c:pt>
              </c:strCache>
            </c:strRef>
          </c:cat>
          <c:val>
            <c:numRef>
              <c:f>Finishing!$G$34:$G$36</c:f>
              <c:numCache>
                <c:formatCode>0.0</c:formatCode>
                <c:ptCount val="3"/>
                <c:pt idx="0">
                  <c:v>0</c:v>
                </c:pt>
                <c:pt idx="1">
                  <c:v>12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E7-094F-91A8-A34919313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Zund L - 3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94273127753303"/>
          <c:y val="0.23288188976377952"/>
          <c:w val="0.7312775330396476"/>
          <c:h val="0.60363636363636364"/>
        </c:manualLayout>
      </c:layout>
      <c:pie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9F-2743-A18E-84434EF85A03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9F-2743-A18E-84434EF85A03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9F-2743-A18E-84434EF85A03}"/>
              </c:ext>
            </c:extLst>
          </c:dPt>
          <c:dLbls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141905118511866"/>
                      <c:h val="0.142724472201715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B9F-2743-A18E-84434EF85A03}"/>
                </c:ext>
              </c:extLst>
            </c:dLbl>
            <c:dLbl>
              <c:idx val="2"/>
              <c:layout>
                <c:manualLayout>
                  <c:x val="0.18851757276945302"/>
                  <c:y val="3.932800167468500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3072546980026415"/>
                      <c:h val="0.1587987231765504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EB9F-2743-A18E-84434EF85A0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Finishing!$F$66:$F$68</c:f>
              <c:strCache>
                <c:ptCount val="3"/>
                <c:pt idx="0">
                  <c:v>Up-Time</c:v>
                </c:pt>
                <c:pt idx="1">
                  <c:v>Planned Downtime</c:v>
                </c:pt>
                <c:pt idx="2">
                  <c:v>Unplanned Donwtime</c:v>
                </c:pt>
              </c:strCache>
            </c:strRef>
          </c:cat>
          <c:val>
            <c:numRef>
              <c:f>Finishing!$G$66:$G$68</c:f>
              <c:numCache>
                <c:formatCode>0.0</c:formatCode>
                <c:ptCount val="3"/>
                <c:pt idx="0">
                  <c:v>18.5</c:v>
                </c:pt>
                <c:pt idx="1">
                  <c:v>5.5000000000000009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9F-2743-A18E-84434EF85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Zund XL - 3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94273127753303"/>
          <c:y val="0.23288188976377952"/>
          <c:w val="0.7312775330396476"/>
          <c:h val="0.60363636363636364"/>
        </c:manualLayout>
      </c:layout>
      <c:pieChart>
        <c:varyColors val="1"/>
        <c:ser>
          <c:idx val="0"/>
          <c:order val="0"/>
          <c:spPr>
            <a:solidFill>
              <a:srgbClr val="92D050"/>
            </a:solidFill>
          </c:spPr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06-6A45-B4C0-D42F9E79B718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06-6A45-B4C0-D42F9E79B718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C06-6A45-B4C0-D42F9E79B718}"/>
              </c:ext>
            </c:extLst>
          </c:dPt>
          <c:dLbls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2817291976188"/>
                      <c:h val="0.1536146145566774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7C06-6A45-B4C0-D42F9E79B718}"/>
                </c:ext>
              </c:extLst>
            </c:dLbl>
            <c:dLbl>
              <c:idx val="2"/>
              <c:layout>
                <c:manualLayout>
                  <c:x val="-0.10338240041053821"/>
                  <c:y val="1.454550401247476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890310302574451"/>
                      <c:h val="0.143267099649860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7C06-6A45-B4C0-D42F9E79B71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Finishing!$F$98:$F$100</c:f>
              <c:strCache>
                <c:ptCount val="3"/>
                <c:pt idx="0">
                  <c:v>Up-Time</c:v>
                </c:pt>
                <c:pt idx="1">
                  <c:v>Planned Downtime</c:v>
                </c:pt>
                <c:pt idx="2">
                  <c:v>Unplanned Donwtime</c:v>
                </c:pt>
              </c:strCache>
            </c:strRef>
          </c:cat>
          <c:val>
            <c:numRef>
              <c:f>Finishing!$G$98:$G$100</c:f>
              <c:numCache>
                <c:formatCode>0.0</c:formatCode>
                <c:ptCount val="3"/>
                <c:pt idx="0">
                  <c:v>8.5</c:v>
                </c:pt>
                <c:pt idx="1">
                  <c:v>15.5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C06-6A45-B4C0-D42F9E79B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AutoMiller - 10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555-3E48-A461-680060B4DD72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55-3E48-A461-680060B4DD72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55-3E48-A461-680060B4DD72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55-3E48-A461-680060B4DD7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555-3E48-A461-680060B4DD7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555-3E48-A461-680060B4DD7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555-3E48-A461-680060B4DD7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78DE07FB-D251-8C4D-9B5C-10A5CA5E7A1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17EE6A2-B207-A94C-BAC3-8C6C5A6428B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555-3E48-A461-680060B4DD7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1BB0796-9D45-4748-8CD5-8BC43AA12BE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15D5D23-5706-0C4F-ABDA-E74632C60F4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555-3E48-A461-680060B4DD7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5429E5C-CF72-E040-B768-773DE339166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1F4FA49-51DA-3942-B921-E1834FD550E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555-3E48-A461-680060B4DD7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7CA8AA7-CFC2-6C4C-A09F-B6D776D44C5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26A0CDD-8BF9-0E4C-89EB-C7C0544B844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555-3E48-A461-680060B4DD7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D76A86C-6589-B444-A6E6-10CB44B3E2B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8E4C10B-D503-8742-8D55-94F9E92FD86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555-3E48-A461-680060B4DD7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382CF1D-DB25-9949-94AB-2CA8B506C06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0F92AA4-A2B8-1C4B-8423-1F5C2D5D3147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555-3E48-A461-680060B4DD7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AAE9DBA-B812-8C49-AD4D-B0F3E5591E9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B553056-6422-CB40-8014-21944F1E357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555-3E48-A461-680060B4DD7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2113E2A-270A-684C-ADFE-C767D4CDC22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91D18A6-71C1-5B49-8B4A-03CC863D044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555-3E48-A461-680060B4DD7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89608EC-BA0D-8842-B590-1E041D72CA0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0D34D40-CA9B-3B43-B1D3-ACB1B6ADC82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555-3E48-A461-680060B4DD7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8A77E21-BB1A-6F47-AA35-00D1D0D626E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C6B3A8C-E9FA-C442-A425-719136EE70E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555-3E48-A461-680060B4DD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Finishing!$J$3:$J$12</c:f>
              <c:strCache>
                <c:ptCount val="10"/>
                <c:pt idx="0">
                  <c:v>1. Running</c:v>
                </c:pt>
                <c:pt idx="1">
                  <c:v>2. Make Ready</c:v>
                </c:pt>
                <c:pt idx="2">
                  <c:v>3. Roll Change</c:v>
                </c:pt>
                <c:pt idx="3">
                  <c:v>4. Not Planned</c:v>
                </c:pt>
                <c:pt idx="4">
                  <c:v>5. No Work</c:v>
                </c:pt>
                <c:pt idx="5">
                  <c:v>6. Breaks</c:v>
                </c:pt>
                <c:pt idx="6">
                  <c:v>7. Maintenance</c:v>
                </c:pt>
                <c:pt idx="7">
                  <c:v>8. No Operator</c:v>
                </c:pt>
                <c:pt idx="8">
                  <c:v>9. Breakdown</c:v>
                </c:pt>
                <c:pt idx="9">
                  <c:v>10. Interruptions</c:v>
                </c:pt>
              </c:strCache>
            </c:strRef>
          </c:cat>
          <c:val>
            <c:numRef>
              <c:f>Finishing!$K$3:$K$12</c:f>
              <c:numCache>
                <c:formatCode>0.0</c:formatCode>
                <c:ptCount val="10"/>
                <c:pt idx="0">
                  <c:v>3.7</c:v>
                </c:pt>
                <c:pt idx="1">
                  <c:v>0</c:v>
                </c:pt>
                <c:pt idx="2">
                  <c:v>0</c:v>
                </c:pt>
                <c:pt idx="3">
                  <c:v>9.5</c:v>
                </c:pt>
                <c:pt idx="4">
                  <c:v>10.3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Finishing!$L$3:$L$12</c15:f>
                <c15:dlblRangeCache>
                  <c:ptCount val="10"/>
                  <c:pt idx="0">
                    <c:v>15%</c:v>
                  </c:pt>
                  <c:pt idx="1">
                    <c:v>0%</c:v>
                  </c:pt>
                  <c:pt idx="2">
                    <c:v>0%</c:v>
                  </c:pt>
                  <c:pt idx="3">
                    <c:v>40%</c:v>
                  </c:pt>
                  <c:pt idx="4">
                    <c:v>43%</c:v>
                  </c:pt>
                  <c:pt idx="5">
                    <c:v>0%</c:v>
                  </c:pt>
                  <c:pt idx="6">
                    <c:v>2%</c:v>
                  </c:pt>
                  <c:pt idx="7">
                    <c:v>0%</c:v>
                  </c:pt>
                  <c:pt idx="8">
                    <c:v>0%</c:v>
                  </c:pt>
                  <c:pt idx="9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5555-3E48-A461-680060B4DD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04034655"/>
        <c:axId val="679271071"/>
      </c:barChart>
      <c:catAx>
        <c:axId val="12040346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1071"/>
        <c:crosses val="autoZero"/>
        <c:auto val="1"/>
        <c:lblAlgn val="ctr"/>
        <c:lblOffset val="100"/>
        <c:noMultiLvlLbl val="0"/>
      </c:catAx>
      <c:valAx>
        <c:axId val="67927107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PlastGrommet - 10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2C-CE44-8CA7-9305090D5217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2C-CE44-8CA7-9305090D5217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2C-CE44-8CA7-9305090D5217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2C-CE44-8CA7-9305090D521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D2C-CE44-8CA7-9305090D521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D2C-CE44-8CA7-9305090D521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D2C-CE44-8CA7-9305090D521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5E873AD-63FE-FD4E-A036-11080D41B9C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41A5574-9D45-5844-80B1-54AB138CF33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D2C-CE44-8CA7-9305090D521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747E28C-0B8F-7145-9FD3-1323711BC66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E166B11-D97E-E349-B7D4-E23E67F7C98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D2C-CE44-8CA7-9305090D521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8474336-AA80-284E-8450-F79DF011DDF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C14EDC5-FED3-F141-9ED4-0BF493C5A3A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FD2C-CE44-8CA7-9305090D521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A53C5B4-6017-8845-99F7-FE1101C8AF5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05FD020-1127-D34C-A5BA-9B46DC7815D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D2C-CE44-8CA7-9305090D521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FD411C9-32AC-A94F-9B3F-6052AA88EAC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152958E-4F97-6340-89C1-FDB621CB47C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D2C-CE44-8CA7-9305090D521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B5C5576-BD38-E64D-953B-03AE8257BA2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2D6E16C-8E9E-0045-8D0B-82905B181BA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2C-CE44-8CA7-9305090D521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58B8D8D-0679-1447-91B2-F26C5534D67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1408DF3-34D1-FE4B-8F1F-2A5164EDE34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2C-CE44-8CA7-9305090D521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0349964-DDC4-B44E-958C-1939BFDB2C0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6AE24BA-0C1B-DC4A-A7A8-4E433079390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2C-CE44-8CA7-9305090D521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3E8482F-4BC4-DB40-8D88-0D24E714BBB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D8C05C5-B185-7142-98AE-2EB96E327B0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2C-CE44-8CA7-9305090D521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F70025F-27BA-5A4E-87AE-08799259D26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E6C2DB7-75B5-EC41-8BD4-41AC1843E94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D2C-CE44-8CA7-9305090D52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Finishing!$J$34:$J$43</c:f>
              <c:strCache>
                <c:ptCount val="10"/>
                <c:pt idx="0">
                  <c:v>1. Running</c:v>
                </c:pt>
                <c:pt idx="1">
                  <c:v>2. Make Ready</c:v>
                </c:pt>
                <c:pt idx="2">
                  <c:v>3. Roll Change</c:v>
                </c:pt>
                <c:pt idx="3">
                  <c:v>4. Not Planned</c:v>
                </c:pt>
                <c:pt idx="4">
                  <c:v>5. No Work</c:v>
                </c:pt>
                <c:pt idx="5">
                  <c:v>6. Breaks</c:v>
                </c:pt>
                <c:pt idx="6">
                  <c:v>7. Maintenance</c:v>
                </c:pt>
                <c:pt idx="7">
                  <c:v>8. No Operator</c:v>
                </c:pt>
                <c:pt idx="8">
                  <c:v>9. Breakdown</c:v>
                </c:pt>
                <c:pt idx="9">
                  <c:v>10. Interruptions</c:v>
                </c:pt>
              </c:strCache>
            </c:strRef>
          </c:cat>
          <c:val>
            <c:numRef>
              <c:f>Finishing!$K$34:$K$43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12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Finishing!$L$34:$L$43</c15:f>
                <c15:dlblRangeCache>
                  <c:ptCount val="10"/>
                  <c:pt idx="0">
                    <c:v>0%</c:v>
                  </c:pt>
                  <c:pt idx="1">
                    <c:v>0%</c:v>
                  </c:pt>
                  <c:pt idx="2">
                    <c:v>0%</c:v>
                  </c:pt>
                  <c:pt idx="3">
                    <c:v>50%</c:v>
                  </c:pt>
                  <c:pt idx="4">
                    <c:v>0%</c:v>
                  </c:pt>
                  <c:pt idx="5">
                    <c:v>0%</c:v>
                  </c:pt>
                  <c:pt idx="6">
                    <c:v>0%</c:v>
                  </c:pt>
                  <c:pt idx="7">
                    <c:v>0%</c:v>
                  </c:pt>
                  <c:pt idx="8">
                    <c:v>50%</c:v>
                  </c:pt>
                  <c:pt idx="9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FD2C-CE44-8CA7-9305090D52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04034655"/>
        <c:axId val="679271071"/>
      </c:barChart>
      <c:catAx>
        <c:axId val="12040346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1071"/>
        <c:crosses val="autoZero"/>
        <c:auto val="1"/>
        <c:lblAlgn val="ctr"/>
        <c:lblOffset val="100"/>
        <c:noMultiLvlLbl val="0"/>
      </c:catAx>
      <c:valAx>
        <c:axId val="67927107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Zund L - 10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190-C94E-99B3-621364AB718C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190-C94E-99B3-621364AB718C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190-C94E-99B3-621364AB718C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190-C94E-99B3-621364AB718C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190-C94E-99B3-621364AB718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190-C94E-99B3-621364AB718C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190-C94E-99B3-621364AB718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DD122F6-C4FB-6B4C-A649-208E8D61F35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0150BEA-8DE0-1245-B0A2-5ACBC95F99C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190-C94E-99B3-621364AB71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1A04326-12A2-B34C-AB52-09A817670B4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438ADA6-1286-1D4F-B1B5-A7F4458B3DA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190-C94E-99B3-621364AB71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B1AEDB0-D0D0-F744-A093-11DE1376F0C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8653F53-5B02-7E48-B65B-C0495DE53B6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190-C94E-99B3-621364AB71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8320617-529C-724C-ADBE-753C15B506A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D4BBBCE-154F-E446-85EB-7B558CEEA6A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90-C94E-99B3-621364AB718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5575D8C-0D29-4A45-AA30-5B1B2630E75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DCB45E0-D420-7146-984A-C0AB563D522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190-C94E-99B3-621364AB718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F48A90B-6299-FB4D-867C-75A965D6FC3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320CAE6-25F9-EA47-89F4-7C4799EB2F1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190-C94E-99B3-621364AB718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87EE223-F281-2D45-BA11-9BB70CCBAA9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B3DB122-0B87-ED4B-967A-2EB0FED3CCE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190-C94E-99B3-621364AB718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737E55F-9A8E-5447-BC3C-6CC6D904AA2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C054C37-4D18-F64C-8504-5728E62D890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190-C94E-99B3-621364AB718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8953582-722B-7141-BDD1-861A3560C3E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5E583BA-4464-0747-891C-14ECC4D606E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190-C94E-99B3-621364AB718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F816708-923D-144A-A26C-B6B49BE232E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6B5C648-2DB9-7541-8B62-90469457FD6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190-C94E-99B3-621364AB71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Finishing!$J$66:$J$75</c:f>
              <c:strCache>
                <c:ptCount val="10"/>
                <c:pt idx="0">
                  <c:v>1. Running</c:v>
                </c:pt>
                <c:pt idx="1">
                  <c:v>2. Make Ready</c:v>
                </c:pt>
                <c:pt idx="2">
                  <c:v>3. Roll Change</c:v>
                </c:pt>
                <c:pt idx="3">
                  <c:v>4. Not Planned</c:v>
                </c:pt>
                <c:pt idx="4">
                  <c:v>5. No Work</c:v>
                </c:pt>
                <c:pt idx="5">
                  <c:v>6. Breaks</c:v>
                </c:pt>
                <c:pt idx="6">
                  <c:v>7. Maintenance</c:v>
                </c:pt>
                <c:pt idx="7">
                  <c:v>8. No Operator</c:v>
                </c:pt>
                <c:pt idx="8">
                  <c:v>9. Breakdown</c:v>
                </c:pt>
                <c:pt idx="9">
                  <c:v>10. Interruptions</c:v>
                </c:pt>
              </c:strCache>
            </c:strRef>
          </c:cat>
          <c:val>
            <c:numRef>
              <c:f>Finishing!$K$66:$K$75</c:f>
              <c:numCache>
                <c:formatCode>0.0</c:formatCode>
                <c:ptCount val="10"/>
                <c:pt idx="0">
                  <c:v>18.5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5.1000000000000005</c:v>
                </c:pt>
                <c:pt idx="5">
                  <c:v>0</c:v>
                </c:pt>
                <c:pt idx="6">
                  <c:v>0.4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Finishing!$L$66:$L$75</c15:f>
                <c15:dlblRangeCache>
                  <c:ptCount val="10"/>
                  <c:pt idx="0">
                    <c:v>77%</c:v>
                  </c:pt>
                  <c:pt idx="1">
                    <c:v>0%</c:v>
                  </c:pt>
                  <c:pt idx="2">
                    <c:v>0%</c:v>
                  </c:pt>
                  <c:pt idx="3">
                    <c:v>0%</c:v>
                  </c:pt>
                  <c:pt idx="4">
                    <c:v>21%</c:v>
                  </c:pt>
                  <c:pt idx="5">
                    <c:v>0%</c:v>
                  </c:pt>
                  <c:pt idx="6">
                    <c:v>2%</c:v>
                  </c:pt>
                  <c:pt idx="7">
                    <c:v>0%</c:v>
                  </c:pt>
                  <c:pt idx="8">
                    <c:v>0%</c:v>
                  </c:pt>
                  <c:pt idx="9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8190-C94E-99B3-621364AB71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04034655"/>
        <c:axId val="679271071"/>
      </c:barChart>
      <c:catAx>
        <c:axId val="12040346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1071"/>
        <c:crosses val="autoZero"/>
        <c:auto val="1"/>
        <c:lblAlgn val="ctr"/>
        <c:lblOffset val="100"/>
        <c:noMultiLvlLbl val="0"/>
      </c:catAx>
      <c:valAx>
        <c:axId val="67927107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/>
              <a:t>Zund XL - 10 SIC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8C9-7C4C-B44D-35C76107A4B5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8C9-7C4C-B44D-35C76107A4B5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8C9-7C4C-B44D-35C76107A4B5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8C9-7C4C-B44D-35C76107A4B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8C9-7C4C-B44D-35C76107A4B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8C9-7C4C-B44D-35C76107A4B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8C9-7C4C-B44D-35C76107A4B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A5CA4FC-0848-5843-A282-B5BA50085AC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F07B1E0-5FFE-6D4A-975F-856A3D24B7D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8C9-7C4C-B44D-35C76107A4B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B107A71-CB6F-8E49-BC29-633F434F616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7601991-D7FC-E94D-9BDC-79FA54D41F3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8C9-7C4C-B44D-35C76107A4B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F24B167-0662-AB42-B27C-635F3DA505D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927DFEA-277B-3D46-A5BA-5120790AD22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8C9-7C4C-B44D-35C76107A4B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44906ED-8C1F-9D4A-B69B-CB6BF94520F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ED3D2F7-904B-1A46-8135-8D29E37B761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8C9-7C4C-B44D-35C76107A4B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DF27EF9-E74C-7B44-BCF8-868305500EB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F209423-EA7C-DF4F-B3BC-0A99A73280D7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8C9-7C4C-B44D-35C76107A4B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57DF7C3-45AA-634E-BB8E-32E3ECC1AF9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B4A8B23-E3CC-FF4B-9367-C63EBA506AC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8C9-7C4C-B44D-35C76107A4B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2141893-1908-3E4E-A1F6-9D4C78CF578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00BE257-528B-D041-AE56-38BD89FEED6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8C9-7C4C-B44D-35C76107A4B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3CF7D97-893B-5D44-AB35-B54269E5439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A78C915-41F7-9446-84A2-DC2A34DF796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8C9-7C4C-B44D-35C76107A4B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6CA82DC-DDF1-1A47-972D-A4CD1322C2E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67D6537-F224-154B-9FDA-E29F911A6EE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8C9-7C4C-B44D-35C76107A4B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07BF2A3-AB64-4247-ABCC-D97DF449DE6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038856B-DCA4-824C-9D02-5232B5FFDFC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8C9-7C4C-B44D-35C76107A4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Finishing!$J$98:$J$107</c:f>
              <c:strCache>
                <c:ptCount val="10"/>
                <c:pt idx="0">
                  <c:v>1. Running</c:v>
                </c:pt>
                <c:pt idx="1">
                  <c:v>2. Make Ready</c:v>
                </c:pt>
                <c:pt idx="2">
                  <c:v>3. Roll Change</c:v>
                </c:pt>
                <c:pt idx="3">
                  <c:v>4. Not Planned</c:v>
                </c:pt>
                <c:pt idx="4">
                  <c:v>5. No Work</c:v>
                </c:pt>
                <c:pt idx="5">
                  <c:v>6. Breaks</c:v>
                </c:pt>
                <c:pt idx="6">
                  <c:v>7. Maintenance</c:v>
                </c:pt>
                <c:pt idx="7">
                  <c:v>8. No Operator</c:v>
                </c:pt>
                <c:pt idx="8">
                  <c:v>9. Breakdown</c:v>
                </c:pt>
                <c:pt idx="9">
                  <c:v>10. Interruptions</c:v>
                </c:pt>
              </c:strCache>
            </c:strRef>
          </c:cat>
          <c:val>
            <c:numRef>
              <c:f>Finishing!$K$98:$K$107</c:f>
              <c:numCache>
                <c:formatCode>0.0</c:formatCode>
                <c:ptCount val="10"/>
                <c:pt idx="0">
                  <c:v>8.5</c:v>
                </c:pt>
                <c:pt idx="1">
                  <c:v>0</c:v>
                </c:pt>
                <c:pt idx="2">
                  <c:v>0</c:v>
                </c:pt>
                <c:pt idx="3">
                  <c:v>12</c:v>
                </c:pt>
                <c:pt idx="4">
                  <c:v>1.4000000000000001</c:v>
                </c:pt>
                <c:pt idx="5">
                  <c:v>0</c:v>
                </c:pt>
                <c:pt idx="6">
                  <c:v>2.1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Finishing!$L$98:$L$107</c15:f>
                <c15:dlblRangeCache>
                  <c:ptCount val="10"/>
                  <c:pt idx="0">
                    <c:v>35%</c:v>
                  </c:pt>
                  <c:pt idx="1">
                    <c:v>0%</c:v>
                  </c:pt>
                  <c:pt idx="2">
                    <c:v>0%</c:v>
                  </c:pt>
                  <c:pt idx="3">
                    <c:v>50%</c:v>
                  </c:pt>
                  <c:pt idx="4">
                    <c:v>6%</c:v>
                  </c:pt>
                  <c:pt idx="5">
                    <c:v>0%</c:v>
                  </c:pt>
                  <c:pt idx="6">
                    <c:v>9%</c:v>
                  </c:pt>
                  <c:pt idx="7">
                    <c:v>0%</c:v>
                  </c:pt>
                  <c:pt idx="8">
                    <c:v>0%</c:v>
                  </c:pt>
                  <c:pt idx="9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48C9-7C4C-B44D-35C76107A4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04034655"/>
        <c:axId val="679271071"/>
      </c:barChart>
      <c:catAx>
        <c:axId val="12040346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1071"/>
        <c:crosses val="autoZero"/>
        <c:auto val="1"/>
        <c:lblAlgn val="ctr"/>
        <c:lblOffset val="100"/>
        <c:noMultiLvlLbl val="0"/>
      </c:catAx>
      <c:valAx>
        <c:axId val="67927107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03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_xlchart.v1.5</cx:f>
      </cx:numDim>
    </cx:data>
  </cx:chartData>
  <cx:chart>
    <cx:plotArea>
      <cx:plotAreaRegion>
        <cx:series layoutId="treemap" uniqueId="{849840A2-5B68-B941-94A8-807CCA15BABD}">
          <cx:spPr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>
              <a:glow>
                <a:schemeClr val="accent1"/>
              </a:glow>
              <a:outerShdw sx="1000" sy="1000" algn="ctr" rotWithShape="0">
                <a:srgbClr val="000000"/>
              </a:outerShdw>
            </a:effectLst>
          </cx:spPr>
          <cx:dataPt idx="4">
            <cx:spPr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</cx:spPr>
          </cx:dataPt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900" b="0">
                    <a:solidFill>
                      <a:schemeClr val="tx1"/>
                    </a:solidFill>
                  </a:defRPr>
                </a:pPr>
                <a:endParaRPr lang="en-GB" sz="9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1" value="1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plotArea>
      <cx:plotAreaRegion>
        <cx:series layoutId="treemap" uniqueId="{849840A2-5B68-B941-94A8-807CCA15BABD}">
          <cx:spPr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>
              <a:glow>
                <a:schemeClr val="accent1"/>
              </a:glow>
              <a:outerShdw sx="1000" sy="1000" algn="ctr" rotWithShape="0">
                <a:srgbClr val="000000"/>
              </a:outerShdw>
            </a:effectLst>
          </cx:spPr>
          <cx:dataPt idx="4">
            <cx:spPr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</cx:spPr>
          </cx:dataPt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900" b="0">
                    <a:solidFill>
                      <a:schemeClr val="tx1"/>
                    </a:solidFill>
                  </a:defRPr>
                </a:pPr>
                <a:endParaRPr lang="en-GB" sz="9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1" value="1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plotArea>
      <cx:plotAreaRegion>
        <cx:series layoutId="treemap" uniqueId="{849840A2-5B68-B941-94A8-807CCA15BABD}">
          <cx:spPr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>
              <a:glow>
                <a:schemeClr val="accent1"/>
              </a:glow>
              <a:outerShdw sx="1000" sy="1000" algn="ctr" rotWithShape="0">
                <a:srgbClr val="000000"/>
              </a:outerShdw>
            </a:effectLst>
          </cx:spPr>
          <cx:dataPt idx="4">
            <cx:spPr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</cx:spPr>
          </cx:dataPt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900" b="0">
                    <a:solidFill>
                      <a:schemeClr val="tx1"/>
                    </a:solidFill>
                  </a:defRPr>
                </a:pPr>
                <a:endParaRPr lang="en-GB" sz="9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1" value="1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size">
        <cx:f>_xlchart.v1.11</cx:f>
      </cx:numDim>
    </cx:data>
  </cx:chartData>
  <cx:chart>
    <cx:plotArea>
      <cx:plotAreaRegion>
        <cx:series layoutId="treemap" uniqueId="{6026742D-1728-F844-B963-EED6690DBC2B}">
          <cx:dataPt idx="1"/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0">
                    <a:solidFill>
                      <a:schemeClr val="tx1"/>
                    </a:solidFill>
                  </a:defRPr>
                </a:pPr>
                <a:endParaRPr lang="en-GB" sz="9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1" value="1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  <cx:spPr>
    <a:ln>
      <a:noFill/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_xlchart.v1.7</cx:f>
      </cx:numDim>
    </cx:data>
  </cx:chartData>
  <cx:chart>
    <cx:plotArea>
      <cx:plotAreaRegion>
        <cx:series layoutId="treemap" uniqueId="{6026742D-1728-F844-B963-EED6690DBC2B}"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0">
                    <a:solidFill>
                      <a:schemeClr val="tx1"/>
                    </a:solidFill>
                  </a:defRPr>
                </a:pPr>
                <a:endParaRPr lang="en-GB" sz="9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1" value="1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  <cx:spPr>
    <a:ln>
      <a:noFill/>
    </a:ln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_xlchart.v1.13</cx:f>
      </cx:numDim>
    </cx:data>
  </cx:chartData>
  <cx:chart>
    <cx:plotArea>
      <cx:plotAreaRegion>
        <cx:series layoutId="treemap" uniqueId="{6026742D-1728-F844-B963-EED6690DBC2B}"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0">
                    <a:solidFill>
                      <a:schemeClr val="tx1"/>
                    </a:solidFill>
                  </a:defRPr>
                </a:pPr>
                <a:endParaRPr lang="en-GB" sz="9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1" value="1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  <cx:spPr>
    <a:ln>
      <a:noFill/>
    </a:ln>
  </cx:spPr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size">
        <cx:f>_xlchart.v1.9</cx:f>
      </cx:numDim>
    </cx:data>
  </cx:chartData>
  <cx:chart>
    <cx:plotArea>
      <cx:plotAreaRegion>
        <cx:series layoutId="treemap" uniqueId="{6026742D-1728-F844-B963-EED6690DBC2B}"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0">
                    <a:solidFill>
                      <a:schemeClr val="tx1"/>
                    </a:solidFill>
                  </a:defRPr>
                </a:pPr>
                <a:endParaRPr lang="en-GB" sz="9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1" value="1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  <cx:spPr>
    <a:ln>
      <a:noFill/>
    </a:ln>
  </cx:spPr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size">
        <cx:f>_xlchart.v1.15</cx:f>
      </cx:numDim>
    </cx:data>
  </cx:chartData>
  <cx:chart>
    <cx:plotArea>
      <cx:plotAreaRegion>
        <cx:series layoutId="treemap" uniqueId="{46FAE9CD-5184-D64E-BF37-29E33DC4FB7B}"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GB" sz="900" b="0">
                  <a:solidFill>
                    <a:schemeClr val="tx1"/>
                  </a:solidFill>
                </a:endParaRPr>
              </a:p>
            </cx:txPr>
            <cx:visibility seriesName="0" categoryName="1" value="1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size">
        <cx:f>_xlchart.v1.21</cx:f>
      </cx:numDim>
    </cx:data>
  </cx:chartData>
  <cx:chart>
    <cx:plotArea>
      <cx:plotAreaRegion>
        <cx:series layoutId="treemap" uniqueId="{46FAE9CD-5184-D64E-BF37-29E33DC4FB7B}"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GB" sz="900" b="0">
                  <a:solidFill>
                    <a:schemeClr val="tx1"/>
                  </a:solidFill>
                </a:endParaRPr>
              </a:p>
            </cx:txPr>
            <cx:visibility seriesName="0" categoryName="1" value="1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size">
        <cx:f>_xlchart.v1.17</cx:f>
      </cx:numDim>
    </cx:data>
  </cx:chartData>
  <cx:chart>
    <cx:plotArea>
      <cx:plotAreaRegion>
        <cx:series layoutId="treemap" uniqueId="{46FAE9CD-5184-D64E-BF37-29E33DC4FB7B}"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GB" sz="900" b="0">
                  <a:solidFill>
                    <a:schemeClr val="tx1"/>
                  </a:solidFill>
                </a:endParaRPr>
              </a:p>
            </cx:txPr>
            <cx:visibility seriesName="0" categoryName="1" value="1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size">
        <cx:f>_xlchart.v1.19</cx:f>
      </cx:numDim>
    </cx:data>
  </cx:chartData>
  <cx:chart>
    <cx:plotArea>
      <cx:plotAreaRegion>
        <cx:series layoutId="treemap" uniqueId="{46FAE9CD-5184-D64E-BF37-29E33DC4FB7B}"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GB" sz="900" b="0">
                  <a:solidFill>
                    <a:schemeClr val="tx1"/>
                  </a:solidFill>
                </a:endParaRPr>
              </a:p>
            </cx:txPr>
            <cx:visibility seriesName="0" categoryName="1" value="1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2">
  <cs:axisTitle>
    <cs:lnRef idx="0"/>
    <cs:fillRef idx="0"/>
    <cs:effectRef idx="0"/>
    <cs:fontRef idx="minor">
      <a:schemeClr val="tx1">
        <a:lumMod val="50000"/>
        <a:lumOff val="50000"/>
      </a:schemeClr>
    </cs:fontRef>
    <cs:spPr>
      <a:solidFill>
        <a:schemeClr val="bg1">
          <a:lumMod val="85000"/>
        </a:schemeClr>
      </a:solidFill>
      <a:ln>
        <a:solidFill>
          <a:schemeClr val="bg1">
            <a:lumMod val="75000"/>
          </a:schemeClr>
        </a:solidFill>
      </a:ln>
    </cs:spPr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2">
  <cs:axisTitle>
    <cs:lnRef idx="0"/>
    <cs:fillRef idx="0"/>
    <cs:effectRef idx="0"/>
    <cs:fontRef idx="minor">
      <a:schemeClr val="tx1">
        <a:lumMod val="50000"/>
        <a:lumOff val="50000"/>
      </a:schemeClr>
    </cs:fontRef>
    <cs:spPr>
      <a:solidFill>
        <a:schemeClr val="bg1">
          <a:lumMod val="85000"/>
        </a:schemeClr>
      </a:solidFill>
      <a:ln>
        <a:solidFill>
          <a:schemeClr val="bg1">
            <a:lumMod val="75000"/>
          </a:schemeClr>
        </a:solidFill>
      </a:ln>
    </cs:spPr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2">
  <cs:axisTitle>
    <cs:lnRef idx="0"/>
    <cs:fillRef idx="0"/>
    <cs:effectRef idx="0"/>
    <cs:fontRef idx="minor">
      <a:schemeClr val="tx1">
        <a:lumMod val="50000"/>
        <a:lumOff val="50000"/>
      </a:schemeClr>
    </cs:fontRef>
    <cs:spPr>
      <a:solidFill>
        <a:schemeClr val="bg1">
          <a:lumMod val="85000"/>
        </a:schemeClr>
      </a:solidFill>
      <a:ln>
        <a:solidFill>
          <a:schemeClr val="bg1">
            <a:lumMod val="75000"/>
          </a:schemeClr>
        </a:solidFill>
      </a:ln>
    </cs:spPr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412">
  <cs:axisTitle>
    <cs:lnRef idx="0"/>
    <cs:fillRef idx="0"/>
    <cs:effectRef idx="0"/>
    <cs:fontRef idx="minor">
      <a:schemeClr val="tx1">
        <a:lumMod val="50000"/>
        <a:lumOff val="50000"/>
      </a:schemeClr>
    </cs:fontRef>
    <cs:spPr>
      <a:solidFill>
        <a:schemeClr val="bg1">
          <a:lumMod val="85000"/>
        </a:schemeClr>
      </a:solidFill>
      <a:ln>
        <a:solidFill>
          <a:schemeClr val="bg1">
            <a:lumMod val="75000"/>
          </a:schemeClr>
        </a:solidFill>
      </a:ln>
    </cs:spPr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12">
  <cs:axisTitle>
    <cs:lnRef idx="0"/>
    <cs:fillRef idx="0"/>
    <cs:effectRef idx="0"/>
    <cs:fontRef idx="minor">
      <a:schemeClr val="tx1">
        <a:lumMod val="50000"/>
        <a:lumOff val="50000"/>
      </a:schemeClr>
    </cs:fontRef>
    <cs:spPr>
      <a:solidFill>
        <a:schemeClr val="bg1">
          <a:lumMod val="85000"/>
        </a:schemeClr>
      </a:solidFill>
      <a:ln>
        <a:solidFill>
          <a:schemeClr val="bg1">
            <a:lumMod val="75000"/>
          </a:schemeClr>
        </a:solidFill>
      </a:ln>
    </cs:spPr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12">
  <cs:axisTitle>
    <cs:lnRef idx="0"/>
    <cs:fillRef idx="0"/>
    <cs:effectRef idx="0"/>
    <cs:fontRef idx="minor">
      <a:schemeClr val="tx1">
        <a:lumMod val="50000"/>
        <a:lumOff val="50000"/>
      </a:schemeClr>
    </cs:fontRef>
    <cs:spPr>
      <a:solidFill>
        <a:schemeClr val="bg1">
          <a:lumMod val="85000"/>
        </a:schemeClr>
      </a:solidFill>
      <a:ln>
        <a:solidFill>
          <a:schemeClr val="bg1">
            <a:lumMod val="75000"/>
          </a:schemeClr>
        </a:solidFill>
      </a:ln>
    </cs:spPr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12">
  <cs:axisTitle>
    <cs:lnRef idx="0"/>
    <cs:fillRef idx="0"/>
    <cs:effectRef idx="0"/>
    <cs:fontRef idx="minor">
      <a:schemeClr val="tx1">
        <a:lumMod val="50000"/>
        <a:lumOff val="50000"/>
      </a:schemeClr>
    </cs:fontRef>
    <cs:spPr>
      <a:solidFill>
        <a:schemeClr val="bg1">
          <a:lumMod val="85000"/>
        </a:schemeClr>
      </a:solidFill>
      <a:ln>
        <a:solidFill>
          <a:schemeClr val="bg1">
            <a:lumMod val="75000"/>
          </a:schemeClr>
        </a:solidFill>
      </a:ln>
    </cs:spPr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412">
  <cs:axisTitle>
    <cs:lnRef idx="0"/>
    <cs:fillRef idx="0"/>
    <cs:effectRef idx="0"/>
    <cs:fontRef idx="minor">
      <a:schemeClr val="tx1">
        <a:lumMod val="50000"/>
        <a:lumOff val="50000"/>
      </a:schemeClr>
    </cs:fontRef>
    <cs:spPr>
      <a:solidFill>
        <a:schemeClr val="bg1">
          <a:lumMod val="85000"/>
        </a:schemeClr>
      </a:solidFill>
      <a:ln>
        <a:solidFill>
          <a:schemeClr val="bg1">
            <a:lumMod val="75000"/>
          </a:schemeClr>
        </a:solidFill>
      </a:ln>
    </cs:spPr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412">
  <cs:axisTitle>
    <cs:lnRef idx="0"/>
    <cs:fillRef idx="0"/>
    <cs:effectRef idx="0"/>
    <cs:fontRef idx="minor">
      <a:schemeClr val="tx1">
        <a:lumMod val="50000"/>
        <a:lumOff val="50000"/>
      </a:schemeClr>
    </cs:fontRef>
    <cs:spPr>
      <a:solidFill>
        <a:schemeClr val="bg1">
          <a:lumMod val="85000"/>
        </a:schemeClr>
      </a:solidFill>
      <a:ln>
        <a:solidFill>
          <a:schemeClr val="bg1">
            <a:lumMod val="75000"/>
          </a:schemeClr>
        </a:solidFill>
      </a:ln>
    </cs:spPr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412">
  <cs:axisTitle>
    <cs:lnRef idx="0"/>
    <cs:fillRef idx="0"/>
    <cs:effectRef idx="0"/>
    <cs:fontRef idx="minor">
      <a:schemeClr val="tx1">
        <a:lumMod val="50000"/>
        <a:lumOff val="50000"/>
      </a:schemeClr>
    </cs:fontRef>
    <cs:spPr>
      <a:solidFill>
        <a:schemeClr val="bg1">
          <a:lumMod val="85000"/>
        </a:schemeClr>
      </a:solidFill>
      <a:ln>
        <a:solidFill>
          <a:schemeClr val="bg1">
            <a:lumMod val="75000"/>
          </a:schemeClr>
        </a:solidFill>
      </a:ln>
    </cs:spPr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412">
  <cs:axisTitle>
    <cs:lnRef idx="0"/>
    <cs:fillRef idx="0"/>
    <cs:effectRef idx="0"/>
    <cs:fontRef idx="minor">
      <a:schemeClr val="tx1">
        <a:lumMod val="50000"/>
        <a:lumOff val="50000"/>
      </a:schemeClr>
    </cs:fontRef>
    <cs:spPr>
      <a:solidFill>
        <a:schemeClr val="bg1">
          <a:lumMod val="85000"/>
        </a:schemeClr>
      </a:solidFill>
      <a:ln>
        <a:solidFill>
          <a:schemeClr val="bg1">
            <a:lumMod val="75000"/>
          </a:schemeClr>
        </a:solidFill>
      </a:ln>
    </cs:spPr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2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microsoft.com/office/2014/relationships/chartEx" Target="../charts/chartEx1.xml"/><Relationship Id="rId9" Type="http://schemas.microsoft.com/office/2014/relationships/chartEx" Target="../charts/chartEx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microsoft.com/office/2014/relationships/chartEx" Target="../charts/chartEx7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microsoft.com/office/2014/relationships/chartEx" Target="../charts/chartEx6.xml"/><Relationship Id="rId5" Type="http://schemas.openxmlformats.org/officeDocument/2006/relationships/chart" Target="../charts/chart11.xml"/><Relationship Id="rId10" Type="http://schemas.microsoft.com/office/2014/relationships/chartEx" Target="../charts/chartEx5.xml"/><Relationship Id="rId4" Type="http://schemas.openxmlformats.org/officeDocument/2006/relationships/chart" Target="../charts/chart10.xml"/><Relationship Id="rId9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microsoft.com/office/2014/relationships/chartEx" Target="../charts/chartEx1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microsoft.com/office/2014/relationships/chartEx" Target="../charts/chartEx10.xml"/><Relationship Id="rId5" Type="http://schemas.openxmlformats.org/officeDocument/2006/relationships/chart" Target="../charts/chart19.xml"/><Relationship Id="rId10" Type="http://schemas.microsoft.com/office/2014/relationships/chartEx" Target="../charts/chartEx9.xml"/><Relationship Id="rId4" Type="http://schemas.openxmlformats.org/officeDocument/2006/relationships/chart" Target="../charts/chart18.xml"/><Relationship Id="rId9" Type="http://schemas.microsoft.com/office/2014/relationships/chartEx" Target="../charts/chartEx8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106796</xdr:colOff>
      <xdr:row>0</xdr:row>
      <xdr:rowOff>0</xdr:rowOff>
    </xdr:from>
    <xdr:to>
      <xdr:col>8</xdr:col>
      <xdr:colOff>303646</xdr:colOff>
      <xdr:row>18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AB78793-1E56-864B-92B6-ADB5505F7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76199</xdr:colOff>
      <xdr:row>31</xdr:row>
      <xdr:rowOff>25400</xdr:rowOff>
    </xdr:from>
    <xdr:to>
      <xdr:col>8</xdr:col>
      <xdr:colOff>292099</xdr:colOff>
      <xdr:row>49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7DB6D5-4D32-FC42-82A8-C48C3D0FA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40410</xdr:colOff>
      <xdr:row>62</xdr:row>
      <xdr:rowOff>62346</xdr:rowOff>
    </xdr:from>
    <xdr:to>
      <xdr:col>8</xdr:col>
      <xdr:colOff>218210</xdr:colOff>
      <xdr:row>80</xdr:row>
      <xdr:rowOff>87746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C0EF258-4611-194F-A05C-88F352A14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84281</xdr:colOff>
      <xdr:row>18</xdr:row>
      <xdr:rowOff>87745</xdr:rowOff>
    </xdr:from>
    <xdr:to>
      <xdr:col>3</xdr:col>
      <xdr:colOff>604981</xdr:colOff>
      <xdr:row>28</xdr:row>
      <xdr:rowOff>125845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DF2A25A-F534-E941-BA0F-B3CC9AFAA1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281" y="3338945"/>
              <a:ext cx="2755900" cy="1816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368300</xdr:colOff>
      <xdr:row>0</xdr:row>
      <xdr:rowOff>0</xdr:rowOff>
    </xdr:from>
    <xdr:to>
      <xdr:col>13</xdr:col>
      <xdr:colOff>596900</xdr:colOff>
      <xdr:row>18</xdr:row>
      <xdr:rowOff>50800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10C87-24CF-2F44-AC82-29CF61C3DC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342900</xdr:colOff>
      <xdr:row>31</xdr:row>
      <xdr:rowOff>25400</xdr:rowOff>
    </xdr:from>
    <xdr:to>
      <xdr:col>13</xdr:col>
      <xdr:colOff>571500</xdr:colOff>
      <xdr:row>49</xdr:row>
      <xdr:rowOff>92364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2068385-82A8-B44D-ADF5-0B5AE84A8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304800</xdr:colOff>
      <xdr:row>62</xdr:row>
      <xdr:rowOff>50800</xdr:rowOff>
    </xdr:from>
    <xdr:to>
      <xdr:col>13</xdr:col>
      <xdr:colOff>571500</xdr:colOff>
      <xdr:row>80</xdr:row>
      <xdr:rowOff>92364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37DB6ED-3956-2541-8908-67D15EBE0C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88900</xdr:colOff>
      <xdr:row>49</xdr:row>
      <xdr:rowOff>114300</xdr:rowOff>
    </xdr:from>
    <xdr:to>
      <xdr:col>3</xdr:col>
      <xdr:colOff>609600</xdr:colOff>
      <xdr:row>58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436B05E3-E6D7-FE4E-A704-E754E52B71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900" y="9448800"/>
              <a:ext cx="2755900" cy="1612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88900</xdr:colOff>
      <xdr:row>80</xdr:row>
      <xdr:rowOff>127000</xdr:rowOff>
    </xdr:from>
    <xdr:to>
      <xdr:col>3</xdr:col>
      <xdr:colOff>609600</xdr:colOff>
      <xdr:row>89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0324365A-3984-A944-A363-602FB08615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900" y="15506700"/>
              <a:ext cx="2755900" cy="1638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64654</xdr:colOff>
      <xdr:row>0</xdr:row>
      <xdr:rowOff>127001</xdr:rowOff>
    </xdr:from>
    <xdr:to>
      <xdr:col>8</xdr:col>
      <xdr:colOff>229754</xdr:colOff>
      <xdr:row>19</xdr:row>
      <xdr:rowOff>80819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CB17187-35A0-844F-B3C7-D6A3B16007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102754</xdr:colOff>
      <xdr:row>31</xdr:row>
      <xdr:rowOff>139701</xdr:rowOff>
    </xdr:from>
    <xdr:to>
      <xdr:col>8</xdr:col>
      <xdr:colOff>242454</xdr:colOff>
      <xdr:row>50</xdr:row>
      <xdr:rowOff>34637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138A767-1284-2949-8218-7FAF79363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57727</xdr:colOff>
      <xdr:row>64</xdr:row>
      <xdr:rowOff>20784</xdr:rowOff>
    </xdr:from>
    <xdr:to>
      <xdr:col>8</xdr:col>
      <xdr:colOff>282479</xdr:colOff>
      <xdr:row>82</xdr:row>
      <xdr:rowOff>34638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31219A1-E040-7E4F-9BE2-C0E153B80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172027</xdr:colOff>
      <xdr:row>95</xdr:row>
      <xdr:rowOff>127001</xdr:rowOff>
    </xdr:from>
    <xdr:to>
      <xdr:col>8</xdr:col>
      <xdr:colOff>439113</xdr:colOff>
      <xdr:row>113</xdr:row>
      <xdr:rowOff>161637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A0459591-D290-CF48-8543-8D82D0FCF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317500</xdr:colOff>
      <xdr:row>0</xdr:row>
      <xdr:rowOff>127000</xdr:rowOff>
    </xdr:from>
    <xdr:to>
      <xdr:col>13</xdr:col>
      <xdr:colOff>546100</xdr:colOff>
      <xdr:row>19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5CB0803-A666-594E-AAB9-3F31C7CFB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323273</xdr:colOff>
      <xdr:row>31</xdr:row>
      <xdr:rowOff>138545</xdr:rowOff>
    </xdr:from>
    <xdr:to>
      <xdr:col>13</xdr:col>
      <xdr:colOff>554182</xdr:colOff>
      <xdr:row>50</xdr:row>
      <xdr:rowOff>34636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D0427DF-2757-704D-9E15-B301C7FF7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323274</xdr:colOff>
      <xdr:row>64</xdr:row>
      <xdr:rowOff>23091</xdr:rowOff>
    </xdr:from>
    <xdr:to>
      <xdr:col>13</xdr:col>
      <xdr:colOff>461819</xdr:colOff>
      <xdr:row>82</xdr:row>
      <xdr:rowOff>23091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3A8CEE8-24F8-FC43-8B37-142C1D10B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519548</xdr:colOff>
      <xdr:row>95</xdr:row>
      <xdr:rowOff>115456</xdr:rowOff>
    </xdr:from>
    <xdr:to>
      <xdr:col>13</xdr:col>
      <xdr:colOff>600364</xdr:colOff>
      <xdr:row>113</xdr:row>
      <xdr:rowOff>161637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4F56743-3BDB-D547-8BCD-5567E7AFD6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19</xdr:row>
      <xdr:rowOff>57727</xdr:rowOff>
    </xdr:from>
    <xdr:to>
      <xdr:col>3</xdr:col>
      <xdr:colOff>635000</xdr:colOff>
      <xdr:row>28</xdr:row>
      <xdr:rowOff>92363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75D5337-BB69-E041-A53D-E7E8EBEAD3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461327"/>
              <a:ext cx="2794000" cy="16602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23091</xdr:colOff>
      <xdr:row>50</xdr:row>
      <xdr:rowOff>92363</xdr:rowOff>
    </xdr:from>
    <xdr:to>
      <xdr:col>4</xdr:col>
      <xdr:colOff>0</xdr:colOff>
      <xdr:row>59</xdr:row>
      <xdr:rowOff>161636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C84F498D-93A1-E049-8AEF-8A2827B1A4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091" y="9528463"/>
              <a:ext cx="2796309" cy="16694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34637</xdr:colOff>
      <xdr:row>82</xdr:row>
      <xdr:rowOff>80818</xdr:rowOff>
    </xdr:from>
    <xdr:to>
      <xdr:col>4</xdr:col>
      <xdr:colOff>11546</xdr:colOff>
      <xdr:row>91</xdr:row>
      <xdr:rowOff>126999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049787E8-7683-F848-B5AA-C82A86B2E7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637" y="15651018"/>
              <a:ext cx="2796309" cy="16590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114</xdr:row>
      <xdr:rowOff>69271</xdr:rowOff>
    </xdr:from>
    <xdr:to>
      <xdr:col>3</xdr:col>
      <xdr:colOff>635000</xdr:colOff>
      <xdr:row>123</xdr:row>
      <xdr:rowOff>138544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F65A8C9B-49A1-FA43-8FFE-EE713F6246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1798971"/>
              <a:ext cx="2794000" cy="16694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92940</xdr:colOff>
      <xdr:row>0</xdr:row>
      <xdr:rowOff>8082</xdr:rowOff>
    </xdr:from>
    <xdr:to>
      <xdr:col>8</xdr:col>
      <xdr:colOff>184726</xdr:colOff>
      <xdr:row>18</xdr:row>
      <xdr:rowOff>23092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173854-4AE8-1946-BE90-6322E4678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64655</xdr:colOff>
      <xdr:row>31</xdr:row>
      <xdr:rowOff>25400</xdr:rowOff>
    </xdr:from>
    <xdr:to>
      <xdr:col>8</xdr:col>
      <xdr:colOff>219364</xdr:colOff>
      <xdr:row>49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3F8AC2-5FF0-0E4C-9401-60E5E4BD5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</xdr:colOff>
      <xdr:row>63</xdr:row>
      <xdr:rowOff>0</xdr:rowOff>
    </xdr:from>
    <xdr:to>
      <xdr:col>8</xdr:col>
      <xdr:colOff>254000</xdr:colOff>
      <xdr:row>81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C957D3-92D9-1244-8B75-E9485DEAE5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100445</xdr:colOff>
      <xdr:row>94</xdr:row>
      <xdr:rowOff>13855</xdr:rowOff>
    </xdr:from>
    <xdr:to>
      <xdr:col>8</xdr:col>
      <xdr:colOff>253999</xdr:colOff>
      <xdr:row>112</xdr:row>
      <xdr:rowOff>39255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18A139-2357-8F46-B1AE-6B3F5A2A86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334818</xdr:colOff>
      <xdr:row>94</xdr:row>
      <xdr:rowOff>11546</xdr:rowOff>
    </xdr:from>
    <xdr:to>
      <xdr:col>13</xdr:col>
      <xdr:colOff>558801</xdr:colOff>
      <xdr:row>112</xdr:row>
      <xdr:rowOff>46182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C2D2F67-C9C2-5F4E-9C2B-A82E72833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338281</xdr:colOff>
      <xdr:row>63</xdr:row>
      <xdr:rowOff>4618</xdr:rowOff>
    </xdr:from>
    <xdr:to>
      <xdr:col>13</xdr:col>
      <xdr:colOff>556491</xdr:colOff>
      <xdr:row>81</xdr:row>
      <xdr:rowOff>34636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12D5F1B-4AFD-A24B-88FE-72CDD37480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300181</xdr:colOff>
      <xdr:row>31</xdr:row>
      <xdr:rowOff>25401</xdr:rowOff>
    </xdr:from>
    <xdr:to>
      <xdr:col>13</xdr:col>
      <xdr:colOff>542637</xdr:colOff>
      <xdr:row>49</xdr:row>
      <xdr:rowOff>69274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0017356-38E5-5C41-BA0B-7D9352D6B7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265547</xdr:colOff>
      <xdr:row>0</xdr:row>
      <xdr:rowOff>11546</xdr:rowOff>
    </xdr:from>
    <xdr:to>
      <xdr:col>13</xdr:col>
      <xdr:colOff>483757</xdr:colOff>
      <xdr:row>18</xdr:row>
      <xdr:rowOff>23092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5C1BFDD-17F4-DD45-92E3-541D1E561C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103908</xdr:colOff>
      <xdr:row>18</xdr:row>
      <xdr:rowOff>69272</xdr:rowOff>
    </xdr:from>
    <xdr:to>
      <xdr:col>3</xdr:col>
      <xdr:colOff>588817</xdr:colOff>
      <xdr:row>27</xdr:row>
      <xdr:rowOff>80818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C574098-64D4-0C44-9F15-98A73083B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908" y="3295072"/>
              <a:ext cx="2732809" cy="16371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46182</xdr:colOff>
      <xdr:row>49</xdr:row>
      <xdr:rowOff>115454</xdr:rowOff>
    </xdr:from>
    <xdr:to>
      <xdr:col>3</xdr:col>
      <xdr:colOff>531091</xdr:colOff>
      <xdr:row>58</xdr:row>
      <xdr:rowOff>161636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6F19C5C4-35BC-D642-A6AD-0E84A6C4E0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182" y="9538854"/>
              <a:ext cx="2732809" cy="16463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80818</xdr:colOff>
      <xdr:row>81</xdr:row>
      <xdr:rowOff>69273</xdr:rowOff>
    </xdr:from>
    <xdr:to>
      <xdr:col>3</xdr:col>
      <xdr:colOff>565727</xdr:colOff>
      <xdr:row>90</xdr:row>
      <xdr:rowOff>92363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72928C98-8332-EA41-A230-21E9523C3E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818" y="15614073"/>
              <a:ext cx="2732809" cy="16359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69273</xdr:colOff>
      <xdr:row>112</xdr:row>
      <xdr:rowOff>57727</xdr:rowOff>
    </xdr:from>
    <xdr:to>
      <xdr:col>3</xdr:col>
      <xdr:colOff>577272</xdr:colOff>
      <xdr:row>120</xdr:row>
      <xdr:rowOff>103909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9BFA38B3-B2FC-124C-9DD3-8C42EEC939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273" y="21749327"/>
              <a:ext cx="2755899" cy="14685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120074</xdr:colOff>
      <xdr:row>1</xdr:row>
      <xdr:rowOff>47336</xdr:rowOff>
    </xdr:from>
    <xdr:to>
      <xdr:col>8</xdr:col>
      <xdr:colOff>265546</xdr:colOff>
      <xdr:row>19</xdr:row>
      <xdr:rowOff>69274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D50D2B0-CE13-F34A-A8D6-5B8C9DDDC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75045</xdr:colOff>
      <xdr:row>32</xdr:row>
      <xdr:rowOff>49646</xdr:rowOff>
    </xdr:from>
    <xdr:to>
      <xdr:col>8</xdr:col>
      <xdr:colOff>161636</xdr:colOff>
      <xdr:row>50</xdr:row>
      <xdr:rowOff>57727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23C4EA0-1AAB-484E-B80A-E8DF56EF6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87745</xdr:colOff>
      <xdr:row>64</xdr:row>
      <xdr:rowOff>15011</xdr:rowOff>
    </xdr:from>
    <xdr:to>
      <xdr:col>8</xdr:col>
      <xdr:colOff>288636</xdr:colOff>
      <xdr:row>82</xdr:row>
      <xdr:rowOff>80820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D8D129B-DDDA-2042-9024-2B6283306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110835</xdr:colOff>
      <xdr:row>96</xdr:row>
      <xdr:rowOff>2309</xdr:rowOff>
    </xdr:from>
    <xdr:to>
      <xdr:col>8</xdr:col>
      <xdr:colOff>323272</xdr:colOff>
      <xdr:row>114</xdr:row>
      <xdr:rowOff>34637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C4A5435-A7A9-AA40-AD05-3B6309710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346364</xdr:colOff>
      <xdr:row>1</xdr:row>
      <xdr:rowOff>46182</xdr:rowOff>
    </xdr:from>
    <xdr:to>
      <xdr:col>13</xdr:col>
      <xdr:colOff>564574</xdr:colOff>
      <xdr:row>19</xdr:row>
      <xdr:rowOff>57728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AC7E237-A817-314B-92CD-71FF1F012B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242454</xdr:colOff>
      <xdr:row>32</xdr:row>
      <xdr:rowOff>46180</xdr:rowOff>
    </xdr:from>
    <xdr:to>
      <xdr:col>13</xdr:col>
      <xdr:colOff>460664</xdr:colOff>
      <xdr:row>50</xdr:row>
      <xdr:rowOff>42332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55DE9A5-2058-D941-9F72-BE5008DB4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355986</xdr:colOff>
      <xdr:row>63</xdr:row>
      <xdr:rowOff>171258</xdr:rowOff>
    </xdr:from>
    <xdr:to>
      <xdr:col>13</xdr:col>
      <xdr:colOff>549180</xdr:colOff>
      <xdr:row>82</xdr:row>
      <xdr:rowOff>60613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FF1F858-312D-BB46-96D5-3B06C35F3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392546</xdr:colOff>
      <xdr:row>96</xdr:row>
      <xdr:rowOff>2</xdr:rowOff>
    </xdr:from>
    <xdr:to>
      <xdr:col>13</xdr:col>
      <xdr:colOff>610756</xdr:colOff>
      <xdr:row>114</xdr:row>
      <xdr:rowOff>34638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20669EC-EE34-F749-9648-0215A8390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bigail Davies" id="{235B9065-315A-7D49-9F36-9D40375337CB}" userId="S::adavies@gardners.onmicrosoft.com::f80310ce-e958-4edb-a893-09371245e1b7" providerId="AD"/>
</personList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1-08-04T13:42:43.54" personId="{235B9065-315A-7D49-9F36-9D40375337CB}" id="{36922184-313E-7744-BBBC-AA7EDA17C9D2}">
    <text>Print total not including Indigo, at the request of RC NR 04/08/2021.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21"/>
  <sheetViews>
    <sheetView workbookViewId="0">
      <pane ySplit="1" topLeftCell="A73" activePane="bottomLeft" state="frozen"/>
      <selection activeCell="K6" sqref="K6"/>
      <selection pane="bottomLeft" activeCell="J98" sqref="J98"/>
    </sheetView>
  </sheetViews>
  <sheetFormatPr baseColWidth="10" defaultColWidth="22" defaultRowHeight="14" x14ac:dyDescent="0.2"/>
  <cols>
    <col min="1" max="1" width="12.59765625" style="152" customWidth="1"/>
    <col min="2" max="2" width="11.59765625" style="153" customWidth="1"/>
    <col min="3" max="3" width="12.796875" style="153" customWidth="1"/>
    <col min="4" max="4" width="11.59765625" style="153" customWidth="1"/>
    <col min="5" max="5" width="12.796875" style="153" customWidth="1"/>
    <col min="6" max="6" width="11.59765625" style="155" customWidth="1"/>
    <col min="7" max="7" width="12.796875" style="156" customWidth="1"/>
    <col min="8" max="9" width="21.59765625" style="157" customWidth="1"/>
    <col min="10" max="10" width="11.59765625" style="151" customWidth="1"/>
    <col min="11" max="11" width="31.3984375" style="151" customWidth="1"/>
    <col min="12" max="13" width="11.59765625" style="151" customWidth="1"/>
    <col min="14" max="14" width="34" style="151" customWidth="1"/>
    <col min="15" max="16" width="22" style="151"/>
    <col min="17" max="17" width="22" style="150"/>
    <col min="18" max="18" width="22" style="151"/>
    <col min="19" max="19" width="22" style="158"/>
    <col min="20" max="16384" width="22" style="151"/>
  </cols>
  <sheetData>
    <row r="1" spans="1:20" s="159" customFormat="1" ht="30" x14ac:dyDescent="0.2">
      <c r="A1" s="124" t="s">
        <v>50</v>
      </c>
      <c r="B1" s="1" t="s">
        <v>0</v>
      </c>
      <c r="C1" s="1" t="s">
        <v>1</v>
      </c>
      <c r="D1" s="1" t="s">
        <v>9</v>
      </c>
      <c r="E1" s="1" t="s">
        <v>10</v>
      </c>
      <c r="F1" s="56" t="s">
        <v>4</v>
      </c>
      <c r="G1" s="57" t="s">
        <v>86</v>
      </c>
      <c r="H1" s="43" t="s">
        <v>2</v>
      </c>
      <c r="I1" s="43" t="s">
        <v>3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73</v>
      </c>
      <c r="S1" s="138" t="s">
        <v>201</v>
      </c>
      <c r="T1" s="138"/>
    </row>
    <row r="2" spans="1:20" s="159" customFormat="1" x14ac:dyDescent="0.2">
      <c r="A2" s="152">
        <f t="shared" ref="A2:A7" si="0">J2</f>
        <v>338733.1</v>
      </c>
      <c r="B2" s="153" t="str">
        <f t="shared" ref="B2:B7" si="1">LEFT(K2,SEARCH(" ",K2)-1)</f>
        <v>AutoMiller</v>
      </c>
      <c r="C2" s="148" t="str">
        <f t="shared" ref="C2:C7" si="2">IF(ISNUMBER(SEARCH("Run",K2)),"Running",RIGHT(K2,LEN(K2)-(FIND("- ",K2,1))-LEN("- ")+1))</f>
        <v>No Work</v>
      </c>
      <c r="D2" s="149">
        <f t="shared" ref="D2:D7" si="3">F2*24</f>
        <v>10.250000000058208</v>
      </c>
      <c r="E2" s="154" t="e">
        <f t="shared" ref="E2:E7" si="4">IF(H2-I1&gt;=TIME(0,1,0),SUM(H2-I1)*24,"")</f>
        <v>#VALUE!</v>
      </c>
      <c r="F2" s="155">
        <f t="shared" ref="F2:F7" si="5">I2-H2</f>
        <v>0.42708333333575865</v>
      </c>
      <c r="G2" s="57"/>
      <c r="H2" s="157">
        <v>44580.25</v>
      </c>
      <c r="I2" s="157" t="s">
        <v>501</v>
      </c>
      <c r="J2" s="287">
        <v>338733.1</v>
      </c>
      <c r="K2" s="151" t="s">
        <v>553</v>
      </c>
      <c r="L2" s="151" t="s">
        <v>504</v>
      </c>
      <c r="M2" s="151">
        <v>0</v>
      </c>
      <c r="N2" s="2"/>
      <c r="O2" s="151" t="s">
        <v>595</v>
      </c>
      <c r="P2" s="151" t="s">
        <v>596</v>
      </c>
      <c r="Q2" s="150" t="s">
        <v>597</v>
      </c>
      <c r="R2" s="151">
        <v>0</v>
      </c>
      <c r="S2" s="158">
        <v>0</v>
      </c>
      <c r="T2" s="138"/>
    </row>
    <row r="3" spans="1:20" x14ac:dyDescent="0.2">
      <c r="A3" s="152">
        <f t="shared" si="0"/>
        <v>349297</v>
      </c>
      <c r="B3" s="153" t="str">
        <f t="shared" si="1"/>
        <v>AutoMiller</v>
      </c>
      <c r="C3" s="148" t="str">
        <f t="shared" si="2"/>
        <v>Running</v>
      </c>
      <c r="D3" s="149">
        <f t="shared" si="3"/>
        <v>1.4833333332790062</v>
      </c>
      <c r="E3" s="154" t="str">
        <f t="shared" si="4"/>
        <v/>
      </c>
      <c r="F3" s="155">
        <f t="shared" si="5"/>
        <v>6.1805555553291924E-2</v>
      </c>
      <c r="G3" s="156">
        <v>1263377</v>
      </c>
      <c r="H3" s="157" t="s">
        <v>501</v>
      </c>
      <c r="I3" s="157" t="s">
        <v>502</v>
      </c>
      <c r="J3" s="151">
        <v>349297</v>
      </c>
      <c r="K3" s="151" t="s">
        <v>503</v>
      </c>
      <c r="L3" s="151" t="s">
        <v>504</v>
      </c>
      <c r="M3" s="151">
        <v>190</v>
      </c>
      <c r="O3" s="151" t="s">
        <v>505</v>
      </c>
      <c r="P3" s="151" t="s">
        <v>506</v>
      </c>
      <c r="Q3" s="150" t="s">
        <v>315</v>
      </c>
      <c r="R3" s="151">
        <v>431</v>
      </c>
      <c r="S3" s="158">
        <v>11.3</v>
      </c>
    </row>
    <row r="4" spans="1:20" x14ac:dyDescent="0.2">
      <c r="A4" s="152">
        <f t="shared" si="0"/>
        <v>338733.1</v>
      </c>
      <c r="B4" s="153" t="str">
        <f t="shared" si="1"/>
        <v>AutoMiller</v>
      </c>
      <c r="C4" s="148" t="str">
        <f t="shared" si="2"/>
        <v>Maintenance</v>
      </c>
      <c r="D4" s="149">
        <f t="shared" si="3"/>
        <v>0.26666666666278616</v>
      </c>
      <c r="E4" s="154" t="str">
        <f t="shared" si="4"/>
        <v/>
      </c>
      <c r="F4" s="155">
        <f t="shared" si="5"/>
        <v>1.1111111110949423E-2</v>
      </c>
      <c r="H4" s="157" t="s">
        <v>502</v>
      </c>
      <c r="I4" s="157">
        <v>44580.75</v>
      </c>
      <c r="J4" s="287">
        <v>338733.1</v>
      </c>
      <c r="K4" s="151" t="s">
        <v>554</v>
      </c>
      <c r="L4" s="151" t="s">
        <v>504</v>
      </c>
      <c r="M4" s="151">
        <v>0</v>
      </c>
      <c r="O4" s="151" t="s">
        <v>595</v>
      </c>
      <c r="P4" s="151" t="s">
        <v>596</v>
      </c>
      <c r="Q4" s="150" t="s">
        <v>597</v>
      </c>
      <c r="R4" s="151">
        <v>0</v>
      </c>
      <c r="S4" s="158">
        <v>0</v>
      </c>
    </row>
    <row r="5" spans="1:20" x14ac:dyDescent="0.2">
      <c r="A5" s="152">
        <f t="shared" si="0"/>
        <v>338733.1</v>
      </c>
      <c r="B5" s="153" t="str">
        <f t="shared" si="1"/>
        <v>AutoMiller</v>
      </c>
      <c r="C5" s="148" t="str">
        <f t="shared" si="2"/>
        <v>Not Planned</v>
      </c>
      <c r="D5" s="149">
        <f t="shared" si="3"/>
        <v>9.5000000000582077</v>
      </c>
      <c r="E5" s="154" t="str">
        <f t="shared" si="4"/>
        <v/>
      </c>
      <c r="F5" s="155">
        <f t="shared" si="5"/>
        <v>0.39583333333575865</v>
      </c>
      <c r="H5" s="157">
        <v>44580.75</v>
      </c>
      <c r="I5" s="157" t="s">
        <v>546</v>
      </c>
      <c r="J5" s="287">
        <v>338733.1</v>
      </c>
      <c r="K5" s="151" t="s">
        <v>555</v>
      </c>
      <c r="L5" s="151" t="s">
        <v>504</v>
      </c>
      <c r="M5" s="151">
        <v>0</v>
      </c>
      <c r="O5" s="151" t="s">
        <v>595</v>
      </c>
      <c r="P5" s="151" t="s">
        <v>596</v>
      </c>
      <c r="Q5" s="150" t="s">
        <v>597</v>
      </c>
      <c r="R5" s="151">
        <v>0</v>
      </c>
      <c r="S5" s="158">
        <v>0</v>
      </c>
    </row>
    <row r="6" spans="1:20" x14ac:dyDescent="0.2">
      <c r="A6" s="152">
        <f t="shared" si="0"/>
        <v>349297</v>
      </c>
      <c r="B6" s="153" t="str">
        <f t="shared" si="1"/>
        <v>AutoMiller</v>
      </c>
      <c r="C6" s="148" t="str">
        <f t="shared" si="2"/>
        <v>Running</v>
      </c>
      <c r="D6" s="149">
        <f t="shared" si="3"/>
        <v>2.2333333332790062</v>
      </c>
      <c r="E6" s="154" t="str">
        <f t="shared" si="4"/>
        <v/>
      </c>
      <c r="F6" s="155">
        <f t="shared" si="5"/>
        <v>9.3055555553291924E-2</v>
      </c>
      <c r="G6" s="156">
        <v>1263396</v>
      </c>
      <c r="H6" s="157" t="s">
        <v>546</v>
      </c>
      <c r="I6" s="157" t="s">
        <v>547</v>
      </c>
      <c r="J6" s="151">
        <v>349297</v>
      </c>
      <c r="K6" s="151" t="s">
        <v>503</v>
      </c>
      <c r="L6" s="151" t="s">
        <v>516</v>
      </c>
      <c r="M6" s="151">
        <v>241</v>
      </c>
      <c r="O6" s="151" t="s">
        <v>505</v>
      </c>
      <c r="P6" s="151" t="s">
        <v>506</v>
      </c>
      <c r="Q6" s="150" t="s">
        <v>315</v>
      </c>
      <c r="R6" s="151">
        <v>431</v>
      </c>
      <c r="S6" s="158">
        <v>11.3</v>
      </c>
    </row>
    <row r="7" spans="1:20" x14ac:dyDescent="0.2">
      <c r="A7" s="152">
        <f t="shared" si="0"/>
        <v>338733.1</v>
      </c>
      <c r="B7" s="153" t="str">
        <f t="shared" si="1"/>
        <v>AutoMiller</v>
      </c>
      <c r="C7" s="148" t="str">
        <f t="shared" si="2"/>
        <v>Maintenance</v>
      </c>
      <c r="D7" s="149">
        <f t="shared" si="3"/>
        <v>0.26666666666278616</v>
      </c>
      <c r="E7" s="154" t="str">
        <f t="shared" si="4"/>
        <v/>
      </c>
      <c r="F7" s="155">
        <f t="shared" si="5"/>
        <v>1.1111111110949423E-2</v>
      </c>
      <c r="H7" s="157" t="s">
        <v>547</v>
      </c>
      <c r="I7" s="157">
        <v>44581.25</v>
      </c>
      <c r="J7" s="287">
        <v>338733.1</v>
      </c>
      <c r="K7" s="151" t="s">
        <v>554</v>
      </c>
      <c r="L7" s="151" t="s">
        <v>516</v>
      </c>
      <c r="M7" s="151">
        <v>0</v>
      </c>
      <c r="O7" s="151" t="s">
        <v>595</v>
      </c>
      <c r="P7" s="151" t="s">
        <v>596</v>
      </c>
      <c r="Q7" s="150" t="s">
        <v>597</v>
      </c>
      <c r="R7" s="151">
        <v>0</v>
      </c>
      <c r="S7" s="158">
        <v>0</v>
      </c>
    </row>
    <row r="8" spans="1:20" x14ac:dyDescent="0.2">
      <c r="A8" s="152">
        <f>J8</f>
        <v>347876</v>
      </c>
      <c r="B8" s="153" t="str">
        <f>LEFT(K8,SEARCH(" ",K8)-1)</f>
        <v>Durst1</v>
      </c>
      <c r="C8" s="148" t="str">
        <f>IF(ISNUMBER(SEARCH("Run",K8)),"Running",RIGHT(K8,LEN(K8)-(FIND("- ",K8,1))-LEN("- ")+1))</f>
        <v>Running</v>
      </c>
      <c r="D8" s="149">
        <f>F8*24</f>
        <v>0.43333333334885538</v>
      </c>
      <c r="E8" s="154" t="str">
        <f>IF(H8-I7&gt;=TIME(0,1,0),SUM(H8-I7)*24,"")</f>
        <v/>
      </c>
      <c r="F8" s="155">
        <f>I8-H8</f>
        <v>1.8055555556202307E-2</v>
      </c>
      <c r="G8" s="156">
        <v>1262712</v>
      </c>
      <c r="H8" s="157">
        <v>44580.25</v>
      </c>
      <c r="I8" s="157" t="s">
        <v>398</v>
      </c>
      <c r="J8" s="151">
        <v>347876</v>
      </c>
      <c r="K8" s="151" t="s">
        <v>399</v>
      </c>
      <c r="L8" s="151" t="s">
        <v>383</v>
      </c>
      <c r="M8" s="151">
        <v>1</v>
      </c>
      <c r="O8" s="151" t="s">
        <v>401</v>
      </c>
      <c r="P8" s="151" t="s">
        <v>326</v>
      </c>
      <c r="Q8" s="150" t="s">
        <v>402</v>
      </c>
      <c r="R8" s="151">
        <v>1183</v>
      </c>
      <c r="S8" s="158">
        <v>43.7</v>
      </c>
    </row>
    <row r="9" spans="1:20" x14ac:dyDescent="0.2">
      <c r="A9" s="152">
        <f t="shared" ref="A9:A36" si="6">J9</f>
        <v>347876</v>
      </c>
      <c r="B9" s="153" t="str">
        <f t="shared" ref="B9:B36" si="7">LEFT(K9,SEARCH(" ",K9)-1)</f>
        <v>Durst1</v>
      </c>
      <c r="C9" s="148" t="str">
        <f t="shared" ref="C9:C36" si="8">IF(ISNUMBER(SEARCH("Run",K9)),"Running",RIGHT(K9,LEN(K9)-(FIND("- ",K9,1))-LEN("- ")+1))</f>
        <v>Material Issue</v>
      </c>
      <c r="D9" s="149">
        <f t="shared" ref="D9:D36" si="9">F9*24</f>
        <v>1.6666666666860692</v>
      </c>
      <c r="E9" s="154" t="str">
        <f t="shared" ref="E9:E36" si="10">IF(H9-I8&gt;=TIME(0,1,0),SUM(H9-I8)*24,"")</f>
        <v/>
      </c>
      <c r="F9" s="155">
        <f t="shared" ref="F9:F36" si="11">I9-H9</f>
        <v>6.9444444445252884E-2</v>
      </c>
      <c r="H9" s="157" t="s">
        <v>398</v>
      </c>
      <c r="I9" s="157" t="s">
        <v>417</v>
      </c>
      <c r="J9" s="151">
        <v>347876</v>
      </c>
      <c r="K9" s="151" t="s">
        <v>556</v>
      </c>
      <c r="L9" s="151" t="s">
        <v>383</v>
      </c>
      <c r="M9" s="151">
        <v>0</v>
      </c>
      <c r="N9" s="151" t="s">
        <v>400</v>
      </c>
      <c r="O9" s="151" t="s">
        <v>401</v>
      </c>
      <c r="P9" s="151" t="s">
        <v>326</v>
      </c>
      <c r="Q9" s="150" t="s">
        <v>402</v>
      </c>
      <c r="R9" s="151">
        <v>1183</v>
      </c>
      <c r="S9" s="158">
        <v>43.7</v>
      </c>
    </row>
    <row r="10" spans="1:20" x14ac:dyDescent="0.2">
      <c r="A10" s="152">
        <f t="shared" si="6"/>
        <v>347876</v>
      </c>
      <c r="B10" s="153" t="str">
        <f t="shared" si="7"/>
        <v>Durst1</v>
      </c>
      <c r="C10" s="148" t="str">
        <f t="shared" si="8"/>
        <v>Running</v>
      </c>
      <c r="D10" s="149">
        <f t="shared" si="9"/>
        <v>5.8500000000349246</v>
      </c>
      <c r="E10" s="154" t="str">
        <f t="shared" si="10"/>
        <v/>
      </c>
      <c r="F10" s="155">
        <f t="shared" si="11"/>
        <v>0.24375000000145519</v>
      </c>
      <c r="G10" s="156">
        <v>1263062</v>
      </c>
      <c r="H10" s="157" t="s">
        <v>417</v>
      </c>
      <c r="I10" s="157" t="s">
        <v>418</v>
      </c>
      <c r="J10" s="151">
        <v>347876</v>
      </c>
      <c r="K10" s="151" t="s">
        <v>399</v>
      </c>
      <c r="L10" s="151" t="s">
        <v>393</v>
      </c>
      <c r="M10" s="151">
        <v>114</v>
      </c>
      <c r="N10" s="151" t="s">
        <v>419</v>
      </c>
      <c r="O10" s="151" t="s">
        <v>401</v>
      </c>
      <c r="P10" s="151" t="s">
        <v>326</v>
      </c>
      <c r="Q10" s="150" t="s">
        <v>402</v>
      </c>
      <c r="R10" s="151">
        <v>1183</v>
      </c>
      <c r="S10" s="158">
        <v>43.7</v>
      </c>
    </row>
    <row r="11" spans="1:20" x14ac:dyDescent="0.2">
      <c r="A11" s="152">
        <f t="shared" si="6"/>
        <v>347876.01</v>
      </c>
      <c r="B11" s="153" t="str">
        <f t="shared" si="7"/>
        <v>Durst1</v>
      </c>
      <c r="C11" s="148" t="str">
        <f t="shared" si="8"/>
        <v>Make Ready</v>
      </c>
      <c r="D11" s="149">
        <f t="shared" si="9"/>
        <v>1.3499999998603016</v>
      </c>
      <c r="E11" s="154" t="str">
        <f t="shared" si="10"/>
        <v/>
      </c>
      <c r="F11" s="155">
        <f t="shared" si="11"/>
        <v>5.6249999994179234E-2</v>
      </c>
      <c r="G11" s="156">
        <v>1263192</v>
      </c>
      <c r="H11" s="157" t="s">
        <v>418</v>
      </c>
      <c r="I11" s="157" t="s">
        <v>477</v>
      </c>
      <c r="J11" s="151">
        <v>347876.01</v>
      </c>
      <c r="K11" s="151" t="s">
        <v>478</v>
      </c>
      <c r="L11" s="151" t="s">
        <v>393</v>
      </c>
      <c r="M11" s="151">
        <v>0</v>
      </c>
      <c r="N11" s="151" t="s">
        <v>479</v>
      </c>
      <c r="O11" s="151" t="s">
        <v>401</v>
      </c>
      <c r="P11" s="151" t="s">
        <v>326</v>
      </c>
      <c r="Q11" s="150" t="s">
        <v>402</v>
      </c>
      <c r="R11" s="151">
        <v>1225</v>
      </c>
      <c r="S11" s="158">
        <v>88.47</v>
      </c>
    </row>
    <row r="12" spans="1:20" x14ac:dyDescent="0.2">
      <c r="A12" s="152">
        <f t="shared" si="6"/>
        <v>347876</v>
      </c>
      <c r="B12" s="153" t="str">
        <f t="shared" si="7"/>
        <v>Durst1</v>
      </c>
      <c r="C12" s="148" t="str">
        <f t="shared" si="8"/>
        <v>Running</v>
      </c>
      <c r="D12" s="149">
        <f t="shared" si="9"/>
        <v>0.10000000015133992</v>
      </c>
      <c r="E12" s="154" t="str">
        <f t="shared" si="10"/>
        <v/>
      </c>
      <c r="F12" s="155">
        <f t="shared" si="11"/>
        <v>4.1666666729724966E-3</v>
      </c>
      <c r="G12" s="156">
        <v>1263196</v>
      </c>
      <c r="H12" s="157" t="s">
        <v>477</v>
      </c>
      <c r="I12" s="157" t="s">
        <v>491</v>
      </c>
      <c r="J12" s="151">
        <v>347876</v>
      </c>
      <c r="K12" s="151" t="s">
        <v>399</v>
      </c>
      <c r="L12" s="151" t="s">
        <v>383</v>
      </c>
      <c r="M12" s="151">
        <v>11</v>
      </c>
      <c r="N12" s="151" t="s">
        <v>384</v>
      </c>
      <c r="O12" s="151" t="s">
        <v>401</v>
      </c>
      <c r="P12" s="151" t="s">
        <v>326</v>
      </c>
      <c r="Q12" s="150" t="s">
        <v>402</v>
      </c>
      <c r="R12" s="151">
        <v>1183</v>
      </c>
      <c r="S12" s="158">
        <v>43.7</v>
      </c>
    </row>
    <row r="13" spans="1:20" x14ac:dyDescent="0.2">
      <c r="A13" s="152">
        <f t="shared" si="6"/>
        <v>338733.01</v>
      </c>
      <c r="B13" s="153" t="str">
        <f t="shared" si="7"/>
        <v>Durst1</v>
      </c>
      <c r="C13" s="148" t="str">
        <f t="shared" si="8"/>
        <v>Break</v>
      </c>
      <c r="D13" s="149">
        <f t="shared" si="9"/>
        <v>1.1333333333604969</v>
      </c>
      <c r="E13" s="154" t="str">
        <f t="shared" si="10"/>
        <v/>
      </c>
      <c r="F13" s="155">
        <f t="shared" si="11"/>
        <v>4.7222222223354038E-2</v>
      </c>
      <c r="H13" s="157" t="s">
        <v>477</v>
      </c>
      <c r="I13" s="157" t="s">
        <v>507</v>
      </c>
      <c r="J13" s="287">
        <v>338733.01</v>
      </c>
      <c r="K13" s="151" t="s">
        <v>557</v>
      </c>
      <c r="L13" s="151" t="s">
        <v>383</v>
      </c>
      <c r="M13" s="151">
        <v>0</v>
      </c>
      <c r="O13" s="151" t="s">
        <v>595</v>
      </c>
      <c r="P13" s="151" t="s">
        <v>596</v>
      </c>
      <c r="Q13" s="150" t="s">
        <v>597</v>
      </c>
      <c r="R13" s="151">
        <v>0</v>
      </c>
      <c r="S13" s="158">
        <v>0</v>
      </c>
    </row>
    <row r="14" spans="1:20" x14ac:dyDescent="0.2">
      <c r="A14" s="152">
        <f t="shared" si="6"/>
        <v>347876.01</v>
      </c>
      <c r="B14" s="153" t="str">
        <f t="shared" si="7"/>
        <v>Durst1</v>
      </c>
      <c r="C14" s="148" t="str">
        <f t="shared" si="8"/>
        <v>Make Ready</v>
      </c>
      <c r="D14" s="149">
        <f t="shared" si="9"/>
        <v>0.56666666676755995</v>
      </c>
      <c r="E14" s="154" t="str">
        <f t="shared" si="10"/>
        <v/>
      </c>
      <c r="F14" s="155">
        <f t="shared" si="11"/>
        <v>2.3611111115314998E-2</v>
      </c>
      <c r="G14" s="156">
        <v>1263383</v>
      </c>
      <c r="H14" s="157" t="s">
        <v>507</v>
      </c>
      <c r="I14" s="157">
        <v>44580.708333333336</v>
      </c>
      <c r="J14" s="151">
        <v>347876.01</v>
      </c>
      <c r="K14" s="151" t="s">
        <v>478</v>
      </c>
      <c r="L14" s="151" t="s">
        <v>393</v>
      </c>
      <c r="M14" s="151">
        <v>0</v>
      </c>
      <c r="N14" s="151" t="s">
        <v>384</v>
      </c>
      <c r="O14" s="151" t="s">
        <v>401</v>
      </c>
      <c r="P14" s="151" t="s">
        <v>326</v>
      </c>
      <c r="Q14" s="150" t="s">
        <v>402</v>
      </c>
      <c r="R14" s="151">
        <v>1225</v>
      </c>
      <c r="S14" s="158">
        <v>88.47</v>
      </c>
    </row>
    <row r="15" spans="1:20" x14ac:dyDescent="0.2">
      <c r="A15" s="152">
        <f t="shared" si="6"/>
        <v>347876.01</v>
      </c>
      <c r="B15" s="153" t="str">
        <f t="shared" si="7"/>
        <v>Durst1</v>
      </c>
      <c r="C15" s="148" t="str">
        <f t="shared" si="8"/>
        <v>Running</v>
      </c>
      <c r="D15" s="149">
        <f t="shared" si="9"/>
        <v>5.6333333333604969</v>
      </c>
      <c r="E15" s="154" t="str">
        <f t="shared" si="10"/>
        <v/>
      </c>
      <c r="F15" s="155">
        <f t="shared" si="11"/>
        <v>0.23472222222335404</v>
      </c>
      <c r="G15" s="156">
        <v>1263384</v>
      </c>
      <c r="H15" s="157">
        <v>44580.708333333336</v>
      </c>
      <c r="I15" s="157" t="s">
        <v>527</v>
      </c>
      <c r="J15" s="151">
        <v>347876.01</v>
      </c>
      <c r="K15" s="151" t="s">
        <v>399</v>
      </c>
      <c r="L15" s="151" t="s">
        <v>519</v>
      </c>
      <c r="M15" s="151">
        <v>24</v>
      </c>
      <c r="N15" s="151" t="s">
        <v>384</v>
      </c>
      <c r="O15" s="151" t="s">
        <v>401</v>
      </c>
      <c r="P15" s="151" t="s">
        <v>326</v>
      </c>
      <c r="Q15" s="150" t="s">
        <v>402</v>
      </c>
      <c r="R15" s="151">
        <v>1225</v>
      </c>
      <c r="S15" s="158">
        <v>88.47</v>
      </c>
    </row>
    <row r="16" spans="1:20" x14ac:dyDescent="0.2">
      <c r="A16" s="152">
        <f t="shared" si="6"/>
        <v>349431.02</v>
      </c>
      <c r="B16" s="153" t="str">
        <f t="shared" si="7"/>
        <v>Durst1</v>
      </c>
      <c r="C16" s="148" t="str">
        <f t="shared" si="8"/>
        <v>Running</v>
      </c>
      <c r="D16" s="149">
        <f t="shared" si="9"/>
        <v>0.6000000000349246</v>
      </c>
      <c r="E16" s="154" t="str">
        <f t="shared" si="10"/>
        <v/>
      </c>
      <c r="F16" s="155">
        <f t="shared" si="11"/>
        <v>2.5000000001455192E-2</v>
      </c>
      <c r="G16" s="156">
        <v>1263385</v>
      </c>
      <c r="H16" s="157" t="s">
        <v>528</v>
      </c>
      <c r="I16" s="157" t="s">
        <v>529</v>
      </c>
      <c r="J16" s="151">
        <v>349431.02</v>
      </c>
      <c r="K16" s="151" t="s">
        <v>399</v>
      </c>
      <c r="L16" s="151" t="s">
        <v>519</v>
      </c>
      <c r="M16" s="151">
        <v>0</v>
      </c>
      <c r="N16" s="151" t="s">
        <v>446</v>
      </c>
      <c r="O16" s="151" t="s">
        <v>530</v>
      </c>
      <c r="P16" s="151" t="s">
        <v>531</v>
      </c>
      <c r="Q16" s="150" t="s">
        <v>405</v>
      </c>
      <c r="R16" s="151">
        <v>387</v>
      </c>
      <c r="S16" s="158">
        <v>6.07</v>
      </c>
    </row>
    <row r="17" spans="1:19" x14ac:dyDescent="0.2">
      <c r="A17" s="152">
        <f t="shared" si="6"/>
        <v>338733.01</v>
      </c>
      <c r="B17" s="153" t="str">
        <f t="shared" si="7"/>
        <v>Durst1</v>
      </c>
      <c r="C17" s="148" t="str">
        <f t="shared" si="8"/>
        <v>Break</v>
      </c>
      <c r="D17" s="149">
        <f t="shared" si="9"/>
        <v>0.63333333330228925</v>
      </c>
      <c r="E17" s="154" t="str">
        <f t="shared" si="10"/>
        <v/>
      </c>
      <c r="F17" s="155">
        <f t="shared" si="11"/>
        <v>2.6388888887595385E-2</v>
      </c>
      <c r="H17" s="157" t="s">
        <v>529</v>
      </c>
      <c r="I17" s="157" t="s">
        <v>532</v>
      </c>
      <c r="J17" s="287">
        <v>338733.01</v>
      </c>
      <c r="K17" s="151" t="s">
        <v>557</v>
      </c>
      <c r="L17" s="151" t="s">
        <v>519</v>
      </c>
      <c r="M17" s="151">
        <v>0</v>
      </c>
      <c r="O17" s="151" t="s">
        <v>595</v>
      </c>
      <c r="P17" s="151" t="s">
        <v>596</v>
      </c>
      <c r="Q17" s="150" t="s">
        <v>597</v>
      </c>
      <c r="R17" s="151">
        <v>0</v>
      </c>
      <c r="S17" s="158">
        <v>0</v>
      </c>
    </row>
    <row r="18" spans="1:19" x14ac:dyDescent="0.2">
      <c r="A18" s="152">
        <f t="shared" si="6"/>
        <v>349431.02</v>
      </c>
      <c r="B18" s="153" t="str">
        <f t="shared" si="7"/>
        <v>Durst1</v>
      </c>
      <c r="C18" s="148" t="str">
        <f t="shared" si="8"/>
        <v>Running</v>
      </c>
      <c r="D18" s="149">
        <f t="shared" si="9"/>
        <v>5.8333333333139308</v>
      </c>
      <c r="E18" s="154" t="str">
        <f t="shared" si="10"/>
        <v/>
      </c>
      <c r="F18" s="155">
        <f t="shared" si="11"/>
        <v>0.24305555555474712</v>
      </c>
      <c r="G18" s="156">
        <v>1263394</v>
      </c>
      <c r="H18" s="157" t="s">
        <v>532</v>
      </c>
      <c r="I18" s="157" t="s">
        <v>533</v>
      </c>
      <c r="J18" s="151">
        <v>349431.02</v>
      </c>
      <c r="K18" s="151" t="s">
        <v>399</v>
      </c>
      <c r="L18" s="151" t="s">
        <v>519</v>
      </c>
      <c r="M18" s="151">
        <v>340</v>
      </c>
      <c r="N18" s="151" t="s">
        <v>534</v>
      </c>
      <c r="O18" s="151" t="s">
        <v>530</v>
      </c>
      <c r="P18" s="151" t="s">
        <v>531</v>
      </c>
      <c r="Q18" s="150" t="s">
        <v>405</v>
      </c>
      <c r="R18" s="151">
        <v>387</v>
      </c>
      <c r="S18" s="158">
        <v>6.07</v>
      </c>
    </row>
    <row r="19" spans="1:19" x14ac:dyDescent="0.2">
      <c r="A19" s="152">
        <f t="shared" si="6"/>
        <v>338733.01</v>
      </c>
      <c r="B19" s="153" t="str">
        <f t="shared" si="7"/>
        <v>Durst1</v>
      </c>
      <c r="C19" s="148" t="str">
        <f t="shared" si="8"/>
        <v>Maintenance</v>
      </c>
      <c r="D19" s="149">
        <f t="shared" si="9"/>
        <v>0.28333333338377997</v>
      </c>
      <c r="E19" s="154" t="str">
        <f t="shared" si="10"/>
        <v/>
      </c>
      <c r="F19" s="155">
        <f t="shared" si="11"/>
        <v>1.1805555557657499E-2</v>
      </c>
      <c r="H19" s="157" t="s">
        <v>533</v>
      </c>
      <c r="I19" s="157">
        <v>44581.25</v>
      </c>
      <c r="J19" s="287">
        <v>338733.01</v>
      </c>
      <c r="K19" s="151" t="s">
        <v>558</v>
      </c>
      <c r="L19" s="151" t="s">
        <v>519</v>
      </c>
      <c r="M19" s="151">
        <v>0</v>
      </c>
      <c r="O19" s="151" t="s">
        <v>595</v>
      </c>
      <c r="P19" s="151" t="s">
        <v>596</v>
      </c>
      <c r="Q19" s="150" t="s">
        <v>597</v>
      </c>
      <c r="R19" s="151">
        <v>0</v>
      </c>
      <c r="S19" s="158">
        <v>0</v>
      </c>
    </row>
    <row r="20" spans="1:19" x14ac:dyDescent="0.2">
      <c r="A20" s="152">
        <f t="shared" si="6"/>
        <v>349393.02</v>
      </c>
      <c r="B20" s="153" t="str">
        <f t="shared" si="7"/>
        <v>Durst2</v>
      </c>
      <c r="C20" s="148" t="str">
        <f t="shared" si="8"/>
        <v>Running</v>
      </c>
      <c r="D20" s="149">
        <f t="shared" si="9"/>
        <v>9.3499999999185093</v>
      </c>
      <c r="E20" s="154" t="str">
        <f t="shared" si="10"/>
        <v/>
      </c>
      <c r="F20" s="155">
        <f t="shared" si="11"/>
        <v>0.38958333332993789</v>
      </c>
      <c r="G20" s="151">
        <v>1263193</v>
      </c>
      <c r="H20" s="157">
        <v>44580.25</v>
      </c>
      <c r="I20" s="157" t="s">
        <v>381</v>
      </c>
      <c r="J20" s="151">
        <v>349393.02</v>
      </c>
      <c r="K20" s="151" t="s">
        <v>382</v>
      </c>
      <c r="L20" s="151" t="s">
        <v>383</v>
      </c>
      <c r="M20" s="151">
        <v>1</v>
      </c>
      <c r="N20" s="151" t="s">
        <v>384</v>
      </c>
      <c r="O20" s="151" t="s">
        <v>385</v>
      </c>
      <c r="P20" s="151" t="s">
        <v>386</v>
      </c>
      <c r="Q20" s="151" t="s">
        <v>315</v>
      </c>
      <c r="R20" s="151">
        <v>174</v>
      </c>
      <c r="S20" s="158">
        <v>15</v>
      </c>
    </row>
    <row r="21" spans="1:19" x14ac:dyDescent="0.2">
      <c r="A21" s="152">
        <f t="shared" si="6"/>
        <v>349393.02</v>
      </c>
      <c r="B21" s="153" t="str">
        <f t="shared" si="7"/>
        <v>Durst2</v>
      </c>
      <c r="C21" s="148" t="str">
        <f t="shared" si="8"/>
        <v>Running</v>
      </c>
      <c r="D21" s="149">
        <f t="shared" si="9"/>
        <v>2.9166666667442769</v>
      </c>
      <c r="E21" s="154" t="str">
        <f t="shared" si="10"/>
        <v/>
      </c>
      <c r="F21" s="155">
        <f t="shared" si="11"/>
        <v>0.12152777778101154</v>
      </c>
      <c r="G21" s="156">
        <v>1263379</v>
      </c>
      <c r="H21" s="157" t="s">
        <v>381</v>
      </c>
      <c r="I21" s="157" t="s">
        <v>492</v>
      </c>
      <c r="J21" s="151">
        <v>349393.02</v>
      </c>
      <c r="K21" s="151" t="s">
        <v>382</v>
      </c>
      <c r="L21" s="151" t="s">
        <v>383</v>
      </c>
      <c r="M21" s="151">
        <v>178</v>
      </c>
      <c r="N21" s="151" t="s">
        <v>384</v>
      </c>
      <c r="O21" s="151" t="s">
        <v>385</v>
      </c>
      <c r="P21" s="151" t="s">
        <v>386</v>
      </c>
      <c r="Q21" s="150" t="s">
        <v>315</v>
      </c>
      <c r="R21" s="151">
        <v>174</v>
      </c>
      <c r="S21" s="158">
        <v>15</v>
      </c>
    </row>
    <row r="22" spans="1:19" x14ac:dyDescent="0.2">
      <c r="A22" s="152">
        <f t="shared" si="6"/>
        <v>349393.01</v>
      </c>
      <c r="B22" s="153" t="str">
        <f t="shared" si="7"/>
        <v>Durst2</v>
      </c>
      <c r="C22" s="148" t="str">
        <f t="shared" si="8"/>
        <v>Make ready</v>
      </c>
      <c r="D22" s="149">
        <f t="shared" si="9"/>
        <v>1.6666666720993817E-2</v>
      </c>
      <c r="E22" s="154" t="str">
        <f t="shared" si="10"/>
        <v/>
      </c>
      <c r="F22" s="155">
        <f t="shared" si="11"/>
        <v>6.944444467080757E-4</v>
      </c>
      <c r="G22" s="156">
        <v>1263380</v>
      </c>
      <c r="H22" s="157" t="s">
        <v>492</v>
      </c>
      <c r="I22" s="157" t="s">
        <v>517</v>
      </c>
      <c r="J22" s="151">
        <v>349393.01</v>
      </c>
      <c r="K22" s="151" t="s">
        <v>560</v>
      </c>
      <c r="L22" s="151" t="s">
        <v>383</v>
      </c>
      <c r="M22" s="151">
        <v>0</v>
      </c>
      <c r="N22" s="151" t="s">
        <v>384</v>
      </c>
      <c r="O22" s="151" t="s">
        <v>385</v>
      </c>
      <c r="P22" s="151" t="s">
        <v>386</v>
      </c>
      <c r="Q22" s="150" t="s">
        <v>315</v>
      </c>
      <c r="R22" s="151">
        <v>36</v>
      </c>
      <c r="S22" s="158">
        <v>1.75</v>
      </c>
    </row>
    <row r="23" spans="1:19" x14ac:dyDescent="0.2">
      <c r="A23" s="152">
        <f t="shared" si="6"/>
        <v>349393.01</v>
      </c>
      <c r="B23" s="153" t="str">
        <f t="shared" si="7"/>
        <v>Durst2</v>
      </c>
      <c r="C23" s="148" t="str">
        <f t="shared" si="8"/>
        <v>Running</v>
      </c>
      <c r="D23" s="149">
        <f t="shared" si="9"/>
        <v>6.5499999998719431</v>
      </c>
      <c r="E23" s="154" t="str">
        <f t="shared" si="10"/>
        <v/>
      </c>
      <c r="F23" s="155">
        <f t="shared" si="11"/>
        <v>0.27291666666133096</v>
      </c>
      <c r="G23" s="156">
        <v>1263389</v>
      </c>
      <c r="H23" s="157" t="s">
        <v>517</v>
      </c>
      <c r="I23" s="157" t="s">
        <v>518</v>
      </c>
      <c r="J23" s="151">
        <v>349393.01</v>
      </c>
      <c r="K23" s="151" t="s">
        <v>382</v>
      </c>
      <c r="L23" s="151" t="s">
        <v>519</v>
      </c>
      <c r="M23" s="151">
        <v>37</v>
      </c>
      <c r="N23" s="151" t="s">
        <v>384</v>
      </c>
      <c r="O23" s="151" t="s">
        <v>385</v>
      </c>
      <c r="P23" s="151" t="s">
        <v>386</v>
      </c>
      <c r="Q23" s="150" t="s">
        <v>315</v>
      </c>
      <c r="R23" s="151">
        <v>36</v>
      </c>
      <c r="S23" s="158">
        <v>1.75</v>
      </c>
    </row>
    <row r="24" spans="1:19" x14ac:dyDescent="0.2">
      <c r="A24" s="152">
        <f t="shared" si="6"/>
        <v>349443</v>
      </c>
      <c r="B24" s="153" t="str">
        <f t="shared" si="7"/>
        <v>Durst2</v>
      </c>
      <c r="C24" s="148" t="str">
        <f t="shared" si="8"/>
        <v>Running</v>
      </c>
      <c r="D24" s="149">
        <f t="shared" si="9"/>
        <v>3.1333333334187046</v>
      </c>
      <c r="E24" s="154" t="str">
        <f t="shared" si="10"/>
        <v/>
      </c>
      <c r="F24" s="155">
        <f t="shared" si="11"/>
        <v>0.13055555555911269</v>
      </c>
      <c r="G24" s="156">
        <v>1263392</v>
      </c>
      <c r="H24" s="157" t="s">
        <v>518</v>
      </c>
      <c r="I24" s="157" t="s">
        <v>536</v>
      </c>
      <c r="J24" s="151">
        <v>349443</v>
      </c>
      <c r="K24" s="151" t="s">
        <v>537</v>
      </c>
      <c r="L24" s="151" t="s">
        <v>519</v>
      </c>
      <c r="M24" s="151">
        <v>3</v>
      </c>
      <c r="N24" s="151" t="s">
        <v>538</v>
      </c>
      <c r="O24" s="151" t="s">
        <v>539</v>
      </c>
      <c r="P24" s="151" t="s">
        <v>540</v>
      </c>
      <c r="Q24" s="150" t="s">
        <v>315</v>
      </c>
      <c r="R24" s="151">
        <v>243</v>
      </c>
      <c r="S24" s="158">
        <v>2</v>
      </c>
    </row>
    <row r="25" spans="1:19" x14ac:dyDescent="0.2">
      <c r="A25" s="152">
        <f t="shared" si="6"/>
        <v>349443</v>
      </c>
      <c r="B25" s="153" t="str">
        <f t="shared" si="7"/>
        <v>Durst2</v>
      </c>
      <c r="C25" s="148" t="str">
        <f t="shared" si="8"/>
        <v>Running</v>
      </c>
      <c r="D25" s="149">
        <f t="shared" si="9"/>
        <v>1.8166666666511446</v>
      </c>
      <c r="E25" s="154" t="str">
        <f t="shared" si="10"/>
        <v/>
      </c>
      <c r="F25" s="155">
        <f t="shared" si="11"/>
        <v>7.5694444443797693E-2</v>
      </c>
      <c r="G25" s="156">
        <v>1263397</v>
      </c>
      <c r="H25" s="157" t="s">
        <v>536</v>
      </c>
      <c r="I25" s="157" t="s">
        <v>548</v>
      </c>
      <c r="J25" s="151">
        <v>349443</v>
      </c>
      <c r="K25" s="151" t="s">
        <v>382</v>
      </c>
      <c r="L25" s="151" t="s">
        <v>519</v>
      </c>
      <c r="M25" s="151">
        <v>51</v>
      </c>
      <c r="N25" s="151" t="s">
        <v>549</v>
      </c>
      <c r="O25" s="151" t="s">
        <v>539</v>
      </c>
      <c r="P25" s="151" t="s">
        <v>540</v>
      </c>
      <c r="Q25" s="150" t="s">
        <v>315</v>
      </c>
      <c r="R25" s="151">
        <v>243</v>
      </c>
      <c r="S25" s="158">
        <v>2</v>
      </c>
    </row>
    <row r="26" spans="1:19" x14ac:dyDescent="0.2">
      <c r="A26" s="152">
        <f t="shared" si="6"/>
        <v>338733.02</v>
      </c>
      <c r="B26" s="153" t="str">
        <f t="shared" si="7"/>
        <v>Durst2</v>
      </c>
      <c r="C26" s="148" t="str">
        <f t="shared" si="8"/>
        <v>Maintenance</v>
      </c>
      <c r="D26" s="149">
        <f t="shared" si="9"/>
        <v>0.21666666667442769</v>
      </c>
      <c r="E26" s="154" t="str">
        <f t="shared" si="10"/>
        <v/>
      </c>
      <c r="F26" s="155">
        <f t="shared" si="11"/>
        <v>9.0277777781011537E-3</v>
      </c>
      <c r="H26" s="157" t="s">
        <v>548</v>
      </c>
      <c r="I26" s="157">
        <v>44581.25</v>
      </c>
      <c r="J26" s="287">
        <v>338733.02</v>
      </c>
      <c r="K26" s="151" t="s">
        <v>559</v>
      </c>
      <c r="L26" s="151" t="s">
        <v>519</v>
      </c>
      <c r="M26" s="151">
        <v>0</v>
      </c>
      <c r="O26" s="151" t="s">
        <v>595</v>
      </c>
      <c r="P26" s="151" t="s">
        <v>596</v>
      </c>
      <c r="Q26" s="150" t="s">
        <v>597</v>
      </c>
      <c r="R26" s="151">
        <v>0</v>
      </c>
      <c r="S26" s="158">
        <v>0</v>
      </c>
    </row>
    <row r="27" spans="1:19" x14ac:dyDescent="0.2">
      <c r="A27" s="152">
        <f t="shared" ref="A27:A29" si="12">J27</f>
        <v>338733.03</v>
      </c>
      <c r="B27" s="153" t="str">
        <f t="shared" ref="B27:B29" si="13">LEFT(K27,SEARCH(" ",K27)-1)</f>
        <v>Durst3</v>
      </c>
      <c r="C27" s="148" t="str">
        <f t="shared" ref="C27:C29" si="14">IF(ISNUMBER(SEARCH("Run",K27)),"Running",RIGHT(K27,LEN(K27)-(FIND("- ",K27,1))-LEN("- ")+1))</f>
        <v>Maintenance</v>
      </c>
      <c r="D27" s="149">
        <f t="shared" ref="D27:D29" si="15">F27*24</f>
        <v>12</v>
      </c>
      <c r="E27" s="154" t="str">
        <f t="shared" ref="E27:E29" si="16">IF(H27-I26&gt;=TIME(0,1,0),SUM(H27-I26)*24,"")</f>
        <v/>
      </c>
      <c r="F27" s="155">
        <f t="shared" ref="F27:F29" si="17">I27-H27</f>
        <v>0.5</v>
      </c>
      <c r="H27" s="157">
        <v>44580.25</v>
      </c>
      <c r="I27" s="157">
        <v>44580.75</v>
      </c>
      <c r="J27" s="287">
        <v>338733.03</v>
      </c>
      <c r="K27" s="151" t="s">
        <v>568</v>
      </c>
      <c r="M27" s="151">
        <v>0</v>
      </c>
      <c r="O27" s="151" t="s">
        <v>595</v>
      </c>
      <c r="P27" s="151" t="s">
        <v>596</v>
      </c>
      <c r="Q27" s="150" t="s">
        <v>597</v>
      </c>
      <c r="R27" s="151">
        <v>0</v>
      </c>
      <c r="S27" s="158">
        <v>0</v>
      </c>
    </row>
    <row r="28" spans="1:19" x14ac:dyDescent="0.2">
      <c r="A28" s="152">
        <f t="shared" si="12"/>
        <v>338733.03</v>
      </c>
      <c r="B28" s="153" t="str">
        <f t="shared" si="13"/>
        <v>Durst3</v>
      </c>
      <c r="C28" s="148" t="str">
        <f t="shared" si="14"/>
        <v>Maintenance</v>
      </c>
      <c r="D28" s="149">
        <f t="shared" si="15"/>
        <v>12</v>
      </c>
      <c r="E28" s="154" t="str">
        <f t="shared" si="16"/>
        <v/>
      </c>
      <c r="F28" s="155">
        <f t="shared" si="17"/>
        <v>0.5</v>
      </c>
      <c r="H28" s="157">
        <v>44580.75</v>
      </c>
      <c r="I28" s="157">
        <v>44581.25</v>
      </c>
      <c r="J28" s="287">
        <v>338733.03</v>
      </c>
      <c r="K28" s="151" t="s">
        <v>568</v>
      </c>
      <c r="M28" s="151">
        <v>0</v>
      </c>
      <c r="O28" s="151" t="s">
        <v>595</v>
      </c>
      <c r="P28" s="151" t="s">
        <v>596</v>
      </c>
      <c r="Q28" s="150" t="s">
        <v>597</v>
      </c>
      <c r="R28" s="151">
        <v>0</v>
      </c>
      <c r="S28" s="158">
        <v>0</v>
      </c>
    </row>
    <row r="29" spans="1:19" x14ac:dyDescent="0.2">
      <c r="A29" s="152">
        <f t="shared" si="12"/>
        <v>349311</v>
      </c>
      <c r="B29" s="153" t="str">
        <f t="shared" si="13"/>
        <v>DurstP5</v>
      </c>
      <c r="C29" s="148" t="str">
        <f t="shared" si="14"/>
        <v>Make Ready</v>
      </c>
      <c r="D29" s="149">
        <f t="shared" si="15"/>
        <v>4.2000000000698492</v>
      </c>
      <c r="E29" s="154" t="str">
        <f t="shared" si="16"/>
        <v/>
      </c>
      <c r="F29" s="155">
        <f t="shared" si="17"/>
        <v>0.17500000000291038</v>
      </c>
      <c r="G29" s="151">
        <v>1262805</v>
      </c>
      <c r="H29" s="157">
        <v>44580.25</v>
      </c>
      <c r="I29" s="157" t="s">
        <v>391</v>
      </c>
      <c r="J29" s="151">
        <v>349311</v>
      </c>
      <c r="K29" s="151" t="s">
        <v>561</v>
      </c>
      <c r="L29" s="151" t="s">
        <v>393</v>
      </c>
      <c r="M29" s="151">
        <v>0</v>
      </c>
      <c r="N29" s="151" t="s">
        <v>384</v>
      </c>
      <c r="O29" s="151" t="s">
        <v>356</v>
      </c>
      <c r="P29" s="151" t="s">
        <v>357</v>
      </c>
      <c r="Q29" s="151" t="s">
        <v>350</v>
      </c>
      <c r="R29" s="151">
        <v>70</v>
      </c>
      <c r="S29" s="151">
        <v>0.75</v>
      </c>
    </row>
    <row r="30" spans="1:19" x14ac:dyDescent="0.2">
      <c r="A30" s="152">
        <f t="shared" si="6"/>
        <v>349311</v>
      </c>
      <c r="B30" s="153" t="str">
        <f t="shared" si="7"/>
        <v>DurstP5</v>
      </c>
      <c r="C30" s="148" t="str">
        <f t="shared" si="8"/>
        <v>Running</v>
      </c>
      <c r="D30" s="149">
        <f t="shared" si="9"/>
        <v>8.3333333430346102E-2</v>
      </c>
      <c r="E30" s="154" t="str">
        <f t="shared" si="10"/>
        <v/>
      </c>
      <c r="F30" s="155">
        <f t="shared" si="11"/>
        <v>3.4722222262644209E-3</v>
      </c>
      <c r="G30" s="156">
        <v>1262818</v>
      </c>
      <c r="H30" s="157" t="s">
        <v>449</v>
      </c>
      <c r="I30" s="157" t="s">
        <v>452</v>
      </c>
      <c r="J30" s="151">
        <v>349311</v>
      </c>
      <c r="K30" s="151" t="s">
        <v>392</v>
      </c>
      <c r="L30" s="151" t="s">
        <v>393</v>
      </c>
      <c r="M30" s="151">
        <v>1</v>
      </c>
      <c r="N30" s="151" t="s">
        <v>384</v>
      </c>
      <c r="O30" s="151" t="s">
        <v>356</v>
      </c>
      <c r="P30" s="151" t="s">
        <v>357</v>
      </c>
      <c r="Q30" s="150" t="s">
        <v>350</v>
      </c>
      <c r="R30" s="151">
        <v>70</v>
      </c>
      <c r="S30" s="151">
        <v>0.75</v>
      </c>
    </row>
    <row r="31" spans="1:19" x14ac:dyDescent="0.2">
      <c r="A31" s="152">
        <f t="shared" si="6"/>
        <v>349311</v>
      </c>
      <c r="B31" s="153" t="str">
        <f t="shared" si="7"/>
        <v>DurstP5</v>
      </c>
      <c r="C31" s="148" t="str">
        <f t="shared" si="8"/>
        <v>Running</v>
      </c>
      <c r="D31" s="149">
        <f t="shared" si="9"/>
        <v>0.39999999990686774</v>
      </c>
      <c r="E31" s="154" t="str">
        <f t="shared" si="10"/>
        <v/>
      </c>
      <c r="F31" s="155">
        <f t="shared" si="11"/>
        <v>1.6666666662786156E-2</v>
      </c>
      <c r="G31" s="156">
        <v>1262850</v>
      </c>
      <c r="H31" s="157" t="s">
        <v>452</v>
      </c>
      <c r="I31" s="157" t="s">
        <v>453</v>
      </c>
      <c r="J31" s="151">
        <v>349311</v>
      </c>
      <c r="K31" s="151" t="s">
        <v>392</v>
      </c>
      <c r="L31" s="151" t="s">
        <v>393</v>
      </c>
      <c r="M31" s="151">
        <v>70</v>
      </c>
      <c r="N31" s="151" t="s">
        <v>419</v>
      </c>
      <c r="O31" s="151" t="s">
        <v>356</v>
      </c>
      <c r="P31" s="151" t="s">
        <v>357</v>
      </c>
      <c r="Q31" s="150" t="s">
        <v>350</v>
      </c>
      <c r="R31" s="151">
        <v>70</v>
      </c>
      <c r="S31" s="151">
        <v>0.75</v>
      </c>
    </row>
    <row r="32" spans="1:19" x14ac:dyDescent="0.2">
      <c r="A32" s="152">
        <f t="shared" si="6"/>
        <v>338733.17</v>
      </c>
      <c r="B32" s="153" t="str">
        <f t="shared" si="7"/>
        <v>DurstP5</v>
      </c>
      <c r="C32" s="148" t="str">
        <f t="shared" si="8"/>
        <v>No Work</v>
      </c>
      <c r="D32" s="149">
        <f t="shared" si="9"/>
        <v>4.3000000000465661</v>
      </c>
      <c r="E32" s="154" t="str">
        <f t="shared" si="10"/>
        <v/>
      </c>
      <c r="F32" s="155">
        <f t="shared" si="11"/>
        <v>0.17916666666860692</v>
      </c>
      <c r="H32" s="157" t="s">
        <v>453</v>
      </c>
      <c r="I32" s="157">
        <v>44580.625</v>
      </c>
      <c r="J32" s="287">
        <v>338733.17</v>
      </c>
      <c r="K32" s="151" t="s">
        <v>562</v>
      </c>
      <c r="L32" s="151" t="s">
        <v>393</v>
      </c>
      <c r="M32" s="151">
        <v>0</v>
      </c>
      <c r="O32" s="151" t="s">
        <v>595</v>
      </c>
      <c r="P32" s="151" t="s">
        <v>596</v>
      </c>
      <c r="Q32" s="150" t="s">
        <v>597</v>
      </c>
      <c r="R32" s="151">
        <v>0</v>
      </c>
      <c r="S32" s="158">
        <v>0</v>
      </c>
    </row>
    <row r="33" spans="1:19" x14ac:dyDescent="0.2">
      <c r="A33" s="152">
        <f t="shared" si="6"/>
        <v>349458</v>
      </c>
      <c r="B33" s="153" t="str">
        <f t="shared" si="7"/>
        <v>DurstP5</v>
      </c>
      <c r="C33" s="148" t="str">
        <f t="shared" si="8"/>
        <v>Make Ready</v>
      </c>
      <c r="D33" s="149">
        <f t="shared" si="9"/>
        <v>0.88333333341870457</v>
      </c>
      <c r="E33" s="154" t="str">
        <f t="shared" si="10"/>
        <v/>
      </c>
      <c r="F33" s="155">
        <f t="shared" si="11"/>
        <v>3.680555555911269E-2</v>
      </c>
      <c r="G33" s="156">
        <v>1263255</v>
      </c>
      <c r="H33" s="157">
        <v>44580.625</v>
      </c>
      <c r="I33" s="157" t="s">
        <v>499</v>
      </c>
      <c r="J33" s="151">
        <v>349458</v>
      </c>
      <c r="K33" s="151" t="s">
        <v>561</v>
      </c>
      <c r="L33" s="151" t="s">
        <v>393</v>
      </c>
      <c r="M33" s="151">
        <v>0</v>
      </c>
      <c r="N33" s="151" t="s">
        <v>498</v>
      </c>
      <c r="O33" s="151" t="s">
        <v>325</v>
      </c>
      <c r="P33" s="151" t="s">
        <v>326</v>
      </c>
      <c r="Q33" s="150" t="s">
        <v>315</v>
      </c>
      <c r="R33" s="151">
        <v>1</v>
      </c>
      <c r="S33" s="158">
        <v>0.5</v>
      </c>
    </row>
    <row r="34" spans="1:19" x14ac:dyDescent="0.2">
      <c r="A34" s="152">
        <f t="shared" si="6"/>
        <v>349458</v>
      </c>
      <c r="B34" s="153" t="str">
        <f t="shared" si="7"/>
        <v>DurstP5</v>
      </c>
      <c r="C34" s="148" t="str">
        <f t="shared" si="8"/>
        <v>Running</v>
      </c>
      <c r="D34" s="149">
        <f t="shared" si="9"/>
        <v>0.56666666659293696</v>
      </c>
      <c r="E34" s="154" t="str">
        <f>IF(H34-I33&gt;=TIME(0,1,0),SUM(H34-I33)*24,"")</f>
        <v/>
      </c>
      <c r="F34" s="155">
        <f t="shared" si="11"/>
        <v>2.361111110803904E-2</v>
      </c>
      <c r="G34" s="156">
        <v>1263360</v>
      </c>
      <c r="H34" s="157" t="s">
        <v>499</v>
      </c>
      <c r="I34" s="157" t="s">
        <v>500</v>
      </c>
      <c r="J34" s="151">
        <v>349458</v>
      </c>
      <c r="K34" s="151" t="s">
        <v>392</v>
      </c>
      <c r="L34" s="151" t="s">
        <v>393</v>
      </c>
      <c r="M34" s="151">
        <v>1</v>
      </c>
      <c r="N34" s="151" t="s">
        <v>419</v>
      </c>
      <c r="O34" s="151" t="s">
        <v>325</v>
      </c>
      <c r="P34" s="151" t="s">
        <v>326</v>
      </c>
      <c r="Q34" s="150" t="s">
        <v>315</v>
      </c>
      <c r="R34" s="151">
        <v>1</v>
      </c>
      <c r="S34" s="158">
        <v>0.5</v>
      </c>
    </row>
    <row r="35" spans="1:19" x14ac:dyDescent="0.2">
      <c r="A35" s="152">
        <f t="shared" si="6"/>
        <v>338733.17</v>
      </c>
      <c r="B35" s="153" t="str">
        <f t="shared" si="7"/>
        <v>DurstP5</v>
      </c>
      <c r="C35" s="148" t="str">
        <f t="shared" si="8"/>
        <v>Maintenance</v>
      </c>
      <c r="D35" s="149">
        <f t="shared" si="9"/>
        <v>1.5499999999883585</v>
      </c>
      <c r="E35" s="154" t="str">
        <f t="shared" si="10"/>
        <v/>
      </c>
      <c r="F35" s="155">
        <f t="shared" si="11"/>
        <v>6.4583333332848269E-2</v>
      </c>
      <c r="G35" s="151"/>
      <c r="H35" s="157" t="s">
        <v>500</v>
      </c>
      <c r="I35" s="157">
        <v>44580.75</v>
      </c>
      <c r="J35" s="287">
        <v>338733.17</v>
      </c>
      <c r="K35" s="151" t="s">
        <v>563</v>
      </c>
      <c r="L35" s="151" t="s">
        <v>393</v>
      </c>
      <c r="M35" s="151">
        <v>0</v>
      </c>
      <c r="O35" s="151" t="s">
        <v>595</v>
      </c>
      <c r="P35" s="151" t="s">
        <v>596</v>
      </c>
      <c r="Q35" s="150" t="s">
        <v>597</v>
      </c>
      <c r="R35" s="151">
        <v>0</v>
      </c>
      <c r="S35" s="158">
        <v>0</v>
      </c>
    </row>
    <row r="36" spans="1:19" x14ac:dyDescent="0.2">
      <c r="A36" s="152">
        <f t="shared" si="6"/>
        <v>338733.17</v>
      </c>
      <c r="B36" s="153" t="str">
        <f t="shared" si="7"/>
        <v>DurstP5</v>
      </c>
      <c r="C36" s="148" t="str">
        <f t="shared" si="8"/>
        <v>Not Planned</v>
      </c>
      <c r="D36" s="149">
        <f t="shared" si="9"/>
        <v>12</v>
      </c>
      <c r="E36" s="154" t="str">
        <f t="shared" si="10"/>
        <v/>
      </c>
      <c r="F36" s="155">
        <f t="shared" si="11"/>
        <v>0.5</v>
      </c>
      <c r="H36" s="157">
        <v>44580.75</v>
      </c>
      <c r="I36" s="157">
        <v>44581.25</v>
      </c>
      <c r="J36" s="287">
        <v>338733.17</v>
      </c>
      <c r="K36" s="151" t="s">
        <v>564</v>
      </c>
      <c r="L36" s="151" t="s">
        <v>393</v>
      </c>
      <c r="M36" s="151">
        <v>0</v>
      </c>
      <c r="O36" s="151" t="s">
        <v>595</v>
      </c>
      <c r="P36" s="151" t="s">
        <v>596</v>
      </c>
      <c r="Q36" s="150" t="s">
        <v>597</v>
      </c>
      <c r="R36" s="151">
        <v>0</v>
      </c>
      <c r="S36" s="158">
        <v>0</v>
      </c>
    </row>
    <row r="37" spans="1:19" x14ac:dyDescent="0.2">
      <c r="A37" s="152">
        <f t="shared" ref="A37:A60" si="18">J37</f>
        <v>338733.07</v>
      </c>
      <c r="B37" s="153" t="str">
        <f t="shared" ref="B37:B60" si="19">LEFT(K37,SEARCH(" ",K37)-1)</f>
        <v>GS2000</v>
      </c>
      <c r="C37" s="148" t="str">
        <f t="shared" ref="C37:C60" si="20">IF(ISNUMBER(SEARCH("Run",K37)),"Running",RIGHT(K37,LEN(K37)-(FIND("- ",K37,1))-LEN("- ")+1))</f>
        <v>Not Planned</v>
      </c>
      <c r="D37" s="149">
        <f t="shared" ref="D37:D60" si="21">F37*24</f>
        <v>2.0000000000582077</v>
      </c>
      <c r="E37" s="154" t="str">
        <f t="shared" ref="E37:E60" si="22">IF(H37-I36&gt;=TIME(0,1,0),SUM(H37-I36)*24,"")</f>
        <v/>
      </c>
      <c r="F37" s="155">
        <f t="shared" ref="F37:F60" si="23">I37-H37</f>
        <v>8.3333333335758653E-2</v>
      </c>
      <c r="H37" s="157">
        <v>44580.25</v>
      </c>
      <c r="I37" s="157" t="s">
        <v>411</v>
      </c>
      <c r="J37" s="287">
        <v>338733.07</v>
      </c>
      <c r="K37" s="151" t="s">
        <v>565</v>
      </c>
      <c r="L37" s="151" t="s">
        <v>413</v>
      </c>
      <c r="M37" s="151">
        <v>0</v>
      </c>
      <c r="O37" s="151" t="s">
        <v>595</v>
      </c>
      <c r="P37" s="151" t="s">
        <v>596</v>
      </c>
      <c r="Q37" s="150" t="s">
        <v>597</v>
      </c>
      <c r="R37" s="151">
        <v>0</v>
      </c>
      <c r="S37" s="158">
        <v>0</v>
      </c>
    </row>
    <row r="38" spans="1:19" x14ac:dyDescent="0.2">
      <c r="A38" s="152">
        <f t="shared" si="18"/>
        <v>349429</v>
      </c>
      <c r="B38" s="153" t="str">
        <f t="shared" si="19"/>
        <v>GS2000</v>
      </c>
      <c r="C38" s="148" t="str">
        <f t="shared" si="20"/>
        <v>Running</v>
      </c>
      <c r="D38" s="149">
        <f t="shared" si="21"/>
        <v>2.0999999998603016</v>
      </c>
      <c r="E38" s="154" t="str">
        <f t="shared" si="22"/>
        <v/>
      </c>
      <c r="F38" s="155">
        <f t="shared" si="23"/>
        <v>8.7499999994179234E-2</v>
      </c>
      <c r="G38" s="156">
        <v>1262804</v>
      </c>
      <c r="H38" s="157" t="s">
        <v>411</v>
      </c>
      <c r="I38" s="157" t="s">
        <v>447</v>
      </c>
      <c r="J38" s="151">
        <v>349429</v>
      </c>
      <c r="K38" s="151" t="s">
        <v>412</v>
      </c>
      <c r="L38" s="151" t="s">
        <v>413</v>
      </c>
      <c r="M38" s="151">
        <v>14</v>
      </c>
      <c r="N38" s="151" t="s">
        <v>414</v>
      </c>
      <c r="O38" s="151" t="s">
        <v>415</v>
      </c>
      <c r="P38" s="151" t="s">
        <v>416</v>
      </c>
      <c r="Q38" s="150" t="s">
        <v>369</v>
      </c>
      <c r="R38" s="151">
        <v>10</v>
      </c>
      <c r="S38" s="158">
        <v>0.5</v>
      </c>
    </row>
    <row r="39" spans="1:19" x14ac:dyDescent="0.2">
      <c r="A39" s="152">
        <f t="shared" si="18"/>
        <v>349428</v>
      </c>
      <c r="B39" s="153" t="str">
        <f t="shared" si="19"/>
        <v>GS2000</v>
      </c>
      <c r="C39" s="148" t="str">
        <f t="shared" si="20"/>
        <v>Running</v>
      </c>
      <c r="D39" s="149">
        <f t="shared" si="21"/>
        <v>0.21666666667442769</v>
      </c>
      <c r="E39" s="154" t="str">
        <f t="shared" si="22"/>
        <v/>
      </c>
      <c r="F39" s="155">
        <f t="shared" si="23"/>
        <v>9.0277777781011537E-3</v>
      </c>
      <c r="G39" s="156">
        <v>1262821</v>
      </c>
      <c r="H39" s="157" t="s">
        <v>447</v>
      </c>
      <c r="I39" s="157" t="s">
        <v>448</v>
      </c>
      <c r="J39" s="151">
        <v>349428</v>
      </c>
      <c r="K39" s="151" t="s">
        <v>412</v>
      </c>
      <c r="L39" s="151" t="s">
        <v>413</v>
      </c>
      <c r="M39" s="151">
        <v>1</v>
      </c>
      <c r="N39" s="151" t="s">
        <v>414</v>
      </c>
      <c r="O39" s="151" t="s">
        <v>309</v>
      </c>
      <c r="P39" s="151" t="s">
        <v>310</v>
      </c>
      <c r="Q39" s="150" t="s">
        <v>315</v>
      </c>
      <c r="R39" s="151">
        <v>1</v>
      </c>
      <c r="S39" s="158">
        <v>0.28000000000000003</v>
      </c>
    </row>
    <row r="40" spans="1:19" x14ac:dyDescent="0.2">
      <c r="A40" s="152">
        <f t="shared" si="18"/>
        <v>338733.07</v>
      </c>
      <c r="B40" s="153" t="str">
        <f t="shared" si="19"/>
        <v>GS2000</v>
      </c>
      <c r="C40" s="148" t="str">
        <f t="shared" si="20"/>
        <v>Planned But No Operator</v>
      </c>
      <c r="D40" s="149">
        <f t="shared" si="21"/>
        <v>0.6833333334652707</v>
      </c>
      <c r="E40" s="154" t="str">
        <f t="shared" si="22"/>
        <v/>
      </c>
      <c r="F40" s="155">
        <f t="shared" si="23"/>
        <v>2.8472222227719612E-2</v>
      </c>
      <c r="H40" s="157" t="s">
        <v>448</v>
      </c>
      <c r="I40" s="157" t="s">
        <v>456</v>
      </c>
      <c r="J40" s="287">
        <v>338733.07</v>
      </c>
      <c r="K40" s="151" t="s">
        <v>566</v>
      </c>
      <c r="L40" s="151" t="s">
        <v>413</v>
      </c>
      <c r="M40" s="151">
        <v>0</v>
      </c>
      <c r="O40" s="151" t="s">
        <v>595</v>
      </c>
      <c r="P40" s="151" t="s">
        <v>596</v>
      </c>
      <c r="Q40" s="150" t="s">
        <v>597</v>
      </c>
      <c r="R40" s="151">
        <v>0</v>
      </c>
      <c r="S40" s="158">
        <v>0</v>
      </c>
    </row>
    <row r="41" spans="1:19" x14ac:dyDescent="0.2">
      <c r="A41" s="152">
        <f t="shared" si="18"/>
        <v>349435</v>
      </c>
      <c r="B41" s="153" t="str">
        <f t="shared" si="19"/>
        <v>GS2000</v>
      </c>
      <c r="C41" s="148" t="str">
        <f t="shared" si="20"/>
        <v>Running</v>
      </c>
      <c r="D41" s="149">
        <f t="shared" si="21"/>
        <v>0.75</v>
      </c>
      <c r="E41" s="154" t="str">
        <f t="shared" si="22"/>
        <v/>
      </c>
      <c r="F41" s="155">
        <f t="shared" si="23"/>
        <v>3.125E-2</v>
      </c>
      <c r="G41" s="156">
        <v>1262901</v>
      </c>
      <c r="H41" s="157" t="s">
        <v>456</v>
      </c>
      <c r="I41" s="157" t="s">
        <v>457</v>
      </c>
      <c r="J41" s="151">
        <v>349435</v>
      </c>
      <c r="K41" s="151" t="s">
        <v>412</v>
      </c>
      <c r="L41" s="151" t="s">
        <v>413</v>
      </c>
      <c r="M41" s="151">
        <v>4</v>
      </c>
      <c r="N41" s="151" t="s">
        <v>414</v>
      </c>
      <c r="O41" s="151" t="s">
        <v>309</v>
      </c>
      <c r="P41" s="151" t="s">
        <v>310</v>
      </c>
      <c r="Q41" s="150" t="s">
        <v>315</v>
      </c>
      <c r="R41" s="151">
        <v>4</v>
      </c>
      <c r="S41" s="158">
        <v>0.5</v>
      </c>
    </row>
    <row r="42" spans="1:19" x14ac:dyDescent="0.2">
      <c r="A42" s="152">
        <f t="shared" si="18"/>
        <v>349445.01</v>
      </c>
      <c r="B42" s="153" t="str">
        <f t="shared" si="19"/>
        <v>GS2000</v>
      </c>
      <c r="C42" s="148" t="str">
        <f t="shared" si="20"/>
        <v>Running</v>
      </c>
      <c r="D42" s="149">
        <f t="shared" si="21"/>
        <v>0.18333333323244005</v>
      </c>
      <c r="E42" s="154" t="str">
        <f t="shared" si="22"/>
        <v/>
      </c>
      <c r="F42" s="155">
        <f t="shared" si="23"/>
        <v>7.6388888846850023E-3</v>
      </c>
      <c r="G42" s="156">
        <v>1262910</v>
      </c>
      <c r="H42" s="157" t="s">
        <v>457</v>
      </c>
      <c r="I42" s="157" t="s">
        <v>460</v>
      </c>
      <c r="J42" s="151">
        <v>349445.01</v>
      </c>
      <c r="K42" s="151" t="s">
        <v>412</v>
      </c>
      <c r="L42" s="151" t="s">
        <v>413</v>
      </c>
      <c r="M42" s="151">
        <v>1</v>
      </c>
      <c r="N42" s="151" t="s">
        <v>461</v>
      </c>
      <c r="O42" s="151" t="s">
        <v>462</v>
      </c>
      <c r="P42" s="151" t="s">
        <v>463</v>
      </c>
      <c r="Q42" s="150" t="s">
        <v>315</v>
      </c>
      <c r="R42" s="151">
        <v>1</v>
      </c>
      <c r="S42" s="158">
        <v>0.28000000000000003</v>
      </c>
    </row>
    <row r="43" spans="1:19" x14ac:dyDescent="0.2">
      <c r="A43" s="152">
        <f t="shared" si="18"/>
        <v>338733.07</v>
      </c>
      <c r="B43" s="153" t="str">
        <f t="shared" si="19"/>
        <v>GS2000</v>
      </c>
      <c r="C43" s="148" t="str">
        <f t="shared" si="20"/>
        <v>Break</v>
      </c>
      <c r="D43" s="149">
        <f t="shared" si="21"/>
        <v>0.66666666674427688</v>
      </c>
      <c r="E43" s="154" t="str">
        <f t="shared" si="22"/>
        <v/>
      </c>
      <c r="F43" s="155">
        <f t="shared" si="23"/>
        <v>2.7777777781011537E-2</v>
      </c>
      <c r="H43" s="157" t="s">
        <v>460</v>
      </c>
      <c r="I43" s="157" t="s">
        <v>467</v>
      </c>
      <c r="J43" s="287">
        <v>338733.07</v>
      </c>
      <c r="K43" s="151" t="s">
        <v>567</v>
      </c>
      <c r="L43" s="151" t="s">
        <v>413</v>
      </c>
      <c r="M43" s="151">
        <v>0</v>
      </c>
      <c r="O43" s="151" t="s">
        <v>595</v>
      </c>
      <c r="P43" s="151" t="s">
        <v>596</v>
      </c>
      <c r="Q43" s="150" t="s">
        <v>597</v>
      </c>
      <c r="R43" s="151">
        <v>0</v>
      </c>
      <c r="S43" s="158">
        <v>0</v>
      </c>
    </row>
    <row r="44" spans="1:19" x14ac:dyDescent="0.2">
      <c r="A44" s="152">
        <f t="shared" si="18"/>
        <v>349445.02</v>
      </c>
      <c r="B44" s="153" t="str">
        <f t="shared" si="19"/>
        <v>GS2000</v>
      </c>
      <c r="C44" s="148" t="str">
        <f t="shared" si="20"/>
        <v>Running</v>
      </c>
      <c r="D44" s="149">
        <f t="shared" si="21"/>
        <v>0.19999999995343387</v>
      </c>
      <c r="E44" s="154" t="str">
        <f t="shared" si="22"/>
        <v/>
      </c>
      <c r="F44" s="155">
        <f t="shared" si="23"/>
        <v>8.333333331393078E-3</v>
      </c>
      <c r="G44" s="156">
        <v>1263001</v>
      </c>
      <c r="H44" s="157" t="s">
        <v>467</v>
      </c>
      <c r="I44" s="157" t="s">
        <v>468</v>
      </c>
      <c r="J44" s="151">
        <v>349445.02</v>
      </c>
      <c r="K44" s="151" t="s">
        <v>412</v>
      </c>
      <c r="L44" s="151" t="s">
        <v>413</v>
      </c>
      <c r="M44" s="151">
        <v>1</v>
      </c>
      <c r="N44" s="151" t="s">
        <v>414</v>
      </c>
      <c r="O44" s="151" t="s">
        <v>462</v>
      </c>
      <c r="P44" s="151" t="s">
        <v>463</v>
      </c>
      <c r="Q44" s="150" t="s">
        <v>315</v>
      </c>
      <c r="R44" s="151">
        <v>1</v>
      </c>
      <c r="S44" s="158">
        <v>0.32</v>
      </c>
    </row>
    <row r="45" spans="1:19" x14ac:dyDescent="0.2">
      <c r="A45" s="152">
        <f t="shared" si="18"/>
        <v>349401.05</v>
      </c>
      <c r="B45" s="153" t="str">
        <f t="shared" si="19"/>
        <v>GS2000</v>
      </c>
      <c r="C45" s="148" t="str">
        <f t="shared" si="20"/>
        <v>Running</v>
      </c>
      <c r="D45" s="149">
        <f t="shared" si="21"/>
        <v>1.3333333333139308</v>
      </c>
      <c r="E45" s="154" t="str">
        <f t="shared" si="22"/>
        <v/>
      </c>
      <c r="F45" s="155">
        <f t="shared" si="23"/>
        <v>5.5555555554747116E-2</v>
      </c>
      <c r="G45" s="156">
        <v>1263073</v>
      </c>
      <c r="H45" s="157" t="s">
        <v>468</v>
      </c>
      <c r="I45" s="157" t="s">
        <v>469</v>
      </c>
      <c r="J45" s="151">
        <v>349401.05</v>
      </c>
      <c r="K45" s="151" t="s">
        <v>412</v>
      </c>
      <c r="L45" s="151" t="s">
        <v>413</v>
      </c>
      <c r="M45" s="151">
        <v>5</v>
      </c>
      <c r="N45" s="151" t="s">
        <v>414</v>
      </c>
      <c r="O45" s="151" t="s">
        <v>428</v>
      </c>
      <c r="P45" s="151" t="s">
        <v>429</v>
      </c>
      <c r="Q45" s="150" t="s">
        <v>315</v>
      </c>
      <c r="R45" s="151">
        <v>5</v>
      </c>
      <c r="S45" s="158">
        <v>0.37</v>
      </c>
    </row>
    <row r="46" spans="1:19" x14ac:dyDescent="0.2">
      <c r="A46" s="152">
        <f t="shared" si="18"/>
        <v>338733.07</v>
      </c>
      <c r="B46" s="153" t="str">
        <f t="shared" si="19"/>
        <v>GS2000</v>
      </c>
      <c r="C46" s="148" t="str">
        <f t="shared" si="20"/>
        <v>Planned But No Operator</v>
      </c>
      <c r="D46" s="149">
        <f t="shared" si="21"/>
        <v>0.2333333333954215</v>
      </c>
      <c r="E46" s="154" t="str">
        <f t="shared" si="22"/>
        <v/>
      </c>
      <c r="F46" s="155">
        <f t="shared" si="23"/>
        <v>9.7222222248092294E-3</v>
      </c>
      <c r="H46" s="157" t="s">
        <v>469</v>
      </c>
      <c r="I46" s="157" t="s">
        <v>480</v>
      </c>
      <c r="J46" s="287">
        <v>338733.07</v>
      </c>
      <c r="K46" s="151" t="s">
        <v>566</v>
      </c>
      <c r="L46" s="151" t="s">
        <v>413</v>
      </c>
      <c r="M46" s="151">
        <v>0</v>
      </c>
      <c r="O46" s="151" t="s">
        <v>595</v>
      </c>
      <c r="P46" s="151" t="s">
        <v>596</v>
      </c>
      <c r="Q46" s="150" t="s">
        <v>597</v>
      </c>
      <c r="R46" s="151">
        <v>0</v>
      </c>
      <c r="S46" s="158">
        <v>0</v>
      </c>
    </row>
    <row r="47" spans="1:19" x14ac:dyDescent="0.2">
      <c r="A47" s="152">
        <f t="shared" si="18"/>
        <v>349401.06</v>
      </c>
      <c r="B47" s="153" t="str">
        <f t="shared" si="19"/>
        <v>GS2000</v>
      </c>
      <c r="C47" s="148" t="str">
        <f t="shared" si="20"/>
        <v>Running</v>
      </c>
      <c r="D47" s="149">
        <f t="shared" si="21"/>
        <v>1.6333333332440816</v>
      </c>
      <c r="E47" s="154" t="str">
        <f t="shared" si="22"/>
        <v/>
      </c>
      <c r="F47" s="155">
        <f t="shared" si="23"/>
        <v>6.8055555551836733E-2</v>
      </c>
      <c r="G47" s="156">
        <v>1263337</v>
      </c>
      <c r="H47" s="157" t="s">
        <v>480</v>
      </c>
      <c r="I47" s="157">
        <v>44580.666666666664</v>
      </c>
      <c r="J47" s="151">
        <v>349401.06</v>
      </c>
      <c r="K47" s="151" t="s">
        <v>412</v>
      </c>
      <c r="L47" s="151" t="s">
        <v>413</v>
      </c>
      <c r="M47" s="151">
        <v>10</v>
      </c>
      <c r="N47" s="151" t="s">
        <v>414</v>
      </c>
      <c r="O47" s="151" t="s">
        <v>428</v>
      </c>
      <c r="P47" s="151" t="s">
        <v>429</v>
      </c>
      <c r="Q47" s="150" t="s">
        <v>315</v>
      </c>
      <c r="R47" s="151">
        <v>10</v>
      </c>
      <c r="S47" s="158">
        <v>0.52</v>
      </c>
    </row>
    <row r="48" spans="1:19" x14ac:dyDescent="0.2">
      <c r="A48" s="152">
        <f t="shared" si="18"/>
        <v>338733.07</v>
      </c>
      <c r="B48" s="153" t="str">
        <f t="shared" si="19"/>
        <v>GS2000</v>
      </c>
      <c r="C48" s="148" t="str">
        <f t="shared" si="20"/>
        <v>Not Planned</v>
      </c>
      <c r="D48" s="149">
        <f t="shared" si="21"/>
        <v>14.000000000058208</v>
      </c>
      <c r="E48" s="154" t="str">
        <f t="shared" si="22"/>
        <v/>
      </c>
      <c r="F48" s="155">
        <f t="shared" si="23"/>
        <v>0.58333333333575865</v>
      </c>
      <c r="H48" s="157">
        <v>44580.666666666664</v>
      </c>
      <c r="I48" s="157">
        <v>44581.25</v>
      </c>
      <c r="J48" s="287">
        <v>338733.07</v>
      </c>
      <c r="K48" s="151" t="s">
        <v>565</v>
      </c>
      <c r="L48" s="151" t="s">
        <v>413</v>
      </c>
      <c r="M48" s="151">
        <v>0</v>
      </c>
      <c r="O48" s="151" t="s">
        <v>595</v>
      </c>
      <c r="P48" s="151" t="s">
        <v>596</v>
      </c>
      <c r="Q48" s="150" t="s">
        <v>597</v>
      </c>
      <c r="R48" s="151">
        <v>0</v>
      </c>
      <c r="S48" s="158">
        <v>0</v>
      </c>
    </row>
    <row r="49" spans="1:19" x14ac:dyDescent="0.2">
      <c r="A49" s="152">
        <f t="shared" si="18"/>
        <v>338733.06</v>
      </c>
      <c r="B49" s="153" t="str">
        <f t="shared" si="19"/>
        <v>HS125</v>
      </c>
      <c r="C49" s="148" t="str">
        <f t="shared" si="20"/>
        <v>Planned But No Operator</v>
      </c>
      <c r="D49" s="149">
        <f t="shared" si="21"/>
        <v>3.5833333333139308</v>
      </c>
      <c r="E49" s="154" t="str">
        <f t="shared" si="22"/>
        <v/>
      </c>
      <c r="F49" s="155">
        <f t="shared" si="23"/>
        <v>0.14930555555474712</v>
      </c>
      <c r="H49" s="157">
        <v>44580.25</v>
      </c>
      <c r="I49" s="157" t="s">
        <v>437</v>
      </c>
      <c r="J49" s="287">
        <v>338733.06</v>
      </c>
      <c r="K49" s="151" t="s">
        <v>569</v>
      </c>
      <c r="L49" s="151" t="s">
        <v>440</v>
      </c>
      <c r="M49" s="151">
        <v>0</v>
      </c>
      <c r="O49" s="151" t="s">
        <v>595</v>
      </c>
      <c r="P49" s="151" t="s">
        <v>596</v>
      </c>
      <c r="Q49" s="150" t="s">
        <v>597</v>
      </c>
      <c r="R49" s="151">
        <v>0</v>
      </c>
      <c r="S49" s="158">
        <v>0</v>
      </c>
    </row>
    <row r="50" spans="1:19" x14ac:dyDescent="0.2">
      <c r="A50" s="152">
        <f t="shared" si="18"/>
        <v>349430</v>
      </c>
      <c r="B50" s="153" t="str">
        <f t="shared" si="19"/>
        <v>HS125</v>
      </c>
      <c r="C50" s="148" t="str">
        <f t="shared" si="20"/>
        <v>Make Ready</v>
      </c>
      <c r="D50" s="149">
        <f t="shared" si="21"/>
        <v>0.33333333337213844</v>
      </c>
      <c r="E50" s="154" t="str">
        <f t="shared" si="22"/>
        <v/>
      </c>
      <c r="F50" s="155">
        <f t="shared" si="23"/>
        <v>1.3888888890505768E-2</v>
      </c>
      <c r="G50" s="156">
        <v>1262802</v>
      </c>
      <c r="H50" s="157" t="s">
        <v>437</v>
      </c>
      <c r="I50" s="157" t="s">
        <v>438</v>
      </c>
      <c r="J50" s="151">
        <v>349430</v>
      </c>
      <c r="K50" s="151" t="s">
        <v>439</v>
      </c>
      <c r="L50" s="151" t="s">
        <v>440</v>
      </c>
      <c r="M50" s="151">
        <v>0</v>
      </c>
      <c r="N50" s="151" t="s">
        <v>441</v>
      </c>
      <c r="O50" s="151" t="s">
        <v>442</v>
      </c>
      <c r="P50" s="151" t="s">
        <v>310</v>
      </c>
      <c r="Q50" s="150" t="s">
        <v>443</v>
      </c>
      <c r="R50" s="151">
        <v>3000</v>
      </c>
      <c r="S50" s="158">
        <v>5.48</v>
      </c>
    </row>
    <row r="51" spans="1:19" x14ac:dyDescent="0.2">
      <c r="A51" s="152">
        <f t="shared" si="18"/>
        <v>349430</v>
      </c>
      <c r="B51" s="153" t="str">
        <f t="shared" si="19"/>
        <v>HS125</v>
      </c>
      <c r="C51" s="148" t="str">
        <f t="shared" si="20"/>
        <v>Running</v>
      </c>
      <c r="D51" s="149">
        <f t="shared" si="21"/>
        <v>0.70000000001164153</v>
      </c>
      <c r="E51" s="154" t="str">
        <f t="shared" si="22"/>
        <v/>
      </c>
      <c r="F51" s="155">
        <f t="shared" si="23"/>
        <v>2.9166666667151731E-2</v>
      </c>
      <c r="G51" s="156">
        <v>1262830</v>
      </c>
      <c r="H51" s="157" t="s">
        <v>438</v>
      </c>
      <c r="I51" s="157" t="s">
        <v>444</v>
      </c>
      <c r="J51" s="151">
        <v>349430</v>
      </c>
      <c r="K51" s="151" t="s">
        <v>445</v>
      </c>
      <c r="L51" s="151" t="s">
        <v>440</v>
      </c>
      <c r="M51" s="151">
        <v>600</v>
      </c>
      <c r="N51" s="151" t="s">
        <v>446</v>
      </c>
      <c r="O51" s="151" t="s">
        <v>442</v>
      </c>
      <c r="P51" s="151" t="s">
        <v>310</v>
      </c>
      <c r="Q51" s="150" t="s">
        <v>443</v>
      </c>
      <c r="R51" s="151">
        <v>3000</v>
      </c>
      <c r="S51" s="158">
        <v>5.48</v>
      </c>
    </row>
    <row r="52" spans="1:19" x14ac:dyDescent="0.2">
      <c r="A52" s="152">
        <f t="shared" si="18"/>
        <v>338733.06</v>
      </c>
      <c r="B52" s="153" t="str">
        <f t="shared" si="19"/>
        <v>HS125</v>
      </c>
      <c r="C52" s="148" t="str">
        <f t="shared" si="20"/>
        <v>Break</v>
      </c>
      <c r="D52" s="149">
        <f t="shared" si="21"/>
        <v>0.53333333332557231</v>
      </c>
      <c r="E52" s="154" t="str">
        <f t="shared" si="22"/>
        <v/>
      </c>
      <c r="F52" s="155">
        <f t="shared" si="23"/>
        <v>2.2222222221898846E-2</v>
      </c>
      <c r="H52" s="157" t="s">
        <v>444</v>
      </c>
      <c r="I52" s="157" t="s">
        <v>458</v>
      </c>
      <c r="J52" s="287">
        <v>338733.06</v>
      </c>
      <c r="K52" s="151" t="s">
        <v>570</v>
      </c>
      <c r="L52" s="151" t="s">
        <v>440</v>
      </c>
      <c r="M52" s="151">
        <v>0</v>
      </c>
      <c r="O52" s="151" t="s">
        <v>595</v>
      </c>
      <c r="P52" s="151" t="s">
        <v>596</v>
      </c>
      <c r="Q52" s="150" t="s">
        <v>597</v>
      </c>
      <c r="R52" s="151">
        <v>0</v>
      </c>
      <c r="S52" s="158">
        <v>0</v>
      </c>
    </row>
    <row r="53" spans="1:19" x14ac:dyDescent="0.2">
      <c r="A53" s="152">
        <f t="shared" si="18"/>
        <v>349430</v>
      </c>
      <c r="B53" s="153" t="str">
        <f t="shared" si="19"/>
        <v>HS125</v>
      </c>
      <c r="C53" s="148" t="str">
        <f t="shared" si="20"/>
        <v>Running</v>
      </c>
      <c r="D53" s="149">
        <f t="shared" si="21"/>
        <v>0.39999999990686774</v>
      </c>
      <c r="E53" s="154" t="str">
        <f t="shared" si="22"/>
        <v/>
      </c>
      <c r="F53" s="155">
        <f t="shared" si="23"/>
        <v>1.6666666662786156E-2</v>
      </c>
      <c r="G53" s="156">
        <v>1262890</v>
      </c>
      <c r="H53" s="157" t="s">
        <v>458</v>
      </c>
      <c r="I53" s="157" t="s">
        <v>459</v>
      </c>
      <c r="J53" s="151">
        <v>349430</v>
      </c>
      <c r="K53" s="151" t="s">
        <v>445</v>
      </c>
      <c r="L53" s="151" t="s">
        <v>440</v>
      </c>
      <c r="M53" s="151">
        <v>30</v>
      </c>
      <c r="O53" s="151" t="s">
        <v>442</v>
      </c>
      <c r="P53" s="151" t="s">
        <v>310</v>
      </c>
      <c r="Q53" s="150" t="s">
        <v>443</v>
      </c>
      <c r="R53" s="151">
        <v>3000</v>
      </c>
      <c r="S53" s="158">
        <v>5.48</v>
      </c>
    </row>
    <row r="54" spans="1:19" x14ac:dyDescent="0.2">
      <c r="A54" s="152">
        <f t="shared" si="18"/>
        <v>348970</v>
      </c>
      <c r="B54" s="153" t="str">
        <f t="shared" si="19"/>
        <v>HS125</v>
      </c>
      <c r="C54" s="148" t="str">
        <f t="shared" si="20"/>
        <v>Running</v>
      </c>
      <c r="D54" s="149">
        <f t="shared" si="21"/>
        <v>0.6833333334652707</v>
      </c>
      <c r="E54" s="154" t="str">
        <f t="shared" si="22"/>
        <v/>
      </c>
      <c r="F54" s="155">
        <f t="shared" si="23"/>
        <v>2.8472222227719612E-2</v>
      </c>
      <c r="H54" s="157" t="s">
        <v>459</v>
      </c>
      <c r="I54" s="157" t="s">
        <v>464</v>
      </c>
      <c r="J54" s="151">
        <v>348970</v>
      </c>
      <c r="K54" s="151" t="s">
        <v>445</v>
      </c>
      <c r="L54" s="151" t="s">
        <v>440</v>
      </c>
      <c r="M54" s="151">
        <f>SUM(R54/S54)*D54</f>
        <v>127.15086036868783</v>
      </c>
      <c r="N54" s="151" t="s">
        <v>571</v>
      </c>
      <c r="O54" s="151" t="s">
        <v>598</v>
      </c>
      <c r="P54" s="151" t="s">
        <v>334</v>
      </c>
      <c r="Q54" s="150" t="s">
        <v>369</v>
      </c>
      <c r="R54" s="151">
        <v>1550</v>
      </c>
      <c r="S54" s="158">
        <v>8.33</v>
      </c>
    </row>
    <row r="55" spans="1:19" x14ac:dyDescent="0.2">
      <c r="A55" s="152">
        <f t="shared" si="18"/>
        <v>349430</v>
      </c>
      <c r="B55" s="153" t="str">
        <f t="shared" si="19"/>
        <v>HS125</v>
      </c>
      <c r="C55" s="148" t="str">
        <f t="shared" si="20"/>
        <v>Running</v>
      </c>
      <c r="D55" s="149">
        <f t="shared" si="21"/>
        <v>1.21666666661622</v>
      </c>
      <c r="E55" s="154" t="str">
        <f t="shared" si="22"/>
        <v/>
      </c>
      <c r="F55" s="155">
        <f t="shared" si="23"/>
        <v>5.0694444442342501E-2</v>
      </c>
      <c r="G55" s="156">
        <v>1263047</v>
      </c>
      <c r="H55" s="157" t="s">
        <v>464</v>
      </c>
      <c r="I55" s="157" t="s">
        <v>465</v>
      </c>
      <c r="J55" s="151">
        <v>349430</v>
      </c>
      <c r="K55" s="151" t="s">
        <v>445</v>
      </c>
      <c r="L55" s="151" t="s">
        <v>440</v>
      </c>
      <c r="M55" s="151">
        <v>500</v>
      </c>
      <c r="O55" s="151" t="s">
        <v>442</v>
      </c>
      <c r="P55" s="151" t="s">
        <v>310</v>
      </c>
      <c r="Q55" s="150" t="s">
        <v>443</v>
      </c>
      <c r="R55" s="151">
        <v>3000</v>
      </c>
      <c r="S55" s="158">
        <v>5.48</v>
      </c>
    </row>
    <row r="56" spans="1:19" x14ac:dyDescent="0.2">
      <c r="A56" s="152">
        <f t="shared" si="18"/>
        <v>348970</v>
      </c>
      <c r="B56" s="153" t="str">
        <f t="shared" si="19"/>
        <v>HS125</v>
      </c>
      <c r="C56" s="148" t="str">
        <f t="shared" si="20"/>
        <v>Running</v>
      </c>
      <c r="D56" s="149">
        <f t="shared" si="21"/>
        <v>0.38333333336049691</v>
      </c>
      <c r="E56" s="154" t="str">
        <f t="shared" si="22"/>
        <v/>
      </c>
      <c r="F56" s="155">
        <f t="shared" si="23"/>
        <v>1.5972222223354038E-2</v>
      </c>
      <c r="H56" s="157" t="s">
        <v>465</v>
      </c>
      <c r="I56" s="157" t="s">
        <v>475</v>
      </c>
      <c r="J56" s="151">
        <v>348970</v>
      </c>
      <c r="K56" s="151" t="s">
        <v>445</v>
      </c>
      <c r="L56" s="151" t="s">
        <v>440</v>
      </c>
      <c r="M56" s="151">
        <f>SUM(R56/S56)*D56</f>
        <v>71.328531417619473</v>
      </c>
      <c r="N56" s="151" t="s">
        <v>571</v>
      </c>
      <c r="O56" s="151" t="s">
        <v>598</v>
      </c>
      <c r="P56" s="151" t="s">
        <v>334</v>
      </c>
      <c r="Q56" s="150" t="s">
        <v>369</v>
      </c>
      <c r="R56" s="151">
        <v>1550</v>
      </c>
      <c r="S56" s="158">
        <v>8.33</v>
      </c>
    </row>
    <row r="57" spans="1:19" x14ac:dyDescent="0.2">
      <c r="A57" s="152">
        <f t="shared" si="18"/>
        <v>349430</v>
      </c>
      <c r="B57" s="153" t="str">
        <f t="shared" si="19"/>
        <v>HS125</v>
      </c>
      <c r="C57" s="148" t="str">
        <f t="shared" si="20"/>
        <v>Running</v>
      </c>
      <c r="D57" s="149">
        <f t="shared" si="21"/>
        <v>0.76666666654637083</v>
      </c>
      <c r="E57" s="154" t="str">
        <f t="shared" si="22"/>
        <v/>
      </c>
      <c r="F57" s="155">
        <f t="shared" si="23"/>
        <v>3.1944444439432118E-2</v>
      </c>
      <c r="G57" s="156">
        <v>1263113</v>
      </c>
      <c r="H57" s="157" t="s">
        <v>475</v>
      </c>
      <c r="I57" s="157" t="s">
        <v>476</v>
      </c>
      <c r="J57" s="151">
        <v>349430</v>
      </c>
      <c r="K57" s="151" t="s">
        <v>445</v>
      </c>
      <c r="L57" s="151" t="s">
        <v>440</v>
      </c>
      <c r="M57" s="151">
        <v>100</v>
      </c>
      <c r="N57" s="151" t="s">
        <v>446</v>
      </c>
      <c r="O57" s="151" t="s">
        <v>442</v>
      </c>
      <c r="P57" s="151" t="s">
        <v>310</v>
      </c>
      <c r="Q57" s="150" t="s">
        <v>443</v>
      </c>
      <c r="R57" s="151">
        <v>3000</v>
      </c>
      <c r="S57" s="158">
        <v>5.48</v>
      </c>
    </row>
    <row r="58" spans="1:19" x14ac:dyDescent="0.2">
      <c r="A58" s="152">
        <f t="shared" si="18"/>
        <v>338733.06</v>
      </c>
      <c r="B58" s="153" t="str">
        <f t="shared" si="19"/>
        <v>HS125</v>
      </c>
      <c r="C58" s="148" t="str">
        <f t="shared" si="20"/>
        <v>Break</v>
      </c>
      <c r="D58" s="149">
        <f t="shared" si="21"/>
        <v>0.50000000005820766</v>
      </c>
      <c r="E58" s="154" t="str">
        <f t="shared" si="22"/>
        <v/>
      </c>
      <c r="F58" s="155">
        <f t="shared" si="23"/>
        <v>2.0833333335758653E-2</v>
      </c>
      <c r="H58" s="157" t="s">
        <v>476</v>
      </c>
      <c r="I58" s="157">
        <v>44580.629166666666</v>
      </c>
      <c r="J58" s="287">
        <v>338733.06</v>
      </c>
      <c r="K58" s="151" t="s">
        <v>570</v>
      </c>
      <c r="L58" s="151" t="s">
        <v>440</v>
      </c>
      <c r="M58" s="151">
        <v>0</v>
      </c>
      <c r="O58" s="151" t="s">
        <v>595</v>
      </c>
      <c r="P58" s="151" t="s">
        <v>596</v>
      </c>
      <c r="Q58" s="150" t="s">
        <v>597</v>
      </c>
      <c r="R58" s="151">
        <v>0</v>
      </c>
      <c r="S58" s="158">
        <v>0</v>
      </c>
    </row>
    <row r="59" spans="1:19" x14ac:dyDescent="0.2">
      <c r="A59" s="152">
        <f t="shared" si="18"/>
        <v>338733.06</v>
      </c>
      <c r="B59" s="153" t="str">
        <f t="shared" si="19"/>
        <v>HS125</v>
      </c>
      <c r="C59" s="148" t="str">
        <f t="shared" si="20"/>
        <v>No Work</v>
      </c>
      <c r="D59" s="149">
        <f t="shared" si="21"/>
        <v>2.9000000000232831</v>
      </c>
      <c r="E59" s="154" t="str">
        <f t="shared" si="22"/>
        <v/>
      </c>
      <c r="F59" s="155">
        <f t="shared" si="23"/>
        <v>0.12083333333430346</v>
      </c>
      <c r="H59" s="157">
        <v>44580.629166666666</v>
      </c>
      <c r="I59" s="157">
        <v>44580.75</v>
      </c>
      <c r="J59" s="287">
        <v>338733.06</v>
      </c>
      <c r="K59" s="151" t="s">
        <v>572</v>
      </c>
      <c r="L59" s="151" t="s">
        <v>440</v>
      </c>
      <c r="M59" s="151">
        <v>0</v>
      </c>
      <c r="O59" s="151" t="s">
        <v>595</v>
      </c>
      <c r="P59" s="151" t="s">
        <v>596</v>
      </c>
      <c r="Q59" s="150" t="s">
        <v>597</v>
      </c>
      <c r="R59" s="151">
        <v>0</v>
      </c>
      <c r="S59" s="158">
        <v>0</v>
      </c>
    </row>
    <row r="60" spans="1:19" x14ac:dyDescent="0.2">
      <c r="A60" s="152">
        <f t="shared" si="18"/>
        <v>338733.06</v>
      </c>
      <c r="B60" s="153" t="str">
        <f t="shared" si="19"/>
        <v>HS125</v>
      </c>
      <c r="C60" s="148" t="str">
        <f t="shared" si="20"/>
        <v>No Work</v>
      </c>
      <c r="D60" s="149">
        <f t="shared" si="21"/>
        <v>12</v>
      </c>
      <c r="E60" s="154" t="str">
        <f t="shared" si="22"/>
        <v/>
      </c>
      <c r="F60" s="155">
        <f t="shared" si="23"/>
        <v>0.5</v>
      </c>
      <c r="H60" s="157">
        <v>44580.75</v>
      </c>
      <c r="I60" s="157">
        <v>44581.25</v>
      </c>
      <c r="J60" s="287">
        <v>338733.06</v>
      </c>
      <c r="K60" s="151" t="s">
        <v>572</v>
      </c>
      <c r="L60" s="151" t="s">
        <v>440</v>
      </c>
      <c r="M60" s="151">
        <v>0</v>
      </c>
      <c r="O60" s="151" t="s">
        <v>595</v>
      </c>
      <c r="P60" s="151" t="s">
        <v>596</v>
      </c>
      <c r="Q60" s="150" t="s">
        <v>597</v>
      </c>
      <c r="R60" s="151">
        <v>0</v>
      </c>
      <c r="S60" s="158">
        <v>0</v>
      </c>
    </row>
    <row r="61" spans="1:19" x14ac:dyDescent="0.2">
      <c r="A61" s="152">
        <f t="shared" ref="A61:A79" si="24">J61</f>
        <v>338733.18</v>
      </c>
      <c r="B61" s="153" t="str">
        <f t="shared" ref="B61:B79" si="25">LEFT(K61,SEARCH(" ",K61)-1)</f>
        <v>Indigo</v>
      </c>
      <c r="C61" s="148" t="str">
        <f t="shared" ref="C61:C79" si="26">IF(ISNUMBER(SEARCH("Run",K61)),"Running",RIGHT(K61,LEN(K61)-(FIND("- ",K61,1))-LEN("- ")+1))</f>
        <v>Not Planned</v>
      </c>
      <c r="D61" s="149">
        <f t="shared" ref="D61:D79" si="27">F61*24</f>
        <v>2.0000000000582077</v>
      </c>
      <c r="E61" s="154" t="str">
        <f t="shared" ref="E61:E79" si="28">IF(H61-I60&gt;=TIME(0,1,0),SUM(H61-I60)*24,"")</f>
        <v/>
      </c>
      <c r="F61" s="155">
        <f t="shared" ref="F61:F79" si="29">I61-H61</f>
        <v>8.3333333335758653E-2</v>
      </c>
      <c r="H61" s="157">
        <v>44580.25</v>
      </c>
      <c r="I61" s="157" t="s">
        <v>411</v>
      </c>
      <c r="J61" s="287">
        <v>338733.18</v>
      </c>
      <c r="K61" s="151" t="s">
        <v>578</v>
      </c>
      <c r="M61" s="151">
        <v>0</v>
      </c>
      <c r="O61" s="151" t="s">
        <v>595</v>
      </c>
      <c r="P61" s="151" t="s">
        <v>596</v>
      </c>
      <c r="Q61" s="150" t="s">
        <v>597</v>
      </c>
      <c r="R61" s="151">
        <v>0</v>
      </c>
      <c r="S61" s="158">
        <v>0</v>
      </c>
    </row>
    <row r="62" spans="1:19" x14ac:dyDescent="0.2">
      <c r="A62" s="152">
        <f t="shared" si="24"/>
        <v>338733.18</v>
      </c>
      <c r="B62" s="153" t="str">
        <f t="shared" si="25"/>
        <v>Indigo</v>
      </c>
      <c r="C62" s="148" t="str">
        <f t="shared" si="26"/>
        <v>No Work</v>
      </c>
      <c r="D62" s="149">
        <f t="shared" si="27"/>
        <v>7.9999999998835847</v>
      </c>
      <c r="E62" s="154" t="str">
        <f t="shared" si="28"/>
        <v/>
      </c>
      <c r="F62" s="155">
        <f t="shared" si="29"/>
        <v>0.33333333332848269</v>
      </c>
      <c r="H62" s="157" t="s">
        <v>411</v>
      </c>
      <c r="I62" s="157">
        <v>44580.666666666664</v>
      </c>
      <c r="J62" s="287">
        <v>338733.18</v>
      </c>
      <c r="K62" s="151" t="s">
        <v>579</v>
      </c>
      <c r="M62" s="151">
        <v>0</v>
      </c>
      <c r="O62" s="151" t="s">
        <v>595</v>
      </c>
      <c r="P62" s="151" t="s">
        <v>596</v>
      </c>
      <c r="Q62" s="150" t="s">
        <v>597</v>
      </c>
      <c r="R62" s="151">
        <v>0</v>
      </c>
      <c r="S62" s="158">
        <v>0</v>
      </c>
    </row>
    <row r="63" spans="1:19" x14ac:dyDescent="0.2">
      <c r="A63" s="152">
        <f t="shared" si="24"/>
        <v>338733.18</v>
      </c>
      <c r="B63" s="153" t="str">
        <f t="shared" si="25"/>
        <v>Indigo</v>
      </c>
      <c r="C63" s="148" t="str">
        <f t="shared" si="26"/>
        <v>Not Planned</v>
      </c>
      <c r="D63" s="149">
        <f t="shared" si="27"/>
        <v>14.000000000058208</v>
      </c>
      <c r="E63" s="154" t="str">
        <f t="shared" si="28"/>
        <v/>
      </c>
      <c r="F63" s="155">
        <f t="shared" si="29"/>
        <v>0.58333333333575865</v>
      </c>
      <c r="H63" s="157">
        <v>44580.666666666664</v>
      </c>
      <c r="I63" s="157">
        <v>44581.25</v>
      </c>
      <c r="J63" s="287">
        <v>338733.18</v>
      </c>
      <c r="K63" s="151" t="s">
        <v>578</v>
      </c>
      <c r="M63" s="151">
        <v>0</v>
      </c>
      <c r="O63" s="151" t="s">
        <v>595</v>
      </c>
      <c r="P63" s="151" t="s">
        <v>596</v>
      </c>
      <c r="Q63" s="150" t="s">
        <v>597</v>
      </c>
      <c r="R63" s="151">
        <v>0</v>
      </c>
      <c r="S63" s="158">
        <v>0</v>
      </c>
    </row>
    <row r="64" spans="1:19" x14ac:dyDescent="0.2">
      <c r="A64" s="152">
        <f t="shared" si="24"/>
        <v>338733.08</v>
      </c>
      <c r="B64" s="153" t="str">
        <f t="shared" si="25"/>
        <v>Latex1</v>
      </c>
      <c r="C64" s="148" t="str">
        <f t="shared" si="26"/>
        <v>Not Planned</v>
      </c>
      <c r="D64" s="149">
        <f t="shared" si="27"/>
        <v>2.0000000000582077</v>
      </c>
      <c r="E64" s="154" t="str">
        <f t="shared" si="28"/>
        <v/>
      </c>
      <c r="F64" s="155">
        <f t="shared" si="29"/>
        <v>8.3333333335758653E-2</v>
      </c>
      <c r="H64" s="157">
        <v>44580.25</v>
      </c>
      <c r="I64" s="157" t="s">
        <v>411</v>
      </c>
      <c r="J64" s="287">
        <v>338733.08</v>
      </c>
      <c r="K64" s="151" t="s">
        <v>573</v>
      </c>
      <c r="L64" s="151" t="s">
        <v>422</v>
      </c>
      <c r="M64" s="151">
        <v>0</v>
      </c>
      <c r="O64" s="151" t="s">
        <v>595</v>
      </c>
      <c r="P64" s="151" t="s">
        <v>596</v>
      </c>
      <c r="Q64" s="150" t="s">
        <v>597</v>
      </c>
      <c r="R64" s="151">
        <v>0</v>
      </c>
      <c r="S64" s="158">
        <v>0</v>
      </c>
    </row>
    <row r="65" spans="1:19" x14ac:dyDescent="0.2">
      <c r="A65" s="152">
        <f t="shared" si="24"/>
        <v>348974.03</v>
      </c>
      <c r="B65" s="153" t="str">
        <f t="shared" si="25"/>
        <v>Latex1</v>
      </c>
      <c r="C65" s="148" t="str">
        <f t="shared" si="26"/>
        <v>Running</v>
      </c>
      <c r="D65" s="149">
        <f t="shared" si="27"/>
        <v>2.7833333333255723</v>
      </c>
      <c r="E65" s="154" t="str">
        <f t="shared" si="28"/>
        <v/>
      </c>
      <c r="F65" s="155">
        <f t="shared" si="29"/>
        <v>0.11597222222189885</v>
      </c>
      <c r="G65" s="156">
        <v>1262851</v>
      </c>
      <c r="H65" s="157" t="s">
        <v>411</v>
      </c>
      <c r="I65" s="157" t="s">
        <v>420</v>
      </c>
      <c r="J65" s="151">
        <v>348974.03</v>
      </c>
      <c r="K65" s="151" t="s">
        <v>421</v>
      </c>
      <c r="L65" s="151" t="s">
        <v>422</v>
      </c>
      <c r="M65" s="151">
        <v>100</v>
      </c>
      <c r="N65" s="151" t="s">
        <v>384</v>
      </c>
      <c r="O65" s="151" t="s">
        <v>423</v>
      </c>
      <c r="P65" s="151" t="s">
        <v>310</v>
      </c>
      <c r="Q65" s="150" t="s">
        <v>424</v>
      </c>
      <c r="R65" s="151">
        <v>100</v>
      </c>
      <c r="S65" s="158">
        <v>2.83</v>
      </c>
    </row>
    <row r="66" spans="1:19" x14ac:dyDescent="0.2">
      <c r="A66" s="152">
        <f t="shared" si="24"/>
        <v>349449</v>
      </c>
      <c r="B66" s="153" t="str">
        <f t="shared" si="25"/>
        <v>Latex1</v>
      </c>
      <c r="C66" s="148" t="str">
        <f t="shared" si="26"/>
        <v>Running</v>
      </c>
      <c r="D66" s="149">
        <f t="shared" si="27"/>
        <v>0.79999999998835847</v>
      </c>
      <c r="E66" s="154" t="str">
        <f t="shared" si="28"/>
        <v/>
      </c>
      <c r="F66" s="155">
        <f t="shared" si="29"/>
        <v>3.3333333332848269E-2</v>
      </c>
      <c r="G66" s="156">
        <v>1262900</v>
      </c>
      <c r="H66" s="157" t="s">
        <v>420</v>
      </c>
      <c r="I66" s="157" t="s">
        <v>454</v>
      </c>
      <c r="J66" s="151">
        <v>349449</v>
      </c>
      <c r="K66" s="151" t="s">
        <v>421</v>
      </c>
      <c r="L66" s="151" t="s">
        <v>422</v>
      </c>
      <c r="M66" s="151">
        <v>4</v>
      </c>
      <c r="N66" s="151" t="s">
        <v>384</v>
      </c>
      <c r="O66" s="151" t="s">
        <v>455</v>
      </c>
      <c r="P66" s="151" t="s">
        <v>334</v>
      </c>
      <c r="Q66" s="150" t="s">
        <v>430</v>
      </c>
      <c r="R66" s="151">
        <v>4</v>
      </c>
      <c r="S66" s="158">
        <v>1.1000000000000001</v>
      </c>
    </row>
    <row r="67" spans="1:19" x14ac:dyDescent="0.2">
      <c r="A67" s="152">
        <f t="shared" si="24"/>
        <v>338733.08</v>
      </c>
      <c r="B67" s="153" t="str">
        <f t="shared" si="25"/>
        <v>Latex1</v>
      </c>
      <c r="C67" s="148" t="str">
        <f t="shared" si="26"/>
        <v>No Work</v>
      </c>
      <c r="D67" s="149">
        <f t="shared" si="27"/>
        <v>4.4166666665696539</v>
      </c>
      <c r="E67" s="154" t="str">
        <f t="shared" si="28"/>
        <v/>
      </c>
      <c r="F67" s="155">
        <f t="shared" si="29"/>
        <v>0.18402777777373558</v>
      </c>
      <c r="H67" s="157" t="s">
        <v>454</v>
      </c>
      <c r="I67" s="157">
        <v>44580.666666666664</v>
      </c>
      <c r="J67" s="287">
        <v>338733.08</v>
      </c>
      <c r="K67" s="151" t="s">
        <v>574</v>
      </c>
      <c r="L67" s="151" t="s">
        <v>422</v>
      </c>
      <c r="M67" s="151">
        <v>0</v>
      </c>
      <c r="O67" s="151" t="s">
        <v>595</v>
      </c>
      <c r="P67" s="151" t="s">
        <v>596</v>
      </c>
      <c r="Q67" s="150" t="s">
        <v>597</v>
      </c>
      <c r="R67" s="151">
        <v>0</v>
      </c>
      <c r="S67" s="158">
        <v>0</v>
      </c>
    </row>
    <row r="68" spans="1:19" x14ac:dyDescent="0.2">
      <c r="A68" s="152">
        <f t="shared" si="24"/>
        <v>338733.08</v>
      </c>
      <c r="B68" s="153" t="str">
        <f t="shared" si="25"/>
        <v>Latex1</v>
      </c>
      <c r="C68" s="148" t="str">
        <f t="shared" si="26"/>
        <v>Not Planned</v>
      </c>
      <c r="D68" s="149">
        <f t="shared" si="27"/>
        <v>14.000000000058208</v>
      </c>
      <c r="E68" s="154" t="str">
        <f t="shared" si="28"/>
        <v/>
      </c>
      <c r="F68" s="155">
        <f t="shared" si="29"/>
        <v>0.58333333333575865</v>
      </c>
      <c r="H68" s="157">
        <v>44580.666666666664</v>
      </c>
      <c r="I68" s="157">
        <v>44581.25</v>
      </c>
      <c r="J68" s="287">
        <v>338733.08</v>
      </c>
      <c r="K68" s="151" t="s">
        <v>573</v>
      </c>
      <c r="L68" s="151" t="s">
        <v>422</v>
      </c>
      <c r="M68" s="151">
        <v>0</v>
      </c>
      <c r="O68" s="151" t="s">
        <v>595</v>
      </c>
      <c r="P68" s="151" t="s">
        <v>596</v>
      </c>
      <c r="Q68" s="150" t="s">
        <v>597</v>
      </c>
      <c r="R68" s="151">
        <v>0</v>
      </c>
      <c r="S68" s="158">
        <v>0</v>
      </c>
    </row>
    <row r="69" spans="1:19" x14ac:dyDescent="0.2">
      <c r="A69" s="152">
        <f t="shared" si="24"/>
        <v>338733.09</v>
      </c>
      <c r="B69" s="153" t="str">
        <f t="shared" si="25"/>
        <v>Latex2</v>
      </c>
      <c r="C69" s="148" t="str">
        <f t="shared" si="26"/>
        <v>Not Planned</v>
      </c>
      <c r="D69" s="149">
        <f t="shared" si="27"/>
        <v>2.0000000000582077</v>
      </c>
      <c r="E69" s="154" t="str">
        <f t="shared" si="28"/>
        <v/>
      </c>
      <c r="F69" s="155">
        <f t="shared" si="29"/>
        <v>8.3333333335758653E-2</v>
      </c>
      <c r="H69" s="157">
        <v>44580.25</v>
      </c>
      <c r="I69" s="157" t="s">
        <v>411</v>
      </c>
      <c r="J69" s="287">
        <v>338733.09</v>
      </c>
      <c r="K69" s="151" t="s">
        <v>575</v>
      </c>
      <c r="L69" s="151" t="s">
        <v>422</v>
      </c>
      <c r="M69" s="151">
        <v>0</v>
      </c>
      <c r="O69" s="151" t="s">
        <v>595</v>
      </c>
      <c r="P69" s="151" t="s">
        <v>596</v>
      </c>
      <c r="Q69" s="150" t="s">
        <v>597</v>
      </c>
      <c r="R69" s="151">
        <v>0</v>
      </c>
      <c r="S69" s="158">
        <v>0</v>
      </c>
    </row>
    <row r="70" spans="1:19" x14ac:dyDescent="0.2">
      <c r="A70" s="152">
        <f t="shared" si="24"/>
        <v>349401.03</v>
      </c>
      <c r="B70" s="153" t="str">
        <f t="shared" si="25"/>
        <v>Latex2</v>
      </c>
      <c r="C70" s="148" t="str">
        <f t="shared" si="26"/>
        <v>Make Ready</v>
      </c>
      <c r="D70" s="149">
        <f t="shared" si="27"/>
        <v>0.36666666663950309</v>
      </c>
      <c r="E70" s="154" t="str">
        <f t="shared" si="28"/>
        <v/>
      </c>
      <c r="F70" s="155">
        <f t="shared" si="29"/>
        <v>1.5277777776645962E-2</v>
      </c>
      <c r="H70" s="157" t="s">
        <v>411</v>
      </c>
      <c r="I70" s="157" t="s">
        <v>425</v>
      </c>
      <c r="J70" s="151">
        <v>349401.03</v>
      </c>
      <c r="K70" s="151" t="s">
        <v>576</v>
      </c>
      <c r="L70" s="151" t="s">
        <v>422</v>
      </c>
      <c r="M70" s="151">
        <v>0</v>
      </c>
      <c r="O70" s="151" t="s">
        <v>428</v>
      </c>
      <c r="P70" s="151" t="s">
        <v>429</v>
      </c>
      <c r="Q70" s="150" t="s">
        <v>430</v>
      </c>
      <c r="R70" s="151">
        <v>6</v>
      </c>
      <c r="S70" s="158">
        <v>0.25</v>
      </c>
    </row>
    <row r="71" spans="1:19" x14ac:dyDescent="0.2">
      <c r="A71" s="152">
        <f t="shared" si="24"/>
        <v>349401.03</v>
      </c>
      <c r="B71" s="153" t="str">
        <f t="shared" si="25"/>
        <v>Latex2</v>
      </c>
      <c r="C71" s="148" t="str">
        <f t="shared" si="26"/>
        <v>Running</v>
      </c>
      <c r="D71" s="149">
        <f t="shared" si="27"/>
        <v>0.16666666668606922</v>
      </c>
      <c r="E71" s="154" t="str">
        <f t="shared" si="28"/>
        <v/>
      </c>
      <c r="F71" s="155">
        <f t="shared" si="29"/>
        <v>6.9444444452528842E-3</v>
      </c>
      <c r="G71" s="156">
        <v>1262717</v>
      </c>
      <c r="H71" s="157" t="s">
        <v>425</v>
      </c>
      <c r="I71" s="157" t="s">
        <v>426</v>
      </c>
      <c r="J71" s="151">
        <v>349401.03</v>
      </c>
      <c r="K71" s="151" t="s">
        <v>427</v>
      </c>
      <c r="L71" s="151" t="s">
        <v>422</v>
      </c>
      <c r="M71" s="151">
        <v>6</v>
      </c>
      <c r="N71" s="151" t="s">
        <v>384</v>
      </c>
      <c r="O71" s="151" t="s">
        <v>428</v>
      </c>
      <c r="P71" s="151" t="s">
        <v>429</v>
      </c>
      <c r="Q71" s="150" t="s">
        <v>430</v>
      </c>
      <c r="R71" s="151">
        <v>6</v>
      </c>
      <c r="S71" s="158">
        <v>0.25</v>
      </c>
    </row>
    <row r="72" spans="1:19" x14ac:dyDescent="0.2">
      <c r="A72" s="152">
        <f t="shared" si="24"/>
        <v>338733.09</v>
      </c>
      <c r="B72" s="153" t="str">
        <f t="shared" si="25"/>
        <v>Latex2</v>
      </c>
      <c r="C72" s="148" t="str">
        <f t="shared" si="26"/>
        <v>No Work</v>
      </c>
      <c r="D72" s="149">
        <f t="shared" si="27"/>
        <v>0.78333333326736465</v>
      </c>
      <c r="E72" s="154" t="str">
        <f t="shared" si="28"/>
        <v/>
      </c>
      <c r="F72" s="155">
        <f t="shared" si="29"/>
        <v>3.2638888886140194E-2</v>
      </c>
      <c r="H72" s="157" t="s">
        <v>426</v>
      </c>
      <c r="I72" s="157" t="s">
        <v>433</v>
      </c>
      <c r="J72" s="287">
        <v>338733.09</v>
      </c>
      <c r="K72" s="151" t="s">
        <v>577</v>
      </c>
      <c r="L72" s="151" t="s">
        <v>422</v>
      </c>
      <c r="M72" s="151">
        <v>0</v>
      </c>
      <c r="O72" s="151" t="s">
        <v>595</v>
      </c>
      <c r="P72" s="151" t="s">
        <v>596</v>
      </c>
      <c r="Q72" s="150" t="s">
        <v>597</v>
      </c>
      <c r="R72" s="151">
        <v>0</v>
      </c>
      <c r="S72" s="158">
        <v>0</v>
      </c>
    </row>
    <row r="73" spans="1:19" x14ac:dyDescent="0.2">
      <c r="A73" s="152">
        <f t="shared" si="24"/>
        <v>349424</v>
      </c>
      <c r="B73" s="153" t="str">
        <f t="shared" si="25"/>
        <v>Latex2</v>
      </c>
      <c r="C73" s="148" t="str">
        <f t="shared" si="26"/>
        <v>Running</v>
      </c>
      <c r="D73" s="149">
        <f t="shared" si="27"/>
        <v>1.9500000000698492</v>
      </c>
      <c r="E73" s="154" t="str">
        <f t="shared" si="28"/>
        <v/>
      </c>
      <c r="F73" s="155">
        <f t="shared" si="29"/>
        <v>8.1250000002910383E-2</v>
      </c>
      <c r="G73" s="156">
        <v>1262862</v>
      </c>
      <c r="H73" s="157" t="s">
        <v>433</v>
      </c>
      <c r="I73" s="157" t="s">
        <v>434</v>
      </c>
      <c r="J73" s="151">
        <v>349424</v>
      </c>
      <c r="K73" s="151" t="s">
        <v>427</v>
      </c>
      <c r="L73" s="151" t="s">
        <v>422</v>
      </c>
      <c r="M73" s="151">
        <v>13</v>
      </c>
      <c r="N73" s="151" t="s">
        <v>384</v>
      </c>
      <c r="O73" s="151" t="s">
        <v>435</v>
      </c>
      <c r="P73" s="151" t="s">
        <v>436</v>
      </c>
      <c r="Q73" s="150" t="s">
        <v>430</v>
      </c>
      <c r="R73" s="151">
        <v>13</v>
      </c>
      <c r="S73" s="158">
        <v>1</v>
      </c>
    </row>
    <row r="74" spans="1:19" x14ac:dyDescent="0.2">
      <c r="A74" s="152">
        <f t="shared" si="24"/>
        <v>338733.09</v>
      </c>
      <c r="B74" s="153" t="str">
        <f t="shared" si="25"/>
        <v>Latex2</v>
      </c>
      <c r="C74" s="148" t="str">
        <f t="shared" si="26"/>
        <v>No Work</v>
      </c>
      <c r="D74" s="149">
        <f t="shared" si="27"/>
        <v>3.283333333209157</v>
      </c>
      <c r="E74" s="154" t="str">
        <f t="shared" si="28"/>
        <v/>
      </c>
      <c r="F74" s="155">
        <f t="shared" si="29"/>
        <v>0.13680555555038154</v>
      </c>
      <c r="H74" s="157" t="s">
        <v>434</v>
      </c>
      <c r="I74" s="157" t="s">
        <v>481</v>
      </c>
      <c r="J74" s="287">
        <v>338733.09</v>
      </c>
      <c r="K74" s="151" t="s">
        <v>577</v>
      </c>
      <c r="L74" s="151" t="s">
        <v>422</v>
      </c>
      <c r="M74" s="151">
        <v>0</v>
      </c>
      <c r="O74" s="151" t="s">
        <v>595</v>
      </c>
      <c r="P74" s="151" t="s">
        <v>596</v>
      </c>
      <c r="Q74" s="150" t="s">
        <v>597</v>
      </c>
      <c r="R74" s="151">
        <v>0</v>
      </c>
      <c r="S74" s="158">
        <v>0</v>
      </c>
    </row>
    <row r="75" spans="1:19" x14ac:dyDescent="0.2">
      <c r="A75" s="152">
        <f t="shared" si="24"/>
        <v>349441</v>
      </c>
      <c r="B75" s="153" t="str">
        <f t="shared" si="25"/>
        <v>Latex2</v>
      </c>
      <c r="C75" s="148" t="str">
        <f t="shared" si="26"/>
        <v>Running</v>
      </c>
      <c r="D75" s="149">
        <f t="shared" si="27"/>
        <v>0.56666666676755995</v>
      </c>
      <c r="E75" s="154" t="str">
        <f t="shared" si="28"/>
        <v/>
      </c>
      <c r="F75" s="155">
        <f t="shared" si="29"/>
        <v>2.3611111115314998E-2</v>
      </c>
      <c r="G75" s="156">
        <v>1263170</v>
      </c>
      <c r="H75" s="157" t="s">
        <v>481</v>
      </c>
      <c r="I75" s="157" t="s">
        <v>482</v>
      </c>
      <c r="J75" s="151">
        <v>349441</v>
      </c>
      <c r="K75" s="151" t="s">
        <v>427</v>
      </c>
      <c r="L75" s="151" t="s">
        <v>422</v>
      </c>
      <c r="M75" s="151">
        <v>2</v>
      </c>
      <c r="N75" s="151" t="s">
        <v>384</v>
      </c>
      <c r="O75" s="151" t="s">
        <v>435</v>
      </c>
      <c r="P75" s="151" t="s">
        <v>436</v>
      </c>
      <c r="Q75" s="150" t="s">
        <v>430</v>
      </c>
      <c r="R75" s="151">
        <v>2</v>
      </c>
      <c r="S75" s="158">
        <v>0.5</v>
      </c>
    </row>
    <row r="76" spans="1:19" x14ac:dyDescent="0.2">
      <c r="A76" s="152">
        <f t="shared" si="24"/>
        <v>338733.09</v>
      </c>
      <c r="B76" s="153" t="str">
        <f t="shared" si="25"/>
        <v>Latex2</v>
      </c>
      <c r="C76" s="148" t="str">
        <f t="shared" si="26"/>
        <v>No Work</v>
      </c>
      <c r="D76" s="149">
        <f t="shared" si="27"/>
        <v>0.88333333324408159</v>
      </c>
      <c r="E76" s="154" t="str">
        <f t="shared" si="28"/>
        <v/>
      </c>
      <c r="F76" s="155">
        <f t="shared" si="29"/>
        <v>3.6805555551836733E-2</v>
      </c>
      <c r="H76" s="157" t="s">
        <v>482</v>
      </c>
      <c r="I76" s="157">
        <v>44580.666666666664</v>
      </c>
      <c r="J76" s="287">
        <v>338733.09</v>
      </c>
      <c r="K76" s="151" t="s">
        <v>577</v>
      </c>
      <c r="L76" s="151" t="s">
        <v>422</v>
      </c>
      <c r="M76" s="151">
        <v>0</v>
      </c>
      <c r="O76" s="151" t="s">
        <v>595</v>
      </c>
      <c r="P76" s="151" t="s">
        <v>596</v>
      </c>
      <c r="Q76" s="150" t="s">
        <v>597</v>
      </c>
      <c r="R76" s="151">
        <v>0</v>
      </c>
      <c r="S76" s="158">
        <v>0</v>
      </c>
    </row>
    <row r="77" spans="1:19" x14ac:dyDescent="0.2">
      <c r="A77" s="152">
        <f t="shared" si="24"/>
        <v>338733.09</v>
      </c>
      <c r="B77" s="153" t="str">
        <f t="shared" si="25"/>
        <v>Latex2</v>
      </c>
      <c r="C77" s="148" t="str">
        <f t="shared" si="26"/>
        <v>Not Planned</v>
      </c>
      <c r="D77" s="149">
        <f t="shared" si="27"/>
        <v>14.000000000058208</v>
      </c>
      <c r="E77" s="154" t="str">
        <f t="shared" si="28"/>
        <v/>
      </c>
      <c r="F77" s="155">
        <f t="shared" si="29"/>
        <v>0.58333333333575865</v>
      </c>
      <c r="H77" s="157">
        <v>44580.666666666664</v>
      </c>
      <c r="I77" s="157">
        <v>44581.25</v>
      </c>
      <c r="J77" s="287">
        <v>338733.09</v>
      </c>
      <c r="K77" s="151" t="s">
        <v>575</v>
      </c>
      <c r="L77" s="151" t="s">
        <v>422</v>
      </c>
      <c r="M77" s="151">
        <v>0</v>
      </c>
      <c r="O77" s="151" t="s">
        <v>595</v>
      </c>
      <c r="P77" s="151" t="s">
        <v>596</v>
      </c>
      <c r="Q77" s="150" t="s">
        <v>597</v>
      </c>
      <c r="R77" s="151">
        <v>0</v>
      </c>
      <c r="S77" s="158">
        <v>0</v>
      </c>
    </row>
    <row r="78" spans="1:19" x14ac:dyDescent="0.2">
      <c r="A78" s="152">
        <f t="shared" si="24"/>
        <v>349423.04</v>
      </c>
      <c r="B78" s="153" t="str">
        <f t="shared" si="25"/>
        <v>Matan1</v>
      </c>
      <c r="C78" s="148" t="str">
        <f t="shared" si="26"/>
        <v>Make Ready</v>
      </c>
      <c r="D78" s="149">
        <f t="shared" si="27"/>
        <v>1.4333333332906477</v>
      </c>
      <c r="E78" s="154" t="str">
        <f t="shared" si="28"/>
        <v/>
      </c>
      <c r="F78" s="155">
        <f t="shared" si="29"/>
        <v>5.9722222220443655E-2</v>
      </c>
      <c r="H78" s="157">
        <v>44580.25</v>
      </c>
      <c r="I78" s="157" t="s">
        <v>406</v>
      </c>
      <c r="J78" s="151">
        <v>349423.04</v>
      </c>
      <c r="K78" s="151" t="s">
        <v>473</v>
      </c>
      <c r="L78" s="151" t="s">
        <v>409</v>
      </c>
      <c r="M78" s="151">
        <v>0</v>
      </c>
      <c r="O78" s="151" t="s">
        <v>410</v>
      </c>
      <c r="P78" s="151" t="s">
        <v>334</v>
      </c>
      <c r="Q78" s="150" t="s">
        <v>403</v>
      </c>
      <c r="R78" s="151">
        <v>6</v>
      </c>
      <c r="S78" s="158">
        <v>1.85</v>
      </c>
    </row>
    <row r="79" spans="1:19" x14ac:dyDescent="0.2">
      <c r="A79" s="152">
        <f t="shared" si="24"/>
        <v>349423.04</v>
      </c>
      <c r="B79" s="153" t="str">
        <f t="shared" si="25"/>
        <v>Matan1</v>
      </c>
      <c r="C79" s="148" t="str">
        <f t="shared" si="26"/>
        <v>Running</v>
      </c>
      <c r="D79" s="149">
        <f t="shared" si="27"/>
        <v>2.8000000000465661</v>
      </c>
      <c r="E79" s="154" t="str">
        <f t="shared" si="28"/>
        <v/>
      </c>
      <c r="F79" s="155">
        <f t="shared" si="29"/>
        <v>0.11666666666860692</v>
      </c>
      <c r="G79" s="156">
        <v>1262807</v>
      </c>
      <c r="H79" s="157" t="s">
        <v>406</v>
      </c>
      <c r="I79" s="157" t="s">
        <v>407</v>
      </c>
      <c r="J79" s="151">
        <v>349423.04</v>
      </c>
      <c r="K79" s="151" t="s">
        <v>408</v>
      </c>
      <c r="L79" s="151" t="s">
        <v>409</v>
      </c>
      <c r="M79" s="151">
        <v>1</v>
      </c>
      <c r="N79" s="151" t="s">
        <v>384</v>
      </c>
      <c r="O79" s="151" t="s">
        <v>410</v>
      </c>
      <c r="P79" s="151" t="s">
        <v>334</v>
      </c>
      <c r="Q79" s="150" t="s">
        <v>403</v>
      </c>
      <c r="R79" s="151">
        <v>6</v>
      </c>
      <c r="S79" s="158">
        <v>1.85</v>
      </c>
    </row>
    <row r="80" spans="1:19" x14ac:dyDescent="0.2">
      <c r="A80" s="152">
        <f t="shared" ref="A80:A91" si="30">J80</f>
        <v>349423.04</v>
      </c>
      <c r="B80" s="153" t="str">
        <f t="shared" ref="B80:B91" si="31">LEFT(K80,SEARCH(" ",K80)-1)</f>
        <v>Matan1</v>
      </c>
      <c r="C80" s="148" t="str">
        <f t="shared" ref="C80:C91" si="32">IF(ISNUMBER(SEARCH("Run",K80)),"Running",RIGHT(K80,LEN(K80)-(FIND("- ",K80,1))-LEN("- ")+1))</f>
        <v>Running</v>
      </c>
      <c r="D80" s="149">
        <f t="shared" ref="D80:D91" si="33">F80*24</f>
        <v>0.16666666668606922</v>
      </c>
      <c r="E80" s="154" t="str">
        <f t="shared" ref="E80:E91" si="34">IF(H80-I79&gt;=TIME(0,1,0),SUM(H80-I79)*24,"")</f>
        <v/>
      </c>
      <c r="F80" s="155">
        <f t="shared" ref="F80:F91" si="35">I80-H80</f>
        <v>6.9444444452528842E-3</v>
      </c>
      <c r="G80" s="156">
        <v>1262825</v>
      </c>
      <c r="H80" s="157" t="s">
        <v>407</v>
      </c>
      <c r="I80" s="157" t="s">
        <v>450</v>
      </c>
      <c r="J80" s="151">
        <v>349423.04</v>
      </c>
      <c r="K80" s="151" t="s">
        <v>408</v>
      </c>
      <c r="L80" s="151" t="s">
        <v>409</v>
      </c>
      <c r="M80" s="151">
        <v>1</v>
      </c>
      <c r="O80" s="151" t="s">
        <v>410</v>
      </c>
      <c r="P80" s="151" t="s">
        <v>334</v>
      </c>
      <c r="Q80" s="150" t="s">
        <v>403</v>
      </c>
      <c r="R80" s="151">
        <v>6</v>
      </c>
      <c r="S80" s="158">
        <v>1.85</v>
      </c>
    </row>
    <row r="81" spans="1:19" x14ac:dyDescent="0.2">
      <c r="A81" s="152">
        <f t="shared" si="30"/>
        <v>338733.04</v>
      </c>
      <c r="B81" s="153" t="str">
        <f t="shared" si="31"/>
        <v>Matan1</v>
      </c>
      <c r="C81" s="148" t="str">
        <f t="shared" si="32"/>
        <v>Breakdown</v>
      </c>
      <c r="D81" s="149">
        <f t="shared" si="33"/>
        <v>1.9499999998952262</v>
      </c>
      <c r="E81" s="154" t="str">
        <f t="shared" si="34"/>
        <v/>
      </c>
      <c r="F81" s="155">
        <f t="shared" si="35"/>
        <v>8.1249999995634425E-2</v>
      </c>
      <c r="H81" s="157" t="s">
        <v>450</v>
      </c>
      <c r="I81" s="157" t="s">
        <v>466</v>
      </c>
      <c r="J81" s="287">
        <v>338733.04</v>
      </c>
      <c r="K81" s="151" t="s">
        <v>580</v>
      </c>
      <c r="L81" s="151" t="s">
        <v>409</v>
      </c>
      <c r="M81" s="151">
        <v>0</v>
      </c>
      <c r="N81" s="151" t="s">
        <v>451</v>
      </c>
      <c r="O81" s="151" t="s">
        <v>595</v>
      </c>
      <c r="P81" s="151" t="s">
        <v>596</v>
      </c>
      <c r="Q81" s="150" t="s">
        <v>597</v>
      </c>
      <c r="R81" s="151">
        <v>0</v>
      </c>
      <c r="S81" s="158">
        <v>0</v>
      </c>
    </row>
    <row r="82" spans="1:19" x14ac:dyDescent="0.2">
      <c r="A82" s="152">
        <f t="shared" si="30"/>
        <v>349423.04</v>
      </c>
      <c r="B82" s="153" t="str">
        <f t="shared" si="31"/>
        <v>Matan1</v>
      </c>
      <c r="C82" s="148" t="str">
        <f t="shared" si="32"/>
        <v>Running</v>
      </c>
      <c r="D82" s="149">
        <f t="shared" si="33"/>
        <v>0.76666666672099382</v>
      </c>
      <c r="E82" s="154" t="str">
        <f t="shared" si="34"/>
        <v/>
      </c>
      <c r="F82" s="155">
        <f t="shared" si="35"/>
        <v>3.1944444446708076E-2</v>
      </c>
      <c r="G82" s="156">
        <v>1263028</v>
      </c>
      <c r="H82" s="157" t="s">
        <v>466</v>
      </c>
      <c r="I82" s="157" t="s">
        <v>470</v>
      </c>
      <c r="J82" s="151">
        <v>349423.04</v>
      </c>
      <c r="K82" s="151" t="s">
        <v>408</v>
      </c>
      <c r="L82" s="151" t="s">
        <v>409</v>
      </c>
      <c r="M82" s="151">
        <v>6</v>
      </c>
      <c r="N82" s="151" t="s">
        <v>419</v>
      </c>
      <c r="O82" s="151" t="s">
        <v>410</v>
      </c>
      <c r="P82" s="151" t="s">
        <v>334</v>
      </c>
      <c r="Q82" s="150" t="s">
        <v>403</v>
      </c>
      <c r="R82" s="151">
        <v>6</v>
      </c>
      <c r="S82" s="158">
        <v>1.85</v>
      </c>
    </row>
    <row r="83" spans="1:19" x14ac:dyDescent="0.2">
      <c r="A83" s="152">
        <f t="shared" si="30"/>
        <v>349423.03</v>
      </c>
      <c r="B83" s="153" t="str">
        <f t="shared" si="31"/>
        <v>Matan1</v>
      </c>
      <c r="C83" s="148" t="str">
        <f t="shared" si="32"/>
        <v>Running</v>
      </c>
      <c r="D83" s="149">
        <f t="shared" si="33"/>
        <v>0.1499999999650754</v>
      </c>
      <c r="E83" s="154" t="str">
        <f t="shared" si="34"/>
        <v/>
      </c>
      <c r="F83" s="155">
        <f t="shared" si="35"/>
        <v>6.2499999985448085E-3</v>
      </c>
      <c r="G83" s="156">
        <v>1263029</v>
      </c>
      <c r="H83" s="157" t="s">
        <v>470</v>
      </c>
      <c r="I83" s="157" t="s">
        <v>471</v>
      </c>
      <c r="J83" s="151">
        <v>349423.03</v>
      </c>
      <c r="K83" s="151" t="s">
        <v>408</v>
      </c>
      <c r="L83" s="151" t="s">
        <v>409</v>
      </c>
      <c r="M83" s="151">
        <v>6</v>
      </c>
      <c r="N83" s="151" t="s">
        <v>419</v>
      </c>
      <c r="O83" s="151" t="s">
        <v>410</v>
      </c>
      <c r="P83" s="151" t="s">
        <v>334</v>
      </c>
      <c r="Q83" s="150" t="s">
        <v>403</v>
      </c>
      <c r="R83" s="151">
        <v>4</v>
      </c>
      <c r="S83" s="158">
        <v>1.92</v>
      </c>
    </row>
    <row r="84" spans="1:19" x14ac:dyDescent="0.2">
      <c r="A84" s="152">
        <f t="shared" si="30"/>
        <v>349423.01</v>
      </c>
      <c r="B84" s="153" t="str">
        <f t="shared" si="31"/>
        <v>Matan1</v>
      </c>
      <c r="C84" s="148" t="str">
        <f t="shared" si="32"/>
        <v>Make Ready</v>
      </c>
      <c r="D84" s="149">
        <f t="shared" si="33"/>
        <v>1.2666666667792015</v>
      </c>
      <c r="E84" s="154" t="str">
        <f t="shared" si="34"/>
        <v/>
      </c>
      <c r="F84" s="155">
        <f t="shared" si="35"/>
        <v>5.2777777782466728E-2</v>
      </c>
      <c r="G84" s="156">
        <v>1263112</v>
      </c>
      <c r="H84" s="157" t="s">
        <v>471</v>
      </c>
      <c r="I84" s="157" t="s">
        <v>472</v>
      </c>
      <c r="J84" s="151">
        <v>349423.01</v>
      </c>
      <c r="K84" s="151" t="s">
        <v>473</v>
      </c>
      <c r="L84" s="151" t="s">
        <v>383</v>
      </c>
      <c r="M84" s="151">
        <v>0</v>
      </c>
      <c r="N84" s="151" t="s">
        <v>474</v>
      </c>
      <c r="O84" s="151" t="s">
        <v>410</v>
      </c>
      <c r="P84" s="151" t="s">
        <v>334</v>
      </c>
      <c r="Q84" s="150" t="s">
        <v>315</v>
      </c>
      <c r="R84" s="151">
        <v>7</v>
      </c>
      <c r="S84" s="158">
        <v>4</v>
      </c>
    </row>
    <row r="85" spans="1:19" x14ac:dyDescent="0.2">
      <c r="A85" s="152">
        <f t="shared" si="30"/>
        <v>338733.04</v>
      </c>
      <c r="B85" s="153" t="str">
        <f t="shared" si="31"/>
        <v>Matan1</v>
      </c>
      <c r="C85" s="148" t="str">
        <f t="shared" si="32"/>
        <v>Breakdown</v>
      </c>
      <c r="D85" s="149">
        <f t="shared" si="33"/>
        <v>0.53333333332557231</v>
      </c>
      <c r="E85" s="154" t="str">
        <f t="shared" si="34"/>
        <v/>
      </c>
      <c r="F85" s="155">
        <f t="shared" si="35"/>
        <v>2.2222222221898846E-2</v>
      </c>
      <c r="G85" s="156">
        <v>1263160</v>
      </c>
      <c r="H85" s="157" t="s">
        <v>472</v>
      </c>
      <c r="I85" s="157" t="s">
        <v>486</v>
      </c>
      <c r="J85" s="287">
        <v>338733.04</v>
      </c>
      <c r="K85" s="151" t="s">
        <v>580</v>
      </c>
      <c r="L85" s="151" t="s">
        <v>383</v>
      </c>
      <c r="M85" s="151">
        <v>0</v>
      </c>
      <c r="N85" s="151" t="s">
        <v>488</v>
      </c>
      <c r="O85" s="151" t="s">
        <v>595</v>
      </c>
      <c r="P85" s="151" t="s">
        <v>596</v>
      </c>
      <c r="Q85" s="150" t="s">
        <v>597</v>
      </c>
      <c r="R85" s="151">
        <v>0</v>
      </c>
      <c r="S85" s="158">
        <v>0</v>
      </c>
    </row>
    <row r="86" spans="1:19" x14ac:dyDescent="0.2">
      <c r="A86" s="152">
        <f t="shared" si="30"/>
        <v>349423.01</v>
      </c>
      <c r="B86" s="153" t="str">
        <f t="shared" si="31"/>
        <v>Matan1</v>
      </c>
      <c r="C86" s="148" t="str">
        <f t="shared" si="32"/>
        <v>Make Ready</v>
      </c>
      <c r="D86" s="149">
        <f t="shared" si="33"/>
        <v>1.9833333333372138</v>
      </c>
      <c r="E86" s="154" t="str">
        <f t="shared" si="34"/>
        <v/>
      </c>
      <c r="F86" s="155">
        <f t="shared" si="35"/>
        <v>8.2638888889050577E-2</v>
      </c>
      <c r="G86" s="156">
        <v>1263372</v>
      </c>
      <c r="H86" s="157" t="s">
        <v>486</v>
      </c>
      <c r="I86" s="157" t="s">
        <v>489</v>
      </c>
      <c r="J86" s="151">
        <v>349423.01</v>
      </c>
      <c r="K86" s="151" t="s">
        <v>473</v>
      </c>
      <c r="L86" s="151" t="s">
        <v>383</v>
      </c>
      <c r="M86" s="151">
        <v>0</v>
      </c>
      <c r="N86" s="151" t="s">
        <v>490</v>
      </c>
      <c r="O86" s="151" t="s">
        <v>410</v>
      </c>
      <c r="P86" s="151" t="s">
        <v>334</v>
      </c>
      <c r="Q86" s="150" t="s">
        <v>315</v>
      </c>
      <c r="R86" s="151">
        <v>7</v>
      </c>
      <c r="S86" s="158">
        <v>4</v>
      </c>
    </row>
    <row r="87" spans="1:19" x14ac:dyDescent="0.2">
      <c r="A87" s="152">
        <f t="shared" si="30"/>
        <v>338733.04</v>
      </c>
      <c r="B87" s="153" t="str">
        <f t="shared" si="31"/>
        <v>Matan1</v>
      </c>
      <c r="C87" s="148" t="str">
        <f t="shared" si="32"/>
        <v>Maintenance</v>
      </c>
      <c r="D87" s="149">
        <f t="shared" si="33"/>
        <v>1.033333333209157</v>
      </c>
      <c r="E87" s="154" t="str">
        <f t="shared" si="34"/>
        <v/>
      </c>
      <c r="F87" s="155">
        <f t="shared" si="35"/>
        <v>4.3055555550381541E-2</v>
      </c>
      <c r="H87" s="157" t="s">
        <v>489</v>
      </c>
      <c r="I87" s="157" t="s">
        <v>513</v>
      </c>
      <c r="J87" s="287">
        <v>338733.04</v>
      </c>
      <c r="K87" s="151" t="s">
        <v>581</v>
      </c>
      <c r="L87" s="151" t="s">
        <v>383</v>
      </c>
      <c r="M87" s="151">
        <v>0</v>
      </c>
      <c r="O87" s="151" t="s">
        <v>595</v>
      </c>
      <c r="P87" s="151" t="s">
        <v>596</v>
      </c>
      <c r="Q87" s="150" t="s">
        <v>597</v>
      </c>
      <c r="R87" s="151">
        <v>0</v>
      </c>
      <c r="S87" s="158">
        <v>0</v>
      </c>
    </row>
    <row r="88" spans="1:19" x14ac:dyDescent="0.2">
      <c r="A88" s="152">
        <f t="shared" si="30"/>
        <v>349423.01</v>
      </c>
      <c r="B88" s="153" t="str">
        <f t="shared" si="31"/>
        <v>Matan1</v>
      </c>
      <c r="C88" s="148" t="str">
        <f t="shared" si="32"/>
        <v>Running</v>
      </c>
      <c r="D88" s="149">
        <f t="shared" si="33"/>
        <v>6.1666666666860692</v>
      </c>
      <c r="E88" s="154" t="str">
        <f t="shared" si="34"/>
        <v/>
      </c>
      <c r="F88" s="155">
        <f t="shared" si="35"/>
        <v>0.25694444444525288</v>
      </c>
      <c r="G88" s="156">
        <v>1263387</v>
      </c>
      <c r="H88" s="157" t="s">
        <v>513</v>
      </c>
      <c r="I88" s="157" t="s">
        <v>514</v>
      </c>
      <c r="J88" s="151">
        <v>349423.01</v>
      </c>
      <c r="K88" s="151" t="s">
        <v>408</v>
      </c>
      <c r="L88" s="151" t="s">
        <v>515</v>
      </c>
      <c r="M88" s="151">
        <v>7</v>
      </c>
      <c r="N88" s="151" t="s">
        <v>419</v>
      </c>
      <c r="O88" s="151" t="s">
        <v>410</v>
      </c>
      <c r="P88" s="151" t="s">
        <v>334</v>
      </c>
      <c r="Q88" s="150" t="s">
        <v>315</v>
      </c>
      <c r="R88" s="151">
        <v>7</v>
      </c>
      <c r="S88" s="158">
        <v>4</v>
      </c>
    </row>
    <row r="89" spans="1:19" x14ac:dyDescent="0.2">
      <c r="A89" s="152">
        <f t="shared" si="30"/>
        <v>349423.02</v>
      </c>
      <c r="B89" s="153" t="str">
        <f t="shared" si="31"/>
        <v>Matan1</v>
      </c>
      <c r="C89" s="148" t="str">
        <f t="shared" si="32"/>
        <v>Running</v>
      </c>
      <c r="D89" s="149">
        <f t="shared" si="33"/>
        <v>0.51666666677920148</v>
      </c>
      <c r="E89" s="154" t="str">
        <f t="shared" si="34"/>
        <v/>
      </c>
      <c r="F89" s="155">
        <f t="shared" si="35"/>
        <v>2.1527777782466728E-2</v>
      </c>
      <c r="G89" s="156">
        <v>1263388</v>
      </c>
      <c r="H89" s="157" t="s">
        <v>514</v>
      </c>
      <c r="I89" s="157" t="s">
        <v>535</v>
      </c>
      <c r="J89" s="151">
        <v>349423.02</v>
      </c>
      <c r="K89" s="151" t="s">
        <v>408</v>
      </c>
      <c r="L89" s="151" t="s">
        <v>515</v>
      </c>
      <c r="M89" s="151">
        <v>4</v>
      </c>
      <c r="N89" s="151" t="s">
        <v>419</v>
      </c>
      <c r="O89" s="151" t="s">
        <v>410</v>
      </c>
      <c r="P89" s="151" t="s">
        <v>334</v>
      </c>
      <c r="Q89" s="150" t="s">
        <v>315</v>
      </c>
      <c r="R89" s="151">
        <v>2</v>
      </c>
      <c r="S89" s="158">
        <v>0.52</v>
      </c>
    </row>
    <row r="90" spans="1:19" x14ac:dyDescent="0.2">
      <c r="A90" s="152">
        <f t="shared" si="30"/>
        <v>349437</v>
      </c>
      <c r="B90" s="153" t="str">
        <f t="shared" si="31"/>
        <v>Matan1</v>
      </c>
      <c r="C90" s="148" t="str">
        <f t="shared" si="32"/>
        <v>Job Card Error</v>
      </c>
      <c r="D90" s="149">
        <f t="shared" si="33"/>
        <v>0.44999999989522621</v>
      </c>
      <c r="E90" s="154" t="str">
        <f t="shared" si="34"/>
        <v/>
      </c>
      <c r="F90" s="155">
        <f t="shared" si="35"/>
        <v>1.8749999995634425E-2</v>
      </c>
      <c r="G90" s="156">
        <v>1263390</v>
      </c>
      <c r="H90" s="157" t="s">
        <v>535</v>
      </c>
      <c r="I90" s="157" t="s">
        <v>541</v>
      </c>
      <c r="J90" s="151">
        <v>349437</v>
      </c>
      <c r="K90" s="151" t="s">
        <v>582</v>
      </c>
      <c r="L90" s="151" t="s">
        <v>515</v>
      </c>
      <c r="M90" s="151">
        <v>0</v>
      </c>
      <c r="N90" s="151" t="s">
        <v>542</v>
      </c>
      <c r="O90" s="151" t="s">
        <v>309</v>
      </c>
      <c r="P90" s="151" t="s">
        <v>310</v>
      </c>
      <c r="Q90" s="150" t="s">
        <v>315</v>
      </c>
      <c r="R90" s="151">
        <v>20</v>
      </c>
      <c r="S90" s="158">
        <v>7.2</v>
      </c>
    </row>
    <row r="91" spans="1:19" x14ac:dyDescent="0.2">
      <c r="A91" s="152">
        <f t="shared" si="30"/>
        <v>338733.04</v>
      </c>
      <c r="B91" s="153" t="str">
        <f t="shared" si="31"/>
        <v>Matan1</v>
      </c>
      <c r="C91" s="148" t="str">
        <f t="shared" si="32"/>
        <v>No Work</v>
      </c>
      <c r="D91" s="149">
        <f t="shared" si="33"/>
        <v>4.78333333338378</v>
      </c>
      <c r="E91" s="154" t="str">
        <f t="shared" si="34"/>
        <v/>
      </c>
      <c r="F91" s="155">
        <f t="shared" si="35"/>
        <v>0.1993055555576575</v>
      </c>
      <c r="H91" s="157" t="s">
        <v>541</v>
      </c>
      <c r="I91" s="157">
        <v>44581.25</v>
      </c>
      <c r="J91" s="287">
        <v>338733.04</v>
      </c>
      <c r="K91" s="151" t="s">
        <v>583</v>
      </c>
      <c r="L91" s="151" t="s">
        <v>515</v>
      </c>
      <c r="M91" s="151">
        <v>0</v>
      </c>
      <c r="O91" s="151" t="s">
        <v>595</v>
      </c>
      <c r="P91" s="151" t="s">
        <v>596</v>
      </c>
      <c r="Q91" s="150" t="s">
        <v>597</v>
      </c>
      <c r="R91" s="151">
        <v>0</v>
      </c>
      <c r="S91" s="158">
        <v>0</v>
      </c>
    </row>
    <row r="92" spans="1:19" x14ac:dyDescent="0.2">
      <c r="A92" s="152">
        <f t="shared" ref="A92:A121" si="36">J92</f>
        <v>338733.05</v>
      </c>
      <c r="B92" s="153" t="str">
        <f t="shared" ref="B92:B121" si="37">LEFT(K92,SEARCH(" ",K92)-1)</f>
        <v>Matan2</v>
      </c>
      <c r="C92" s="148" t="str">
        <f t="shared" ref="C92:C121" si="38">IF(ISNUMBER(SEARCH("Run",K92)),"Running",RIGHT(K92,LEN(K92)-(FIND("- ",K92,1))-LEN("- ")+1))</f>
        <v>Repair In Progress</v>
      </c>
      <c r="D92" s="149">
        <f t="shared" ref="D92:D121" si="39">F92*24</f>
        <v>6</v>
      </c>
      <c r="E92" s="154" t="str">
        <f t="shared" ref="E92:E121" si="40">IF(H92-I91&gt;=TIME(0,1,0),SUM(H92-I91)*24,"")</f>
        <v/>
      </c>
      <c r="F92" s="155">
        <f t="shared" ref="F92:F121" si="41">I92-H92</f>
        <v>0.25</v>
      </c>
      <c r="H92" s="157">
        <v>44580.25</v>
      </c>
      <c r="I92" s="157">
        <v>44580.5</v>
      </c>
      <c r="J92" s="287">
        <v>338733.05</v>
      </c>
      <c r="K92" s="151" t="s">
        <v>586</v>
      </c>
      <c r="L92" s="151" t="s">
        <v>515</v>
      </c>
      <c r="M92" s="151">
        <v>0</v>
      </c>
      <c r="N92" s="151" t="s">
        <v>585</v>
      </c>
      <c r="O92" s="151" t="s">
        <v>595</v>
      </c>
      <c r="P92" s="151" t="s">
        <v>596</v>
      </c>
      <c r="Q92" s="150" t="s">
        <v>597</v>
      </c>
      <c r="R92" s="151">
        <v>0</v>
      </c>
      <c r="S92" s="158">
        <v>0</v>
      </c>
    </row>
    <row r="93" spans="1:19" x14ac:dyDescent="0.2">
      <c r="A93" s="152">
        <f t="shared" si="36"/>
        <v>338733.05</v>
      </c>
      <c r="B93" s="153" t="str">
        <f t="shared" si="37"/>
        <v>Matan2</v>
      </c>
      <c r="C93" s="148" t="str">
        <f t="shared" si="38"/>
        <v>No Work</v>
      </c>
      <c r="D93" s="149">
        <f t="shared" si="39"/>
        <v>6</v>
      </c>
      <c r="E93" s="154" t="str">
        <f t="shared" si="40"/>
        <v/>
      </c>
      <c r="F93" s="155">
        <f t="shared" si="41"/>
        <v>0.25</v>
      </c>
      <c r="H93" s="157">
        <v>44580.5</v>
      </c>
      <c r="I93" s="157">
        <v>44580.75</v>
      </c>
      <c r="J93" s="287">
        <v>338733.05</v>
      </c>
      <c r="K93" s="151" t="s">
        <v>584</v>
      </c>
      <c r="L93" s="151" t="s">
        <v>515</v>
      </c>
      <c r="M93" s="151">
        <v>0</v>
      </c>
      <c r="O93" s="151" t="s">
        <v>595</v>
      </c>
      <c r="P93" s="151" t="s">
        <v>596</v>
      </c>
      <c r="Q93" s="150" t="s">
        <v>597</v>
      </c>
      <c r="R93" s="151">
        <v>0</v>
      </c>
      <c r="S93" s="158">
        <v>0</v>
      </c>
    </row>
    <row r="94" spans="1:19" x14ac:dyDescent="0.2">
      <c r="A94" s="152">
        <f t="shared" si="36"/>
        <v>349447.06</v>
      </c>
      <c r="B94" s="153" t="str">
        <f t="shared" si="37"/>
        <v>Matan2</v>
      </c>
      <c r="C94" s="148" t="str">
        <f t="shared" si="38"/>
        <v>Make Ready</v>
      </c>
      <c r="D94" s="149">
        <f t="shared" si="39"/>
        <v>2.1333333333022892</v>
      </c>
      <c r="E94" s="154" t="str">
        <f t="shared" si="40"/>
        <v/>
      </c>
      <c r="F94" s="155">
        <f t="shared" si="41"/>
        <v>8.8888888887595385E-2</v>
      </c>
      <c r="G94" s="156">
        <v>1263382</v>
      </c>
      <c r="H94" s="157">
        <v>44580.75</v>
      </c>
      <c r="I94" s="157" t="s">
        <v>520</v>
      </c>
      <c r="J94" s="151">
        <v>349447.06</v>
      </c>
      <c r="K94" s="151" t="s">
        <v>521</v>
      </c>
      <c r="L94" s="151" t="s">
        <v>515</v>
      </c>
      <c r="M94" s="151">
        <v>0</v>
      </c>
      <c r="N94" s="151" t="s">
        <v>522</v>
      </c>
      <c r="O94" s="151" t="s">
        <v>523</v>
      </c>
      <c r="P94" s="151" t="s">
        <v>310</v>
      </c>
      <c r="Q94" s="150" t="s">
        <v>524</v>
      </c>
      <c r="R94" s="151">
        <v>13</v>
      </c>
      <c r="S94" s="158">
        <v>3.16</v>
      </c>
    </row>
    <row r="95" spans="1:19" x14ac:dyDescent="0.2">
      <c r="A95" s="152">
        <f t="shared" si="36"/>
        <v>349447.06</v>
      </c>
      <c r="B95" s="153" t="str">
        <f t="shared" si="37"/>
        <v>Matan2</v>
      </c>
      <c r="C95" s="148" t="str">
        <f t="shared" si="38"/>
        <v>Running</v>
      </c>
      <c r="D95" s="149">
        <f t="shared" si="39"/>
        <v>5.7500000000582077</v>
      </c>
      <c r="E95" s="154" t="str">
        <f t="shared" si="40"/>
        <v/>
      </c>
      <c r="F95" s="155">
        <f t="shared" si="41"/>
        <v>0.23958333333575865</v>
      </c>
      <c r="G95" s="156">
        <v>1263391</v>
      </c>
      <c r="H95" s="157" t="s">
        <v>520</v>
      </c>
      <c r="I95" s="157" t="s">
        <v>525</v>
      </c>
      <c r="J95" s="151">
        <v>349447.06</v>
      </c>
      <c r="K95" s="151" t="s">
        <v>526</v>
      </c>
      <c r="L95" s="151" t="s">
        <v>515</v>
      </c>
      <c r="M95" s="151">
        <v>13</v>
      </c>
      <c r="N95" s="151" t="s">
        <v>419</v>
      </c>
      <c r="O95" s="151" t="s">
        <v>523</v>
      </c>
      <c r="P95" s="151" t="s">
        <v>310</v>
      </c>
      <c r="Q95" s="150" t="s">
        <v>524</v>
      </c>
      <c r="R95" s="151">
        <v>13</v>
      </c>
      <c r="S95" s="158">
        <v>3.16</v>
      </c>
    </row>
    <row r="96" spans="1:19" x14ac:dyDescent="0.2">
      <c r="A96" s="152">
        <f t="shared" si="36"/>
        <v>338733.05</v>
      </c>
      <c r="B96" s="153" t="str">
        <f t="shared" si="37"/>
        <v>Matan2</v>
      </c>
      <c r="C96" s="148" t="str">
        <f t="shared" si="38"/>
        <v>No Work</v>
      </c>
      <c r="D96" s="149">
        <f t="shared" si="39"/>
        <v>1.1166666666395031</v>
      </c>
      <c r="E96" s="154" t="str">
        <f t="shared" si="40"/>
        <v/>
      </c>
      <c r="F96" s="155">
        <f t="shared" si="41"/>
        <v>4.6527777776645962E-2</v>
      </c>
      <c r="H96" s="157" t="s">
        <v>525</v>
      </c>
      <c r="I96" s="157" t="s">
        <v>543</v>
      </c>
      <c r="J96" s="287">
        <v>338733.05</v>
      </c>
      <c r="K96" s="151" t="s">
        <v>584</v>
      </c>
      <c r="L96" s="151" t="s">
        <v>515</v>
      </c>
      <c r="M96" s="151">
        <v>0</v>
      </c>
      <c r="O96" s="151" t="s">
        <v>595</v>
      </c>
      <c r="P96" s="151" t="s">
        <v>596</v>
      </c>
      <c r="Q96" s="150" t="s">
        <v>597</v>
      </c>
      <c r="R96" s="151">
        <v>0</v>
      </c>
      <c r="S96" s="158">
        <v>0</v>
      </c>
    </row>
    <row r="97" spans="1:19" x14ac:dyDescent="0.2">
      <c r="A97" s="152">
        <f t="shared" si="36"/>
        <v>349447.11</v>
      </c>
      <c r="B97" s="153" t="str">
        <f t="shared" si="37"/>
        <v>Matan2</v>
      </c>
      <c r="C97" s="148" t="str">
        <f t="shared" si="38"/>
        <v>Running</v>
      </c>
      <c r="D97" s="149">
        <f t="shared" si="39"/>
        <v>2.2333333332790062</v>
      </c>
      <c r="E97" s="154" t="str">
        <f t="shared" si="40"/>
        <v/>
      </c>
      <c r="F97" s="155">
        <f t="shared" si="41"/>
        <v>9.3055555553291924E-2</v>
      </c>
      <c r="G97" s="156">
        <v>1263393</v>
      </c>
      <c r="H97" s="157" t="s">
        <v>543</v>
      </c>
      <c r="I97" s="157" t="s">
        <v>544</v>
      </c>
      <c r="J97" s="151">
        <v>349447.11</v>
      </c>
      <c r="K97" s="151" t="s">
        <v>526</v>
      </c>
      <c r="L97" s="151" t="s">
        <v>515</v>
      </c>
      <c r="M97" s="151">
        <v>6</v>
      </c>
      <c r="N97" s="151" t="s">
        <v>545</v>
      </c>
      <c r="O97" s="151" t="s">
        <v>523</v>
      </c>
      <c r="P97" s="151" t="s">
        <v>310</v>
      </c>
      <c r="Q97" s="150" t="s">
        <v>524</v>
      </c>
      <c r="R97" s="151">
        <v>12</v>
      </c>
      <c r="S97" s="158">
        <v>3</v>
      </c>
    </row>
    <row r="98" spans="1:19" x14ac:dyDescent="0.2">
      <c r="A98" s="152">
        <f t="shared" si="36"/>
        <v>338733.05</v>
      </c>
      <c r="B98" s="153" t="str">
        <f t="shared" si="37"/>
        <v>Matan2</v>
      </c>
      <c r="C98" s="148" t="str">
        <f t="shared" si="38"/>
        <v>Maintenance</v>
      </c>
      <c r="D98" s="149">
        <f t="shared" si="39"/>
        <v>0.25000000011641532</v>
      </c>
      <c r="E98" s="154" t="str">
        <f t="shared" si="40"/>
        <v/>
      </c>
      <c r="F98" s="155">
        <f t="shared" si="41"/>
        <v>1.0416666671517305E-2</v>
      </c>
      <c r="H98" s="157" t="s">
        <v>544</v>
      </c>
      <c r="I98" s="157" t="s">
        <v>550</v>
      </c>
      <c r="J98" s="287">
        <v>338733.05</v>
      </c>
      <c r="K98" s="151" t="s">
        <v>587</v>
      </c>
      <c r="L98" s="151" t="s">
        <v>515</v>
      </c>
      <c r="M98" s="151">
        <v>0</v>
      </c>
      <c r="O98" s="151" t="s">
        <v>595</v>
      </c>
      <c r="P98" s="151" t="s">
        <v>596</v>
      </c>
      <c r="Q98" s="150" t="s">
        <v>597</v>
      </c>
      <c r="R98" s="151">
        <v>0</v>
      </c>
      <c r="S98" s="158">
        <v>0</v>
      </c>
    </row>
    <row r="99" spans="1:19" x14ac:dyDescent="0.2">
      <c r="A99" s="152">
        <f t="shared" si="36"/>
        <v>349447.11</v>
      </c>
      <c r="B99" s="153" t="str">
        <f t="shared" si="37"/>
        <v>Matan2</v>
      </c>
      <c r="C99" s="148" t="str">
        <f t="shared" si="38"/>
        <v>Running</v>
      </c>
      <c r="D99" s="149">
        <f t="shared" si="39"/>
        <v>0.24999999994179234</v>
      </c>
      <c r="E99" s="154" t="str">
        <f t="shared" si="40"/>
        <v/>
      </c>
      <c r="F99" s="155">
        <f t="shared" si="41"/>
        <v>1.0416666664241347E-2</v>
      </c>
      <c r="G99" s="156">
        <v>1263395</v>
      </c>
      <c r="H99" s="157" t="s">
        <v>550</v>
      </c>
      <c r="I99" s="157" t="s">
        <v>547</v>
      </c>
      <c r="J99" s="151">
        <v>349447.11</v>
      </c>
      <c r="K99" s="151" t="s">
        <v>526</v>
      </c>
      <c r="L99" s="151" t="s">
        <v>515</v>
      </c>
      <c r="M99" s="151">
        <v>1</v>
      </c>
      <c r="N99" s="151" t="s">
        <v>551</v>
      </c>
      <c r="O99" s="151" t="s">
        <v>523</v>
      </c>
      <c r="P99" s="151" t="s">
        <v>310</v>
      </c>
      <c r="Q99" s="150" t="s">
        <v>524</v>
      </c>
      <c r="R99" s="151">
        <v>12</v>
      </c>
      <c r="S99" s="158">
        <v>3</v>
      </c>
    </row>
    <row r="100" spans="1:19" x14ac:dyDescent="0.2">
      <c r="A100" s="152">
        <f t="shared" si="36"/>
        <v>338733.05</v>
      </c>
      <c r="B100" s="153" t="str">
        <f t="shared" si="37"/>
        <v>Matan2</v>
      </c>
      <c r="C100" s="148" t="str">
        <f t="shared" si="38"/>
        <v>Maintenance</v>
      </c>
      <c r="D100" s="149">
        <f t="shared" si="39"/>
        <v>0.18333333340706304</v>
      </c>
      <c r="E100" s="154" t="str">
        <f t="shared" si="40"/>
        <v/>
      </c>
      <c r="F100" s="155">
        <f t="shared" si="41"/>
        <v>7.6388888919609599E-3</v>
      </c>
      <c r="H100" s="157" t="s">
        <v>547</v>
      </c>
      <c r="I100" s="157" t="s">
        <v>552</v>
      </c>
      <c r="J100" s="287">
        <v>338733.05</v>
      </c>
      <c r="K100" s="151" t="s">
        <v>587</v>
      </c>
      <c r="L100" s="151" t="s">
        <v>515</v>
      </c>
      <c r="M100" s="151">
        <v>0</v>
      </c>
      <c r="O100" s="151" t="s">
        <v>595</v>
      </c>
      <c r="P100" s="151" t="s">
        <v>596</v>
      </c>
      <c r="Q100" s="150" t="s">
        <v>597</v>
      </c>
      <c r="R100" s="151">
        <v>0</v>
      </c>
      <c r="S100" s="158">
        <v>0</v>
      </c>
    </row>
    <row r="101" spans="1:19" x14ac:dyDescent="0.2">
      <c r="A101" s="152">
        <f t="shared" si="36"/>
        <v>349447.11</v>
      </c>
      <c r="B101" s="153" t="str">
        <f t="shared" si="37"/>
        <v>Matan2</v>
      </c>
      <c r="C101" s="148" t="str">
        <f t="shared" si="38"/>
        <v>Running</v>
      </c>
      <c r="D101" s="149">
        <f t="shared" si="39"/>
        <v>8.3333333255723119E-2</v>
      </c>
      <c r="E101" s="154" t="str">
        <f t="shared" si="40"/>
        <v/>
      </c>
      <c r="F101" s="155">
        <f t="shared" si="41"/>
        <v>3.4722222189884633E-3</v>
      </c>
      <c r="G101" s="156">
        <v>1263401</v>
      </c>
      <c r="H101" s="157" t="s">
        <v>552</v>
      </c>
      <c r="I101" s="157">
        <v>44581.25</v>
      </c>
      <c r="J101" s="151">
        <v>349447.11</v>
      </c>
      <c r="K101" s="151" t="s">
        <v>526</v>
      </c>
      <c r="L101" s="151" t="s">
        <v>383</v>
      </c>
      <c r="M101" s="151">
        <v>6</v>
      </c>
      <c r="N101" s="151" t="s">
        <v>419</v>
      </c>
      <c r="O101" s="151" t="s">
        <v>523</v>
      </c>
      <c r="P101" s="151" t="s">
        <v>310</v>
      </c>
      <c r="Q101" s="150" t="s">
        <v>524</v>
      </c>
      <c r="R101" s="151">
        <v>12</v>
      </c>
      <c r="S101" s="158">
        <v>3</v>
      </c>
    </row>
    <row r="102" spans="1:19" x14ac:dyDescent="0.2">
      <c r="A102" s="152">
        <f t="shared" si="36"/>
        <v>338733.1</v>
      </c>
      <c r="B102" s="153" t="str">
        <f t="shared" si="37"/>
        <v>PlastGrommet</v>
      </c>
      <c r="C102" s="148" t="str">
        <f t="shared" si="38"/>
        <v>Breakdown</v>
      </c>
      <c r="D102" s="149">
        <f t="shared" si="39"/>
        <v>12</v>
      </c>
      <c r="E102" s="154" t="str">
        <f t="shared" si="40"/>
        <v/>
      </c>
      <c r="F102" s="155">
        <f t="shared" si="41"/>
        <v>0.5</v>
      </c>
      <c r="H102" s="157">
        <v>44580.25</v>
      </c>
      <c r="I102" s="157">
        <v>44580.75</v>
      </c>
      <c r="J102" s="287">
        <v>338733.1</v>
      </c>
      <c r="K102" s="151" t="s">
        <v>588</v>
      </c>
      <c r="M102" s="151">
        <v>0</v>
      </c>
      <c r="O102" s="151" t="s">
        <v>595</v>
      </c>
      <c r="P102" s="151" t="s">
        <v>596</v>
      </c>
      <c r="Q102" s="150" t="s">
        <v>597</v>
      </c>
      <c r="R102" s="151">
        <v>0</v>
      </c>
      <c r="S102" s="158">
        <v>0</v>
      </c>
    </row>
    <row r="103" spans="1:19" x14ac:dyDescent="0.2">
      <c r="A103" s="152">
        <f t="shared" si="36"/>
        <v>338733.1</v>
      </c>
      <c r="B103" s="153" t="str">
        <f t="shared" si="37"/>
        <v>PlastGrommet</v>
      </c>
      <c r="C103" s="148" t="str">
        <f t="shared" si="38"/>
        <v>Not Planned</v>
      </c>
      <c r="D103" s="149">
        <f t="shared" si="39"/>
        <v>12</v>
      </c>
      <c r="E103" s="154" t="str">
        <f t="shared" si="40"/>
        <v/>
      </c>
      <c r="F103" s="155">
        <f t="shared" si="41"/>
        <v>0.5</v>
      </c>
      <c r="H103" s="157">
        <v>44580.75</v>
      </c>
      <c r="I103" s="157">
        <v>44581.25</v>
      </c>
      <c r="J103" s="287">
        <v>338733.1</v>
      </c>
      <c r="K103" s="151" t="s">
        <v>589</v>
      </c>
      <c r="M103" s="151">
        <v>0</v>
      </c>
      <c r="O103" s="151" t="s">
        <v>595</v>
      </c>
      <c r="P103" s="151" t="s">
        <v>596</v>
      </c>
      <c r="Q103" s="150" t="s">
        <v>597</v>
      </c>
      <c r="R103" s="151">
        <v>0</v>
      </c>
      <c r="S103" s="158">
        <v>0</v>
      </c>
    </row>
    <row r="104" spans="1:19" x14ac:dyDescent="0.2">
      <c r="A104" s="152">
        <f t="shared" si="36"/>
        <v>349247.01</v>
      </c>
      <c r="B104" s="153" t="str">
        <f t="shared" si="37"/>
        <v>ZUNDL</v>
      </c>
      <c r="C104" s="148" t="str">
        <f t="shared" si="38"/>
        <v>Running</v>
      </c>
      <c r="D104" s="149">
        <f t="shared" si="39"/>
        <v>0.76666666672099382</v>
      </c>
      <c r="E104" s="154" t="str">
        <f t="shared" si="40"/>
        <v/>
      </c>
      <c r="F104" s="155">
        <f t="shared" si="41"/>
        <v>3.1944444446708076E-2</v>
      </c>
      <c r="G104" s="156">
        <v>1262713</v>
      </c>
      <c r="H104" s="157">
        <v>44580.25</v>
      </c>
      <c r="I104" s="157" t="s">
        <v>394</v>
      </c>
      <c r="J104" s="151">
        <v>349247.01</v>
      </c>
      <c r="K104" s="151" t="s">
        <v>395</v>
      </c>
      <c r="L104" s="151" t="s">
        <v>396</v>
      </c>
      <c r="M104" s="151">
        <v>10</v>
      </c>
      <c r="O104" s="151" t="s">
        <v>325</v>
      </c>
      <c r="P104" s="151" t="s">
        <v>326</v>
      </c>
      <c r="Q104" s="150" t="s">
        <v>397</v>
      </c>
      <c r="R104" s="151">
        <v>4000</v>
      </c>
      <c r="S104" s="158">
        <v>33.979999999999997</v>
      </c>
    </row>
    <row r="105" spans="1:19" x14ac:dyDescent="0.2">
      <c r="A105" s="152">
        <f t="shared" si="36"/>
        <v>349247.01</v>
      </c>
      <c r="B105" s="153" t="str">
        <f t="shared" si="37"/>
        <v>ZUNDL</v>
      </c>
      <c r="C105" s="148" t="str">
        <f t="shared" si="38"/>
        <v>Running</v>
      </c>
      <c r="D105" s="149">
        <f t="shared" si="39"/>
        <v>1.8833333333604969</v>
      </c>
      <c r="E105" s="154" t="str">
        <f t="shared" si="40"/>
        <v/>
      </c>
      <c r="F105" s="155">
        <f t="shared" si="41"/>
        <v>7.8472222223354038E-2</v>
      </c>
      <c r="G105" s="156">
        <v>1262729</v>
      </c>
      <c r="H105" s="157" t="s">
        <v>394</v>
      </c>
      <c r="I105" s="157" t="s">
        <v>404</v>
      </c>
      <c r="J105" s="151">
        <v>349247.01</v>
      </c>
      <c r="K105" s="151" t="s">
        <v>395</v>
      </c>
      <c r="L105" s="151" t="s">
        <v>387</v>
      </c>
      <c r="M105" s="151">
        <v>30</v>
      </c>
      <c r="O105" s="151" t="s">
        <v>325</v>
      </c>
      <c r="P105" s="151" t="s">
        <v>326</v>
      </c>
      <c r="Q105" s="150" t="s">
        <v>397</v>
      </c>
      <c r="R105" s="151">
        <v>4000</v>
      </c>
      <c r="S105" s="158">
        <v>33.979999999999997</v>
      </c>
    </row>
    <row r="106" spans="1:19" x14ac:dyDescent="0.2">
      <c r="A106" s="152">
        <f t="shared" si="36"/>
        <v>349247.01</v>
      </c>
      <c r="B106" s="153" t="str">
        <f t="shared" si="37"/>
        <v>ZUNDL</v>
      </c>
      <c r="C106" s="148" t="str">
        <f t="shared" si="38"/>
        <v>Running</v>
      </c>
      <c r="D106" s="149">
        <f t="shared" si="39"/>
        <v>1.3000000000465661</v>
      </c>
      <c r="E106" s="154" t="str">
        <f t="shared" si="40"/>
        <v/>
      </c>
      <c r="F106" s="155">
        <f t="shared" si="41"/>
        <v>5.4166666668606922E-2</v>
      </c>
      <c r="G106" s="156">
        <v>1262803</v>
      </c>
      <c r="H106" s="157" t="s">
        <v>431</v>
      </c>
      <c r="I106" s="157" t="s">
        <v>432</v>
      </c>
      <c r="J106" s="151">
        <v>349247.01</v>
      </c>
      <c r="K106" s="151" t="s">
        <v>395</v>
      </c>
      <c r="L106" s="151" t="s">
        <v>396</v>
      </c>
      <c r="M106" s="151">
        <v>30</v>
      </c>
      <c r="O106" s="151" t="s">
        <v>325</v>
      </c>
      <c r="P106" s="151" t="s">
        <v>326</v>
      </c>
      <c r="Q106" s="150" t="s">
        <v>397</v>
      </c>
      <c r="R106" s="151">
        <v>4000</v>
      </c>
      <c r="S106" s="158">
        <v>33.979999999999997</v>
      </c>
    </row>
    <row r="107" spans="1:19" x14ac:dyDescent="0.2">
      <c r="A107" s="152">
        <f t="shared" si="36"/>
        <v>338733.15</v>
      </c>
      <c r="B107" s="153" t="str">
        <f t="shared" si="37"/>
        <v>ZUNDL</v>
      </c>
      <c r="C107" s="148" t="str">
        <f t="shared" si="38"/>
        <v>No Work</v>
      </c>
      <c r="D107" s="149">
        <f t="shared" si="39"/>
        <v>5.1000000000349246</v>
      </c>
      <c r="E107" s="154" t="str">
        <f t="shared" si="40"/>
        <v/>
      </c>
      <c r="F107" s="155">
        <f t="shared" si="41"/>
        <v>0.21250000000145519</v>
      </c>
      <c r="H107" s="157" t="s">
        <v>432</v>
      </c>
      <c r="I107" s="157" t="s">
        <v>486</v>
      </c>
      <c r="J107" s="287">
        <v>338733.15</v>
      </c>
      <c r="K107" s="151" t="s">
        <v>590</v>
      </c>
      <c r="L107" s="151" t="s">
        <v>396</v>
      </c>
      <c r="M107" s="151">
        <v>0</v>
      </c>
      <c r="O107" s="151" t="s">
        <v>595</v>
      </c>
      <c r="P107" s="151" t="s">
        <v>596</v>
      </c>
      <c r="Q107" s="150" t="s">
        <v>597</v>
      </c>
      <c r="R107" s="151">
        <v>0</v>
      </c>
      <c r="S107" s="158">
        <v>0</v>
      </c>
    </row>
    <row r="108" spans="1:19" x14ac:dyDescent="0.2">
      <c r="A108" s="152">
        <f t="shared" si="36"/>
        <v>349069.01</v>
      </c>
      <c r="B108" s="153" t="str">
        <f t="shared" si="37"/>
        <v>ZUNDL</v>
      </c>
      <c r="C108" s="148" t="str">
        <f t="shared" si="38"/>
        <v>Running</v>
      </c>
      <c r="D108" s="149">
        <f t="shared" si="39"/>
        <v>2.7499999998835847</v>
      </c>
      <c r="E108" s="154" t="str">
        <f t="shared" si="40"/>
        <v/>
      </c>
      <c r="F108" s="155">
        <f t="shared" si="41"/>
        <v>0.11458333332848269</v>
      </c>
      <c r="G108" s="156">
        <v>1263378</v>
      </c>
      <c r="H108" s="157" t="s">
        <v>486</v>
      </c>
      <c r="I108" s="157" t="s">
        <v>487</v>
      </c>
      <c r="J108" s="151">
        <v>349069.01</v>
      </c>
      <c r="K108" s="151" t="s">
        <v>395</v>
      </c>
      <c r="L108" s="151" t="s">
        <v>396</v>
      </c>
      <c r="M108" s="151">
        <v>62</v>
      </c>
      <c r="O108" s="151" t="s">
        <v>325</v>
      </c>
      <c r="P108" s="151" t="s">
        <v>326</v>
      </c>
      <c r="Q108" s="150" t="s">
        <v>397</v>
      </c>
      <c r="R108" s="151">
        <v>12320</v>
      </c>
      <c r="S108" s="158">
        <v>102.83</v>
      </c>
    </row>
    <row r="109" spans="1:19" x14ac:dyDescent="0.2">
      <c r="A109" s="152">
        <f t="shared" si="36"/>
        <v>338733.15</v>
      </c>
      <c r="B109" s="153" t="str">
        <f t="shared" si="37"/>
        <v>ZUNDL</v>
      </c>
      <c r="C109" s="148" t="str">
        <f t="shared" si="38"/>
        <v>Maintenance</v>
      </c>
      <c r="D109" s="149">
        <f t="shared" si="39"/>
        <v>0.2333333333954215</v>
      </c>
      <c r="E109" s="154" t="str">
        <f t="shared" si="40"/>
        <v/>
      </c>
      <c r="F109" s="155">
        <f t="shared" si="41"/>
        <v>9.7222222248092294E-3</v>
      </c>
      <c r="H109" s="157" t="s">
        <v>487</v>
      </c>
      <c r="I109" s="157" t="s">
        <v>510</v>
      </c>
      <c r="J109" s="287">
        <v>338733.15</v>
      </c>
      <c r="K109" s="151" t="s">
        <v>591</v>
      </c>
      <c r="L109" s="151" t="s">
        <v>396</v>
      </c>
      <c r="M109" s="151">
        <v>0</v>
      </c>
      <c r="O109" s="151" t="s">
        <v>595</v>
      </c>
      <c r="P109" s="151" t="s">
        <v>596</v>
      </c>
      <c r="Q109" s="150" t="s">
        <v>597</v>
      </c>
      <c r="R109" s="151">
        <v>0</v>
      </c>
      <c r="S109" s="158">
        <v>0</v>
      </c>
    </row>
    <row r="110" spans="1:19" x14ac:dyDescent="0.2">
      <c r="A110" s="152">
        <f t="shared" si="36"/>
        <v>349069.01</v>
      </c>
      <c r="B110" s="153" t="str">
        <f t="shared" si="37"/>
        <v>ZUNDL</v>
      </c>
      <c r="C110" s="148" t="str">
        <f t="shared" si="38"/>
        <v>Running</v>
      </c>
      <c r="D110" s="149">
        <f t="shared" si="39"/>
        <v>11.783333333325572</v>
      </c>
      <c r="E110" s="154" t="str">
        <f t="shared" si="40"/>
        <v/>
      </c>
      <c r="F110" s="155">
        <f t="shared" si="41"/>
        <v>0.49097222222189885</v>
      </c>
      <c r="G110" s="156">
        <v>1263398</v>
      </c>
      <c r="H110" s="157" t="s">
        <v>510</v>
      </c>
      <c r="I110" s="157" t="s">
        <v>511</v>
      </c>
      <c r="J110" s="151">
        <v>349069.01</v>
      </c>
      <c r="K110" s="151" t="s">
        <v>395</v>
      </c>
      <c r="L110" s="151" t="s">
        <v>512</v>
      </c>
      <c r="M110" s="151">
        <v>837</v>
      </c>
      <c r="O110" s="151" t="s">
        <v>325</v>
      </c>
      <c r="P110" s="151" t="s">
        <v>326</v>
      </c>
      <c r="Q110" s="150" t="s">
        <v>397</v>
      </c>
      <c r="R110" s="151">
        <v>12320</v>
      </c>
      <c r="S110" s="158">
        <v>102.83</v>
      </c>
    </row>
    <row r="111" spans="1:19" x14ac:dyDescent="0.2">
      <c r="A111" s="152">
        <f t="shared" si="36"/>
        <v>338733.15</v>
      </c>
      <c r="B111" s="153" t="str">
        <f t="shared" si="37"/>
        <v>ZUNDL</v>
      </c>
      <c r="C111" s="148" t="str">
        <f t="shared" si="38"/>
        <v>Maintenance</v>
      </c>
      <c r="D111" s="149">
        <f t="shared" si="39"/>
        <v>0.16666666668606922</v>
      </c>
      <c r="E111" s="154" t="str">
        <f t="shared" si="40"/>
        <v/>
      </c>
      <c r="F111" s="155">
        <f t="shared" si="41"/>
        <v>6.9444444452528842E-3</v>
      </c>
      <c r="H111" s="157" t="s">
        <v>511</v>
      </c>
      <c r="I111" s="157">
        <v>44581.25</v>
      </c>
      <c r="J111" s="287">
        <v>338733.15</v>
      </c>
      <c r="K111" s="151" t="s">
        <v>591</v>
      </c>
      <c r="L111" s="151" t="s">
        <v>512</v>
      </c>
      <c r="M111" s="151">
        <v>0</v>
      </c>
      <c r="O111" s="151" t="s">
        <v>595</v>
      </c>
      <c r="P111" s="151" t="s">
        <v>596</v>
      </c>
      <c r="Q111" s="150" t="s">
        <v>597</v>
      </c>
      <c r="R111" s="151">
        <v>0</v>
      </c>
      <c r="S111" s="158">
        <v>0</v>
      </c>
    </row>
    <row r="112" spans="1:19" x14ac:dyDescent="0.2">
      <c r="A112" s="152">
        <f t="shared" si="36"/>
        <v>349125</v>
      </c>
      <c r="B112" s="153" t="str">
        <f t="shared" si="37"/>
        <v>ZUNDXL</v>
      </c>
      <c r="C112" s="148" t="str">
        <f t="shared" si="38"/>
        <v>Running</v>
      </c>
      <c r="D112" s="149">
        <f t="shared" si="39"/>
        <v>7.5</v>
      </c>
      <c r="E112" s="154" t="str">
        <f t="shared" si="40"/>
        <v/>
      </c>
      <c r="F112" s="155">
        <f t="shared" si="41"/>
        <v>0.3125</v>
      </c>
      <c r="G112" s="151">
        <v>1263049</v>
      </c>
      <c r="H112" s="157">
        <v>44580.25</v>
      </c>
      <c r="I112" s="157" t="s">
        <v>388</v>
      </c>
      <c r="J112" s="151">
        <v>349125</v>
      </c>
      <c r="K112" s="151" t="s">
        <v>389</v>
      </c>
      <c r="L112" s="151" t="s">
        <v>390</v>
      </c>
      <c r="M112" s="151">
        <v>1500</v>
      </c>
      <c r="O112" s="151" t="s">
        <v>370</v>
      </c>
      <c r="P112" s="151" t="s">
        <v>371</v>
      </c>
      <c r="Q112" s="151" t="s">
        <v>373</v>
      </c>
      <c r="R112" s="151">
        <v>3692</v>
      </c>
      <c r="S112" s="151">
        <v>18.5</v>
      </c>
    </row>
    <row r="113" spans="1:19" x14ac:dyDescent="0.2">
      <c r="A113" s="152">
        <f t="shared" si="36"/>
        <v>338733.15</v>
      </c>
      <c r="B113" s="153" t="str">
        <f t="shared" si="37"/>
        <v>ZUNDXL</v>
      </c>
      <c r="C113" s="148" t="str">
        <f t="shared" si="38"/>
        <v>No Work</v>
      </c>
      <c r="D113" s="149">
        <f t="shared" si="39"/>
        <v>1.3833333333022892</v>
      </c>
      <c r="E113" s="154" t="str">
        <f t="shared" si="40"/>
        <v/>
      </c>
      <c r="F113" s="155">
        <f t="shared" si="41"/>
        <v>5.7638888887595385E-2</v>
      </c>
      <c r="G113" s="151"/>
      <c r="H113" s="157" t="s">
        <v>388</v>
      </c>
      <c r="I113" s="157" t="s">
        <v>483</v>
      </c>
      <c r="J113" s="287">
        <v>338733.15</v>
      </c>
      <c r="K113" s="151" t="s">
        <v>592</v>
      </c>
      <c r="L113" s="151" t="s">
        <v>390</v>
      </c>
      <c r="M113" s="151">
        <v>0</v>
      </c>
      <c r="O113" s="151" t="s">
        <v>595</v>
      </c>
      <c r="P113" s="151" t="s">
        <v>596</v>
      </c>
      <c r="Q113" s="150" t="s">
        <v>597</v>
      </c>
      <c r="R113" s="151">
        <v>0</v>
      </c>
      <c r="S113" s="158">
        <v>0</v>
      </c>
    </row>
    <row r="114" spans="1:19" x14ac:dyDescent="0.2">
      <c r="A114" s="152">
        <f t="shared" si="36"/>
        <v>349358.01</v>
      </c>
      <c r="B114" s="153" t="str">
        <f t="shared" si="37"/>
        <v>ZUNDXL</v>
      </c>
      <c r="C114" s="148" t="str">
        <f t="shared" si="38"/>
        <v>Running</v>
      </c>
      <c r="D114" s="149">
        <f t="shared" si="39"/>
        <v>0.63333333330228925</v>
      </c>
      <c r="E114" s="154" t="str">
        <f t="shared" si="40"/>
        <v/>
      </c>
      <c r="F114" s="155">
        <f t="shared" si="41"/>
        <v>2.6388888887595385E-2</v>
      </c>
      <c r="G114" s="156">
        <v>1263222</v>
      </c>
      <c r="H114" s="157" t="s">
        <v>483</v>
      </c>
      <c r="I114" s="157" t="s">
        <v>484</v>
      </c>
      <c r="J114" s="151">
        <v>349358.01</v>
      </c>
      <c r="K114" s="151" t="s">
        <v>389</v>
      </c>
      <c r="L114" s="151" t="s">
        <v>390</v>
      </c>
      <c r="M114" s="151">
        <v>15</v>
      </c>
      <c r="O114" s="151" t="s">
        <v>325</v>
      </c>
      <c r="P114" s="151" t="s">
        <v>485</v>
      </c>
      <c r="Q114" s="150" t="s">
        <v>322</v>
      </c>
      <c r="R114" s="151">
        <v>15</v>
      </c>
      <c r="S114" s="158">
        <v>0.23</v>
      </c>
    </row>
    <row r="115" spans="1:19" x14ac:dyDescent="0.2">
      <c r="A115" s="152">
        <f t="shared" si="36"/>
        <v>349410.01</v>
      </c>
      <c r="B115" s="153" t="str">
        <f t="shared" si="37"/>
        <v>ZUNDXL</v>
      </c>
      <c r="C115" s="148" t="str">
        <f t="shared" si="38"/>
        <v>Running</v>
      </c>
      <c r="D115" s="149">
        <f t="shared" si="39"/>
        <v>9.9999999976716936E-2</v>
      </c>
      <c r="E115" s="154" t="str">
        <f t="shared" si="40"/>
        <v/>
      </c>
      <c r="F115" s="155">
        <f t="shared" si="41"/>
        <v>4.166666665696539E-3</v>
      </c>
      <c r="G115" s="156">
        <v>1263253</v>
      </c>
      <c r="H115" s="157" t="s">
        <v>484</v>
      </c>
      <c r="I115" s="157" t="s">
        <v>493</v>
      </c>
      <c r="J115" s="151">
        <v>349410.01</v>
      </c>
      <c r="K115" s="151" t="s">
        <v>389</v>
      </c>
      <c r="L115" s="151" t="s">
        <v>390</v>
      </c>
      <c r="M115" s="151">
        <v>1</v>
      </c>
      <c r="O115" s="151" t="s">
        <v>325</v>
      </c>
      <c r="P115" s="151" t="s">
        <v>485</v>
      </c>
      <c r="Q115" s="150" t="s">
        <v>322</v>
      </c>
      <c r="R115" s="151">
        <v>1</v>
      </c>
      <c r="S115" s="158">
        <v>0.5</v>
      </c>
    </row>
    <row r="116" spans="1:19" x14ac:dyDescent="0.2">
      <c r="A116" s="152">
        <f t="shared" si="36"/>
        <v>349410.02</v>
      </c>
      <c r="B116" s="153" t="str">
        <f t="shared" si="37"/>
        <v>ZUNDXL</v>
      </c>
      <c r="C116" s="148" t="str">
        <f t="shared" si="38"/>
        <v>Running</v>
      </c>
      <c r="D116" s="149">
        <f t="shared" si="39"/>
        <v>0.10000000015133992</v>
      </c>
      <c r="E116" s="154" t="str">
        <f t="shared" si="40"/>
        <v/>
      </c>
      <c r="F116" s="155">
        <f t="shared" si="41"/>
        <v>4.1666666729724966E-3</v>
      </c>
      <c r="G116" s="156">
        <v>1263254</v>
      </c>
      <c r="H116" s="157" t="s">
        <v>493</v>
      </c>
      <c r="I116" s="157" t="s">
        <v>494</v>
      </c>
      <c r="J116" s="151">
        <v>349410.02</v>
      </c>
      <c r="K116" s="151" t="s">
        <v>389</v>
      </c>
      <c r="L116" s="151" t="s">
        <v>390</v>
      </c>
      <c r="M116" s="151">
        <v>1</v>
      </c>
      <c r="N116" s="151" t="s">
        <v>495</v>
      </c>
      <c r="O116" s="151" t="s">
        <v>325</v>
      </c>
      <c r="P116" s="151" t="s">
        <v>485</v>
      </c>
      <c r="Q116" s="150" t="s">
        <v>322</v>
      </c>
      <c r="R116" s="151">
        <v>1</v>
      </c>
      <c r="S116" s="158">
        <v>0.5</v>
      </c>
    </row>
    <row r="117" spans="1:19" x14ac:dyDescent="0.2">
      <c r="A117" s="152">
        <f t="shared" si="36"/>
        <v>349410.03</v>
      </c>
      <c r="B117" s="153" t="str">
        <f t="shared" si="37"/>
        <v>ZUNDXL</v>
      </c>
      <c r="C117" s="148" t="str">
        <f t="shared" si="38"/>
        <v>Running</v>
      </c>
      <c r="D117" s="149">
        <f t="shared" si="39"/>
        <v>8.3333333255723119E-2</v>
      </c>
      <c r="E117" s="154" t="str">
        <f t="shared" si="40"/>
        <v/>
      </c>
      <c r="F117" s="155">
        <f t="shared" si="41"/>
        <v>3.4722222189884633E-3</v>
      </c>
      <c r="G117" s="156">
        <v>1263256</v>
      </c>
      <c r="H117" s="157" t="s">
        <v>494</v>
      </c>
      <c r="I117" s="157" t="s">
        <v>496</v>
      </c>
      <c r="J117" s="151">
        <v>349410.03</v>
      </c>
      <c r="K117" s="151" t="s">
        <v>389</v>
      </c>
      <c r="L117" s="151" t="s">
        <v>390</v>
      </c>
      <c r="M117" s="151">
        <v>2</v>
      </c>
      <c r="N117" s="151" t="s">
        <v>497</v>
      </c>
      <c r="O117" s="151" t="s">
        <v>325</v>
      </c>
      <c r="P117" s="151" t="s">
        <v>485</v>
      </c>
      <c r="Q117" s="150" t="s">
        <v>322</v>
      </c>
      <c r="R117" s="151">
        <v>2</v>
      </c>
      <c r="S117" s="158">
        <v>0.5</v>
      </c>
    </row>
    <row r="118" spans="1:19" x14ac:dyDescent="0.2">
      <c r="A118" s="152">
        <f t="shared" si="36"/>
        <v>338733.15</v>
      </c>
      <c r="B118" s="153" t="str">
        <f t="shared" si="37"/>
        <v>ZUNDXL</v>
      </c>
      <c r="C118" s="148" t="str">
        <f t="shared" si="38"/>
        <v>Maintenance</v>
      </c>
      <c r="D118" s="149">
        <f t="shared" si="39"/>
        <v>1.1833333333488554</v>
      </c>
      <c r="E118" s="154" t="str">
        <f t="shared" si="40"/>
        <v/>
      </c>
      <c r="F118" s="155">
        <f t="shared" si="41"/>
        <v>4.9305555556202307E-2</v>
      </c>
      <c r="H118" s="157" t="s">
        <v>496</v>
      </c>
      <c r="I118" s="157" t="s">
        <v>508</v>
      </c>
      <c r="J118" s="287">
        <v>338733.15</v>
      </c>
      <c r="K118" s="151" t="s">
        <v>593</v>
      </c>
      <c r="L118" s="151" t="s">
        <v>390</v>
      </c>
      <c r="M118" s="151">
        <v>0</v>
      </c>
      <c r="O118" s="151" t="s">
        <v>595</v>
      </c>
      <c r="P118" s="151" t="s">
        <v>596</v>
      </c>
      <c r="Q118" s="150" t="s">
        <v>597</v>
      </c>
      <c r="R118" s="151">
        <v>0</v>
      </c>
      <c r="S118" s="158">
        <v>0</v>
      </c>
    </row>
    <row r="119" spans="1:19" x14ac:dyDescent="0.2">
      <c r="A119" s="152">
        <f t="shared" si="36"/>
        <v>349458</v>
      </c>
      <c r="B119" s="153" t="str">
        <f t="shared" si="37"/>
        <v>ZUNDXL</v>
      </c>
      <c r="C119" s="148" t="str">
        <f t="shared" si="38"/>
        <v>Running</v>
      </c>
      <c r="D119" s="149">
        <f t="shared" si="39"/>
        <v>8.3333333255723119E-2</v>
      </c>
      <c r="E119" s="154" t="str">
        <f t="shared" si="40"/>
        <v/>
      </c>
      <c r="F119" s="155">
        <f t="shared" si="41"/>
        <v>3.4722222189884633E-3</v>
      </c>
      <c r="G119" s="156">
        <v>1263373</v>
      </c>
      <c r="H119" s="157" t="s">
        <v>508</v>
      </c>
      <c r="I119" s="157" t="s">
        <v>509</v>
      </c>
      <c r="J119" s="151">
        <v>349458</v>
      </c>
      <c r="K119" s="151" t="s">
        <v>389</v>
      </c>
      <c r="L119" s="151" t="s">
        <v>390</v>
      </c>
      <c r="M119" s="151">
        <v>1</v>
      </c>
      <c r="O119" s="151" t="s">
        <v>325</v>
      </c>
      <c r="P119" s="151" t="s">
        <v>326</v>
      </c>
      <c r="Q119" s="150" t="s">
        <v>315</v>
      </c>
      <c r="R119" s="151">
        <v>1</v>
      </c>
      <c r="S119" s="158">
        <v>0.85</v>
      </c>
    </row>
    <row r="120" spans="1:19" x14ac:dyDescent="0.2">
      <c r="A120" s="152">
        <f t="shared" si="36"/>
        <v>338733.15</v>
      </c>
      <c r="B120" s="153" t="str">
        <f t="shared" si="37"/>
        <v>ZUNDXL</v>
      </c>
      <c r="C120" s="148" t="str">
        <f t="shared" si="38"/>
        <v>Maintenance</v>
      </c>
      <c r="D120" s="149">
        <f t="shared" si="39"/>
        <v>0.93333333340706304</v>
      </c>
      <c r="E120" s="154" t="str">
        <f t="shared" si="40"/>
        <v/>
      </c>
      <c r="F120" s="155">
        <f t="shared" si="41"/>
        <v>3.888888889196096E-2</v>
      </c>
      <c r="H120" s="157" t="s">
        <v>509</v>
      </c>
      <c r="I120" s="157">
        <v>44580.75</v>
      </c>
      <c r="J120" s="287">
        <v>338733.15</v>
      </c>
      <c r="K120" s="151" t="s">
        <v>593</v>
      </c>
      <c r="L120" s="151" t="s">
        <v>390</v>
      </c>
      <c r="M120" s="151">
        <v>0</v>
      </c>
      <c r="O120" s="151" t="s">
        <v>595</v>
      </c>
      <c r="P120" s="151" t="s">
        <v>596</v>
      </c>
      <c r="Q120" s="150" t="s">
        <v>597</v>
      </c>
      <c r="R120" s="151">
        <v>0</v>
      </c>
      <c r="S120" s="158">
        <v>0</v>
      </c>
    </row>
    <row r="121" spans="1:19" x14ac:dyDescent="0.2">
      <c r="A121" s="152">
        <f t="shared" si="36"/>
        <v>338733.15</v>
      </c>
      <c r="B121" s="153" t="str">
        <f t="shared" si="37"/>
        <v>ZUNDXL</v>
      </c>
      <c r="C121" s="148" t="str">
        <f t="shared" si="38"/>
        <v>Not Planned</v>
      </c>
      <c r="D121" s="149">
        <f t="shared" si="39"/>
        <v>12</v>
      </c>
      <c r="E121" s="154" t="str">
        <f t="shared" si="40"/>
        <v/>
      </c>
      <c r="F121" s="155">
        <f t="shared" si="41"/>
        <v>0.5</v>
      </c>
      <c r="H121" s="157">
        <v>44580.75</v>
      </c>
      <c r="I121" s="157">
        <v>44581.25</v>
      </c>
      <c r="J121" s="287">
        <v>338733.15</v>
      </c>
      <c r="K121" s="151" t="s">
        <v>594</v>
      </c>
      <c r="L121" s="151" t="s">
        <v>390</v>
      </c>
      <c r="M121" s="151">
        <v>0</v>
      </c>
      <c r="O121" s="151" t="s">
        <v>595</v>
      </c>
      <c r="P121" s="151" t="s">
        <v>596</v>
      </c>
      <c r="Q121" s="150" t="s">
        <v>597</v>
      </c>
      <c r="R121" s="151">
        <v>0</v>
      </c>
      <c r="S121" s="158">
        <v>0</v>
      </c>
    </row>
  </sheetData>
  <autoFilter ref="A1:T121" xr:uid="{CB6C051C-8226-C142-AF37-434B07F217FB}"/>
  <phoneticPr fontId="14" type="noConversion"/>
  <conditionalFormatting sqref="G1:G1048576">
    <cfRule type="duplicateValues" dxfId="65" priority="59"/>
    <cfRule type="duplicateValues" dxfId="64" priority="60"/>
  </conditionalFormatting>
  <conditionalFormatting sqref="S1:S77 S79:S1048576">
    <cfRule type="containsText" dxfId="63" priority="2" operator="containsText" text="NULL">
      <formula>NOT(ISERROR(SEARCH("NULL",S1)))</formula>
    </cfRule>
  </conditionalFormatting>
  <conditionalFormatting sqref="S78">
    <cfRule type="containsText" dxfId="62" priority="1" operator="containsText" text="NULL">
      <formula>NOT(ISERROR(SEARCH("NULL",S78)))</formula>
    </cfRule>
  </conditionalFormatting>
  <pageMargins left="0.7" right="0.7" top="0.75" bottom="0.75" header="0.3" footer="0.3"/>
  <pageSetup paperSize="9" scale="25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455-95A0-0445-87B5-ED6EEAD5EC7D}">
  <dimension ref="A1:AA171"/>
  <sheetViews>
    <sheetView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Y172" sqref="Y172"/>
    </sheetView>
  </sheetViews>
  <sheetFormatPr baseColWidth="10" defaultRowHeight="15" x14ac:dyDescent="0.2"/>
  <cols>
    <col min="1" max="3" width="15.59765625" style="35" customWidth="1"/>
    <col min="4" max="4" width="14.19921875" style="35" customWidth="1"/>
    <col min="5" max="7" width="20.796875" style="35" customWidth="1"/>
    <col min="8" max="8" width="84.59765625" style="35" customWidth="1"/>
    <col min="9" max="9" width="30" style="35" customWidth="1"/>
    <col min="10" max="11" width="20.796875" style="62" customWidth="1"/>
    <col min="12" max="12" width="20" style="63" customWidth="1"/>
    <col min="13" max="13" width="20.59765625" style="62" customWidth="1"/>
    <col min="14" max="23" width="20.796875" style="62" customWidth="1"/>
    <col min="24" max="24" width="20.796875" style="63" customWidth="1"/>
    <col min="25" max="25" width="17.796875" style="38" customWidth="1"/>
    <col min="26" max="26" width="15" style="38" customWidth="1"/>
    <col min="27" max="27" width="17.19921875" customWidth="1"/>
    <col min="28" max="66" width="16.19921875" style="35" customWidth="1"/>
    <col min="67" max="16384" width="11" style="35"/>
  </cols>
  <sheetData>
    <row r="1" spans="1:26" s="36" customFormat="1" ht="16" x14ac:dyDescent="0.2">
      <c r="A1" s="42" t="s">
        <v>61</v>
      </c>
      <c r="B1" s="42" t="s">
        <v>74</v>
      </c>
      <c r="C1" s="42" t="s">
        <v>50</v>
      </c>
      <c r="D1" s="42" t="s">
        <v>62</v>
      </c>
      <c r="E1" s="42" t="s">
        <v>75</v>
      </c>
      <c r="F1" s="42" t="s">
        <v>106</v>
      </c>
      <c r="G1" s="42" t="s">
        <v>15</v>
      </c>
      <c r="H1" s="42" t="s">
        <v>107</v>
      </c>
      <c r="I1" s="42" t="s">
        <v>108</v>
      </c>
      <c r="J1" s="60" t="s">
        <v>63</v>
      </c>
      <c r="K1" s="60" t="s">
        <v>64</v>
      </c>
      <c r="L1" s="61" t="s">
        <v>120</v>
      </c>
      <c r="M1" s="60" t="s">
        <v>65</v>
      </c>
      <c r="N1" s="60" t="s">
        <v>76</v>
      </c>
      <c r="O1" s="60" t="s">
        <v>66</v>
      </c>
      <c r="P1" s="60" t="s">
        <v>67</v>
      </c>
      <c r="Q1" s="60" t="s">
        <v>77</v>
      </c>
      <c r="R1" s="60" t="s">
        <v>68</v>
      </c>
      <c r="S1" s="60" t="s">
        <v>69</v>
      </c>
      <c r="T1" s="60" t="s">
        <v>70</v>
      </c>
      <c r="U1" s="60" t="s">
        <v>71</v>
      </c>
      <c r="V1" s="60" t="s">
        <v>72</v>
      </c>
      <c r="W1" s="60" t="s">
        <v>150</v>
      </c>
      <c r="X1" s="61" t="s">
        <v>78</v>
      </c>
      <c r="Y1" s="37" t="s">
        <v>54</v>
      </c>
      <c r="Z1" s="37" t="s">
        <v>38</v>
      </c>
    </row>
    <row r="2" spans="1:26" x14ac:dyDescent="0.2">
      <c r="A2" s="269">
        <v>121836</v>
      </c>
      <c r="B2" s="35" t="s">
        <v>301</v>
      </c>
      <c r="C2" s="269">
        <v>349312.04</v>
      </c>
      <c r="D2" s="35">
        <v>74198</v>
      </c>
      <c r="E2" s="35" t="s">
        <v>302</v>
      </c>
      <c r="F2" s="35" t="s">
        <v>303</v>
      </c>
      <c r="G2" s="35" t="s">
        <v>304</v>
      </c>
      <c r="H2" s="35" t="s">
        <v>305</v>
      </c>
      <c r="I2" s="35" t="s">
        <v>306</v>
      </c>
      <c r="J2" s="62">
        <v>44572.554409722223</v>
      </c>
      <c r="K2" s="62">
        <v>44572.561122685183</v>
      </c>
      <c r="L2" s="63">
        <v>44580.708333333336</v>
      </c>
      <c r="M2" s="62">
        <v>44580.708333333336</v>
      </c>
      <c r="T2" s="62">
        <v>44574.647141203706</v>
      </c>
      <c r="U2" s="62">
        <v>44575.721736111111</v>
      </c>
      <c r="V2" s="62">
        <v>44580.650185185186</v>
      </c>
      <c r="W2" s="62">
        <v>44580</v>
      </c>
      <c r="X2" s="63">
        <v>44580</v>
      </c>
      <c r="Y2" s="38" t="s">
        <v>24</v>
      </c>
      <c r="Z2" s="62" t="str">
        <f>IF(INT(X2)&gt;INT(M2),"Late","On Time")</f>
        <v>On Time</v>
      </c>
    </row>
    <row r="3" spans="1:26" x14ac:dyDescent="0.2">
      <c r="A3" s="269">
        <v>122116</v>
      </c>
      <c r="B3" s="35" t="s">
        <v>307</v>
      </c>
      <c r="C3" s="269">
        <v>349408.01</v>
      </c>
      <c r="D3" s="35">
        <v>74368</v>
      </c>
      <c r="E3" s="35" t="s">
        <v>308</v>
      </c>
      <c r="F3" s="35" t="s">
        <v>309</v>
      </c>
      <c r="G3" s="35" t="s">
        <v>310</v>
      </c>
      <c r="H3" s="35" t="s">
        <v>311</v>
      </c>
      <c r="I3" s="35" t="s">
        <v>306</v>
      </c>
      <c r="J3" s="62">
        <v>44578.596041666664</v>
      </c>
      <c r="K3" s="62">
        <v>44578.596273148149</v>
      </c>
      <c r="L3" s="63">
        <v>44581.729166666664</v>
      </c>
      <c r="M3" s="62">
        <v>44581.729166666664</v>
      </c>
      <c r="U3" s="62">
        <v>44578.696435185186</v>
      </c>
      <c r="V3" s="62">
        <v>44580.346597222226</v>
      </c>
      <c r="W3" s="62">
        <v>44580</v>
      </c>
      <c r="X3" s="63">
        <v>44580</v>
      </c>
      <c r="Y3" s="38" t="s">
        <v>122</v>
      </c>
      <c r="Z3" s="62" t="str">
        <f t="shared" ref="Z3:Z41" si="0">IF(INT(X3)&gt;INT(M3),"Late","On Time")</f>
        <v>On Time</v>
      </c>
    </row>
    <row r="4" spans="1:26" x14ac:dyDescent="0.2">
      <c r="A4" s="269">
        <v>122123</v>
      </c>
      <c r="B4" s="35" t="s">
        <v>307</v>
      </c>
      <c r="C4" s="269">
        <v>349411.01</v>
      </c>
      <c r="D4" s="35">
        <v>74380</v>
      </c>
      <c r="E4" s="35" t="s">
        <v>308</v>
      </c>
      <c r="F4" s="35" t="s">
        <v>309</v>
      </c>
      <c r="G4" s="35" t="s">
        <v>310</v>
      </c>
      <c r="H4" s="35" t="s">
        <v>312</v>
      </c>
      <c r="I4" s="35" t="s">
        <v>306</v>
      </c>
      <c r="J4" s="62">
        <v>44578.61142361111</v>
      </c>
      <c r="K4" s="62">
        <v>44578.612314814818</v>
      </c>
      <c r="L4" s="63">
        <v>44581.729166666664</v>
      </c>
      <c r="M4" s="62">
        <v>44581.729166666664</v>
      </c>
      <c r="U4" s="62">
        <v>44578.703703703701</v>
      </c>
      <c r="V4" s="62">
        <v>44580.344525462962</v>
      </c>
      <c r="W4" s="62">
        <v>44580</v>
      </c>
      <c r="X4" s="63">
        <v>44580</v>
      </c>
      <c r="Y4" s="38" t="s">
        <v>122</v>
      </c>
      <c r="Z4" s="62" t="str">
        <f t="shared" si="0"/>
        <v>On Time</v>
      </c>
    </row>
    <row r="5" spans="1:26" x14ac:dyDescent="0.2">
      <c r="A5" s="269">
        <v>122130</v>
      </c>
      <c r="B5" s="35" t="s">
        <v>307</v>
      </c>
      <c r="C5" s="269">
        <v>349413.01</v>
      </c>
      <c r="D5" s="35">
        <v>74386</v>
      </c>
      <c r="E5" s="35" t="s">
        <v>308</v>
      </c>
      <c r="F5" s="35" t="s">
        <v>309</v>
      </c>
      <c r="G5" s="35" t="s">
        <v>310</v>
      </c>
      <c r="H5" s="35" t="s">
        <v>313</v>
      </c>
      <c r="I5" s="35" t="s">
        <v>306</v>
      </c>
      <c r="J5" s="62">
        <v>44578.622013888889</v>
      </c>
      <c r="K5" s="62">
        <v>44578.622141203705</v>
      </c>
      <c r="L5" s="63">
        <v>44581.729166666664</v>
      </c>
      <c r="M5" s="62">
        <v>44581.729166666664</v>
      </c>
      <c r="U5" s="62">
        <v>44579.382905092592</v>
      </c>
      <c r="V5" s="62">
        <v>44580.343124999999</v>
      </c>
      <c r="W5" s="62">
        <v>44580</v>
      </c>
      <c r="X5" s="63">
        <v>44580</v>
      </c>
      <c r="Y5" s="38" t="s">
        <v>121</v>
      </c>
      <c r="Z5" s="62" t="str">
        <f t="shared" si="0"/>
        <v>On Time</v>
      </c>
    </row>
    <row r="6" spans="1:26" x14ac:dyDescent="0.2">
      <c r="A6" s="269">
        <v>122208</v>
      </c>
      <c r="B6" s="35" t="s">
        <v>307</v>
      </c>
      <c r="C6" s="269">
        <v>349435</v>
      </c>
      <c r="D6" s="35">
        <v>74421</v>
      </c>
      <c r="E6" s="35" t="s">
        <v>308</v>
      </c>
      <c r="F6" s="35" t="s">
        <v>309</v>
      </c>
      <c r="G6" s="35" t="s">
        <v>310</v>
      </c>
      <c r="H6" s="35" t="s">
        <v>314</v>
      </c>
      <c r="I6" s="35" t="s">
        <v>315</v>
      </c>
      <c r="J6" s="62">
        <v>44579.514664351853</v>
      </c>
      <c r="K6" s="62">
        <v>44579.514791666668</v>
      </c>
      <c r="L6" s="63">
        <v>44581.729166666664</v>
      </c>
      <c r="M6" s="62">
        <v>44581.729166666664</v>
      </c>
      <c r="U6" s="62">
        <v>44580.365219907406</v>
      </c>
      <c r="W6" s="62">
        <v>44580</v>
      </c>
      <c r="X6" s="63">
        <v>44580</v>
      </c>
      <c r="Y6" s="38" t="s">
        <v>123</v>
      </c>
      <c r="Z6" s="62" t="str">
        <f t="shared" si="0"/>
        <v>On Time</v>
      </c>
    </row>
    <row r="7" spans="1:26" x14ac:dyDescent="0.2">
      <c r="A7" s="269">
        <v>121068</v>
      </c>
      <c r="B7" s="35" t="s">
        <v>307</v>
      </c>
      <c r="C7" s="269">
        <v>348993</v>
      </c>
      <c r="D7" s="35">
        <v>73755</v>
      </c>
      <c r="E7" s="35" t="s">
        <v>308</v>
      </c>
      <c r="F7" s="35" t="s">
        <v>309</v>
      </c>
      <c r="G7" s="35" t="s">
        <v>310</v>
      </c>
      <c r="H7" s="35" t="s">
        <v>316</v>
      </c>
      <c r="I7" s="35" t="s">
        <v>315</v>
      </c>
      <c r="J7" s="62">
        <v>44543.426631944443</v>
      </c>
      <c r="K7" s="62">
        <v>44543.429444444446</v>
      </c>
      <c r="L7" s="63">
        <v>44552.729166666664</v>
      </c>
      <c r="M7" s="62">
        <v>44580.729166666664</v>
      </c>
      <c r="T7" s="62">
        <v>44551.538865740738</v>
      </c>
      <c r="U7" s="62">
        <v>44543.496122685188</v>
      </c>
      <c r="W7" s="62">
        <v>44580</v>
      </c>
      <c r="X7" s="63">
        <v>44580</v>
      </c>
      <c r="Y7" s="38" t="s">
        <v>58</v>
      </c>
      <c r="Z7" s="62" t="str">
        <f t="shared" si="0"/>
        <v>On Time</v>
      </c>
    </row>
    <row r="8" spans="1:26" x14ac:dyDescent="0.2">
      <c r="A8" s="269">
        <v>121837</v>
      </c>
      <c r="B8" s="35" t="s">
        <v>301</v>
      </c>
      <c r="C8" s="269">
        <v>349312.03</v>
      </c>
      <c r="D8" s="35">
        <v>74197</v>
      </c>
      <c r="E8" s="35" t="s">
        <v>302</v>
      </c>
      <c r="F8" s="35" t="s">
        <v>303</v>
      </c>
      <c r="G8" s="35" t="s">
        <v>304</v>
      </c>
      <c r="H8" s="35" t="s">
        <v>317</v>
      </c>
      <c r="I8" s="35" t="s">
        <v>306</v>
      </c>
      <c r="J8" s="62">
        <v>44572.555462962962</v>
      </c>
      <c r="K8" s="62">
        <v>44572.561122685183</v>
      </c>
      <c r="L8" s="63">
        <v>44580.708333333336</v>
      </c>
      <c r="M8" s="62">
        <v>44580.708333333336</v>
      </c>
      <c r="T8" s="62">
        <v>44574.647002314814</v>
      </c>
      <c r="U8" s="62">
        <v>44575.720752314817</v>
      </c>
      <c r="V8" s="62">
        <v>44580.650185185186</v>
      </c>
      <c r="W8" s="62">
        <v>44580</v>
      </c>
      <c r="X8" s="63">
        <v>44580</v>
      </c>
      <c r="Y8" s="38" t="s">
        <v>24</v>
      </c>
      <c r="Z8" s="62" t="str">
        <f t="shared" si="0"/>
        <v>On Time</v>
      </c>
    </row>
    <row r="9" spans="1:26" x14ac:dyDescent="0.2">
      <c r="A9" s="269">
        <v>122072</v>
      </c>
      <c r="B9" s="35" t="s">
        <v>301</v>
      </c>
      <c r="C9" s="269">
        <v>349396</v>
      </c>
      <c r="D9" s="35">
        <v>74350</v>
      </c>
      <c r="E9" s="35" t="s">
        <v>318</v>
      </c>
      <c r="F9" s="35" t="s">
        <v>319</v>
      </c>
      <c r="G9" s="35" t="s">
        <v>320</v>
      </c>
      <c r="H9" s="35" t="s">
        <v>321</v>
      </c>
      <c r="I9" s="35" t="s">
        <v>322</v>
      </c>
      <c r="J9" s="62">
        <v>44578.402071759258</v>
      </c>
      <c r="K9" s="62">
        <v>44578.410868055558</v>
      </c>
      <c r="L9" s="63">
        <v>44581.729166666664</v>
      </c>
      <c r="M9" s="62">
        <v>44581.729166666664</v>
      </c>
      <c r="U9" s="62">
        <v>44578.561307870368</v>
      </c>
      <c r="V9" s="62">
        <v>44580.470509259256</v>
      </c>
      <c r="W9" s="62">
        <v>44580</v>
      </c>
      <c r="X9" s="63">
        <v>44580</v>
      </c>
      <c r="Y9" s="38" t="s">
        <v>123</v>
      </c>
      <c r="Z9" s="62" t="str">
        <f t="shared" si="0"/>
        <v>On Time</v>
      </c>
    </row>
    <row r="10" spans="1:26" x14ac:dyDescent="0.2">
      <c r="A10" s="269">
        <v>122119</v>
      </c>
      <c r="B10" s="35" t="s">
        <v>307</v>
      </c>
      <c r="C10" s="269">
        <v>349409.01</v>
      </c>
      <c r="D10" s="35">
        <v>74371</v>
      </c>
      <c r="E10" s="35" t="s">
        <v>308</v>
      </c>
      <c r="F10" s="35" t="s">
        <v>309</v>
      </c>
      <c r="G10" s="35" t="s">
        <v>310</v>
      </c>
      <c r="H10" s="35" t="s">
        <v>323</v>
      </c>
      <c r="I10" s="35" t="s">
        <v>306</v>
      </c>
      <c r="J10" s="62">
        <v>44578.600289351853</v>
      </c>
      <c r="K10" s="62">
        <v>44578.600439814814</v>
      </c>
      <c r="L10" s="63">
        <v>44581.729166666664</v>
      </c>
      <c r="M10" s="62">
        <v>44581.729166666664</v>
      </c>
      <c r="U10" s="62">
        <v>44578.69431712963</v>
      </c>
      <c r="V10" s="62">
        <v>44580.345636574071</v>
      </c>
      <c r="W10" s="62">
        <v>44580</v>
      </c>
      <c r="X10" s="63">
        <v>44580</v>
      </c>
      <c r="Y10" s="38" t="s">
        <v>122</v>
      </c>
      <c r="Z10" s="62" t="str">
        <f t="shared" si="0"/>
        <v>On Time</v>
      </c>
    </row>
    <row r="11" spans="1:26" x14ac:dyDescent="0.2">
      <c r="A11" s="269">
        <v>121640</v>
      </c>
      <c r="B11" s="35" t="s">
        <v>301</v>
      </c>
      <c r="C11" s="269">
        <v>349247.02</v>
      </c>
      <c r="D11" s="35">
        <v>74098</v>
      </c>
      <c r="E11" s="35" t="s">
        <v>324</v>
      </c>
      <c r="F11" s="35" t="s">
        <v>325</v>
      </c>
      <c r="G11" s="35" t="s">
        <v>326</v>
      </c>
      <c r="H11" s="35" t="s">
        <v>327</v>
      </c>
      <c r="I11" s="35" t="s">
        <v>328</v>
      </c>
      <c r="J11" s="62">
        <v>44566.537592592591</v>
      </c>
      <c r="K11" s="62">
        <v>44567.44458333333</v>
      </c>
      <c r="L11" s="63">
        <v>44580.729166666664</v>
      </c>
      <c r="M11" s="62">
        <v>44580.729166666664</v>
      </c>
      <c r="V11" s="62">
        <v>44580</v>
      </c>
      <c r="W11" s="62">
        <v>44580</v>
      </c>
      <c r="X11" s="63">
        <v>44580</v>
      </c>
      <c r="Y11" s="38" t="s">
        <v>329</v>
      </c>
      <c r="Z11" s="62" t="str">
        <f t="shared" si="0"/>
        <v>On Time</v>
      </c>
    </row>
    <row r="12" spans="1:26" x14ac:dyDescent="0.2">
      <c r="A12" s="269">
        <v>121839</v>
      </c>
      <c r="B12" s="35" t="s">
        <v>301</v>
      </c>
      <c r="C12" s="269">
        <v>349312.01</v>
      </c>
      <c r="D12" s="35">
        <v>74195</v>
      </c>
      <c r="E12" s="35" t="s">
        <v>302</v>
      </c>
      <c r="F12" s="35" t="s">
        <v>303</v>
      </c>
      <c r="G12" s="35" t="s">
        <v>304</v>
      </c>
      <c r="H12" s="35" t="s">
        <v>330</v>
      </c>
      <c r="I12" s="35" t="s">
        <v>306</v>
      </c>
      <c r="J12" s="62">
        <v>44572.558136574073</v>
      </c>
      <c r="K12" s="62">
        <v>44572.561111111114</v>
      </c>
      <c r="L12" s="63">
        <v>44580.708333333336</v>
      </c>
      <c r="M12" s="62">
        <v>44580.708333333336</v>
      </c>
      <c r="T12" s="62">
        <v>44574.64675925926</v>
      </c>
      <c r="U12" s="62">
        <v>44575.720520833333</v>
      </c>
      <c r="V12" s="62">
        <v>44580.650185185186</v>
      </c>
      <c r="W12" s="62">
        <v>44580</v>
      </c>
      <c r="X12" s="63">
        <v>44580</v>
      </c>
      <c r="Y12" s="38" t="s">
        <v>24</v>
      </c>
      <c r="Z12" s="62" t="str">
        <f t="shared" si="0"/>
        <v>On Time</v>
      </c>
    </row>
    <row r="13" spans="1:26" x14ac:dyDescent="0.2">
      <c r="A13" s="269">
        <v>122114</v>
      </c>
      <c r="B13" s="35" t="s">
        <v>307</v>
      </c>
      <c r="C13" s="269">
        <v>349408.03</v>
      </c>
      <c r="D13" s="35">
        <v>74370</v>
      </c>
      <c r="E13" s="35" t="s">
        <v>308</v>
      </c>
      <c r="F13" s="35" t="s">
        <v>309</v>
      </c>
      <c r="G13" s="35" t="s">
        <v>310</v>
      </c>
      <c r="H13" s="35" t="s">
        <v>331</v>
      </c>
      <c r="I13" s="35" t="s">
        <v>328</v>
      </c>
      <c r="J13" s="62">
        <v>44578.595381944448</v>
      </c>
      <c r="K13" s="62">
        <v>44578.596284722225</v>
      </c>
      <c r="L13" s="63">
        <v>44581.729166666664</v>
      </c>
      <c r="M13" s="62">
        <v>44581.729166666664</v>
      </c>
      <c r="V13" s="62">
        <v>44579</v>
      </c>
      <c r="W13" s="62">
        <v>44580</v>
      </c>
      <c r="X13" s="63">
        <v>44580</v>
      </c>
      <c r="Y13" s="38" t="s">
        <v>329</v>
      </c>
      <c r="Z13" s="62" t="str">
        <f t="shared" si="0"/>
        <v>On Time</v>
      </c>
    </row>
    <row r="14" spans="1:26" x14ac:dyDescent="0.2">
      <c r="A14" s="269">
        <v>121928</v>
      </c>
      <c r="B14" s="35" t="s">
        <v>332</v>
      </c>
      <c r="C14" s="269">
        <v>349347</v>
      </c>
      <c r="D14" s="35">
        <v>74277</v>
      </c>
      <c r="E14" s="35" t="s">
        <v>308</v>
      </c>
      <c r="F14" s="35" t="s">
        <v>333</v>
      </c>
      <c r="G14" s="35" t="s">
        <v>334</v>
      </c>
      <c r="H14" s="35" t="s">
        <v>335</v>
      </c>
      <c r="I14" s="35" t="s">
        <v>336</v>
      </c>
      <c r="J14" s="62">
        <v>44573.660937499997</v>
      </c>
      <c r="K14" s="62">
        <v>44573.661087962966</v>
      </c>
      <c r="L14" s="63">
        <v>44581.729166666664</v>
      </c>
      <c r="M14" s="62">
        <v>44581.729166666664</v>
      </c>
      <c r="T14" s="62">
        <v>44575.590578703705</v>
      </c>
      <c r="U14" s="62">
        <v>44575.445104166669</v>
      </c>
      <c r="V14" s="62">
        <v>44579</v>
      </c>
      <c r="W14" s="62">
        <v>44580</v>
      </c>
      <c r="X14" s="63">
        <v>44580</v>
      </c>
      <c r="Y14" s="38" t="s">
        <v>59</v>
      </c>
      <c r="Z14" s="62" t="str">
        <f t="shared" si="0"/>
        <v>On Time</v>
      </c>
    </row>
    <row r="15" spans="1:26" x14ac:dyDescent="0.2">
      <c r="A15" s="269">
        <v>121929</v>
      </c>
      <c r="B15" s="35" t="s">
        <v>332</v>
      </c>
      <c r="C15" s="269">
        <v>349348</v>
      </c>
      <c r="D15" s="35">
        <v>74278</v>
      </c>
      <c r="E15" s="35" t="s">
        <v>308</v>
      </c>
      <c r="F15" s="35" t="s">
        <v>333</v>
      </c>
      <c r="G15" s="35" t="s">
        <v>334</v>
      </c>
      <c r="H15" s="35" t="s">
        <v>337</v>
      </c>
      <c r="I15" s="35" t="s">
        <v>336</v>
      </c>
      <c r="J15" s="62">
        <v>44573.664293981485</v>
      </c>
      <c r="K15" s="62">
        <v>44573.664409722223</v>
      </c>
      <c r="L15" s="63">
        <v>44581.729166666664</v>
      </c>
      <c r="M15" s="62">
        <v>44581.729166666664</v>
      </c>
      <c r="T15" s="62">
        <v>44575.590798611112</v>
      </c>
      <c r="U15" s="62">
        <v>44575.445185185185</v>
      </c>
      <c r="V15" s="62">
        <v>44579</v>
      </c>
      <c r="W15" s="62">
        <v>44580</v>
      </c>
      <c r="X15" s="63">
        <v>44580</v>
      </c>
      <c r="Y15" s="38" t="s">
        <v>380</v>
      </c>
      <c r="Z15" s="62" t="str">
        <f t="shared" si="0"/>
        <v>On Time</v>
      </c>
    </row>
    <row r="16" spans="1:26" x14ac:dyDescent="0.2">
      <c r="A16" s="269">
        <v>122117</v>
      </c>
      <c r="B16" s="35" t="s">
        <v>307</v>
      </c>
      <c r="C16" s="269">
        <v>349409.03</v>
      </c>
      <c r="D16" s="35">
        <v>74373</v>
      </c>
      <c r="E16" s="35" t="s">
        <v>308</v>
      </c>
      <c r="F16" s="35" t="s">
        <v>309</v>
      </c>
      <c r="G16" s="35" t="s">
        <v>310</v>
      </c>
      <c r="H16" s="35" t="s">
        <v>338</v>
      </c>
      <c r="I16" s="35" t="s">
        <v>328</v>
      </c>
      <c r="J16" s="62">
        <v>44578.599872685183</v>
      </c>
      <c r="K16" s="62">
        <v>44578.600451388891</v>
      </c>
      <c r="L16" s="63">
        <v>44581.729166666664</v>
      </c>
      <c r="M16" s="62">
        <v>44581.729166666664</v>
      </c>
      <c r="V16" s="62">
        <v>44579</v>
      </c>
      <c r="W16" s="62">
        <v>44580</v>
      </c>
      <c r="X16" s="63">
        <v>44580</v>
      </c>
      <c r="Y16" s="38" t="s">
        <v>329</v>
      </c>
      <c r="Z16" s="62" t="str">
        <f t="shared" si="0"/>
        <v>On Time</v>
      </c>
    </row>
    <row r="17" spans="1:26" x14ac:dyDescent="0.2">
      <c r="A17" s="269">
        <v>122125</v>
      </c>
      <c r="B17" s="35" t="s">
        <v>307</v>
      </c>
      <c r="C17" s="269">
        <v>349412.03</v>
      </c>
      <c r="D17" s="35">
        <v>74385</v>
      </c>
      <c r="E17" s="35" t="s">
        <v>308</v>
      </c>
      <c r="F17" s="35" t="s">
        <v>309</v>
      </c>
      <c r="G17" s="35" t="s">
        <v>310</v>
      </c>
      <c r="H17" s="35" t="s">
        <v>339</v>
      </c>
      <c r="I17" s="35" t="s">
        <v>328</v>
      </c>
      <c r="J17" s="62">
        <v>44578.618113425924</v>
      </c>
      <c r="K17" s="62">
        <v>44578.618703703702</v>
      </c>
      <c r="L17" s="63">
        <v>44581.729166666664</v>
      </c>
      <c r="M17" s="62">
        <v>44581.729166666664</v>
      </c>
      <c r="V17" s="62">
        <v>44579</v>
      </c>
      <c r="W17" s="62">
        <v>44580</v>
      </c>
      <c r="X17" s="63">
        <v>44580</v>
      </c>
      <c r="Y17" s="38" t="s">
        <v>329</v>
      </c>
      <c r="Z17" s="62" t="str">
        <f t="shared" si="0"/>
        <v>On Time</v>
      </c>
    </row>
    <row r="18" spans="1:26" x14ac:dyDescent="0.2">
      <c r="A18" s="269">
        <v>122128</v>
      </c>
      <c r="B18" s="35" t="s">
        <v>307</v>
      </c>
      <c r="C18" s="269">
        <v>349413.03</v>
      </c>
      <c r="D18" s="35">
        <v>74388</v>
      </c>
      <c r="E18" s="35" t="s">
        <v>308</v>
      </c>
      <c r="F18" s="35" t="s">
        <v>309</v>
      </c>
      <c r="G18" s="35" t="s">
        <v>310</v>
      </c>
      <c r="H18" s="35" t="s">
        <v>340</v>
      </c>
      <c r="I18" s="35" t="s">
        <v>328</v>
      </c>
      <c r="J18" s="62">
        <v>44578.621655092589</v>
      </c>
      <c r="K18" s="62">
        <v>44578.622152777774</v>
      </c>
      <c r="L18" s="63">
        <v>44581.729166666664</v>
      </c>
      <c r="M18" s="62">
        <v>44581.729166666664</v>
      </c>
      <c r="V18" s="62">
        <v>44579</v>
      </c>
      <c r="W18" s="62">
        <v>44580</v>
      </c>
      <c r="X18" s="63">
        <v>44580</v>
      </c>
      <c r="Y18" s="38" t="s">
        <v>329</v>
      </c>
      <c r="Z18" s="62" t="str">
        <f t="shared" si="0"/>
        <v>On Time</v>
      </c>
    </row>
    <row r="19" spans="1:26" x14ac:dyDescent="0.2">
      <c r="A19" s="269">
        <v>122182</v>
      </c>
      <c r="B19" s="35" t="s">
        <v>307</v>
      </c>
      <c r="C19" s="269">
        <v>349428</v>
      </c>
      <c r="D19" s="35">
        <v>74413</v>
      </c>
      <c r="E19" s="35" t="s">
        <v>308</v>
      </c>
      <c r="F19" s="35" t="s">
        <v>309</v>
      </c>
      <c r="G19" s="35" t="s">
        <v>310</v>
      </c>
      <c r="H19" s="35" t="s">
        <v>341</v>
      </c>
      <c r="I19" s="35" t="s">
        <v>315</v>
      </c>
      <c r="J19" s="62">
        <v>44579.377465277779</v>
      </c>
      <c r="K19" s="62">
        <v>44579.377557870372</v>
      </c>
      <c r="L19" s="63">
        <v>44581.729166666664</v>
      </c>
      <c r="M19" s="62">
        <v>44581.729166666664</v>
      </c>
      <c r="U19" s="62">
        <v>44580.37190972222</v>
      </c>
      <c r="V19" s="62">
        <v>44580.48847222222</v>
      </c>
      <c r="W19" s="62">
        <v>44580</v>
      </c>
      <c r="X19" s="63">
        <v>44580</v>
      </c>
      <c r="Y19" s="38" t="s">
        <v>123</v>
      </c>
      <c r="Z19" s="62" t="str">
        <f t="shared" si="0"/>
        <v>On Time</v>
      </c>
    </row>
    <row r="20" spans="1:26" x14ac:dyDescent="0.2">
      <c r="A20" s="35">
        <v>121727</v>
      </c>
      <c r="B20" s="35" t="s">
        <v>307</v>
      </c>
      <c r="C20" s="35">
        <v>349361</v>
      </c>
      <c r="D20" s="35">
        <v>74297</v>
      </c>
      <c r="E20" s="35" t="s">
        <v>342</v>
      </c>
      <c r="F20" s="35" t="s">
        <v>343</v>
      </c>
      <c r="G20" s="35" t="s">
        <v>344</v>
      </c>
      <c r="H20" s="35" t="s">
        <v>345</v>
      </c>
      <c r="I20" s="35" t="s">
        <v>346</v>
      </c>
      <c r="J20" s="62">
        <v>44568.46329861111</v>
      </c>
      <c r="K20" s="62">
        <v>44574.541192129633</v>
      </c>
      <c r="L20" s="63">
        <v>44580.729166666664</v>
      </c>
      <c r="M20" s="62">
        <v>44580.729166666664</v>
      </c>
      <c r="T20" s="62">
        <v>44578.534467592595</v>
      </c>
      <c r="U20" s="62">
        <v>44575.439571759256</v>
      </c>
      <c r="V20" s="62">
        <v>44580</v>
      </c>
      <c r="W20" s="62">
        <v>44579</v>
      </c>
      <c r="X20" s="63">
        <v>44580</v>
      </c>
      <c r="Y20" s="38" t="s">
        <v>24</v>
      </c>
      <c r="Z20" s="62" t="str">
        <f t="shared" si="0"/>
        <v>On Time</v>
      </c>
    </row>
    <row r="21" spans="1:26" x14ac:dyDescent="0.2">
      <c r="A21" s="35">
        <v>121838</v>
      </c>
      <c r="B21" s="35" t="s">
        <v>301</v>
      </c>
      <c r="C21" s="35">
        <v>349312.02</v>
      </c>
      <c r="D21" s="35">
        <v>74196</v>
      </c>
      <c r="E21" s="35" t="s">
        <v>302</v>
      </c>
      <c r="F21" s="35" t="s">
        <v>303</v>
      </c>
      <c r="G21" s="35" t="s">
        <v>304</v>
      </c>
      <c r="H21" s="35" t="s">
        <v>347</v>
      </c>
      <c r="I21" s="35" t="s">
        <v>306</v>
      </c>
      <c r="J21" s="62">
        <v>44572.556296296294</v>
      </c>
      <c r="K21" s="62">
        <v>44572.561111111114</v>
      </c>
      <c r="L21" s="63">
        <v>44580.708333333336</v>
      </c>
      <c r="M21" s="62">
        <v>44580.708333333336</v>
      </c>
      <c r="T21" s="62">
        <v>44574.646886574075</v>
      </c>
      <c r="U21" s="62">
        <v>44575.720648148148</v>
      </c>
      <c r="V21" s="62">
        <v>44580.650185185186</v>
      </c>
      <c r="W21" s="62">
        <v>44580</v>
      </c>
      <c r="X21" s="63">
        <v>44580</v>
      </c>
      <c r="Y21" s="38" t="s">
        <v>24</v>
      </c>
      <c r="Z21" s="62" t="str">
        <f t="shared" si="0"/>
        <v>On Time</v>
      </c>
    </row>
    <row r="22" spans="1:26" x14ac:dyDescent="0.2">
      <c r="A22" s="35">
        <v>122077</v>
      </c>
      <c r="B22" s="35" t="s">
        <v>301</v>
      </c>
      <c r="C22" s="35">
        <v>349400</v>
      </c>
      <c r="D22" s="35">
        <v>74355</v>
      </c>
      <c r="E22" s="35" t="s">
        <v>318</v>
      </c>
      <c r="F22" s="35" t="s">
        <v>319</v>
      </c>
      <c r="G22" s="35" t="s">
        <v>348</v>
      </c>
      <c r="H22" s="35" t="s">
        <v>349</v>
      </c>
      <c r="I22" s="35" t="s">
        <v>350</v>
      </c>
      <c r="J22" s="62">
        <v>44578.433125000003</v>
      </c>
      <c r="K22" s="62">
        <v>44578.438958333332</v>
      </c>
      <c r="L22" s="63">
        <v>44581.729166666664</v>
      </c>
      <c r="M22" s="62">
        <v>44581.729166666664</v>
      </c>
      <c r="U22" s="62">
        <v>44578.561423611114</v>
      </c>
      <c r="V22" s="62">
        <v>44580.480590277781</v>
      </c>
      <c r="W22" s="62">
        <v>44580</v>
      </c>
      <c r="X22" s="63">
        <v>44580</v>
      </c>
      <c r="Y22" s="38" t="s">
        <v>123</v>
      </c>
      <c r="Z22" s="62" t="str">
        <f t="shared" si="0"/>
        <v>On Time</v>
      </c>
    </row>
    <row r="23" spans="1:26" x14ac:dyDescent="0.2">
      <c r="A23" s="35">
        <v>122118</v>
      </c>
      <c r="B23" s="35" t="s">
        <v>307</v>
      </c>
      <c r="C23" s="35">
        <v>349409.02</v>
      </c>
      <c r="D23" s="35">
        <v>74372</v>
      </c>
      <c r="E23" s="35" t="s">
        <v>308</v>
      </c>
      <c r="F23" s="35" t="s">
        <v>309</v>
      </c>
      <c r="G23" s="35" t="s">
        <v>310</v>
      </c>
      <c r="H23" s="35" t="s">
        <v>351</v>
      </c>
      <c r="I23" s="35" t="s">
        <v>315</v>
      </c>
      <c r="J23" s="62">
        <v>44578.600057870368</v>
      </c>
      <c r="K23" s="62">
        <v>44578.600451388891</v>
      </c>
      <c r="L23" s="63">
        <v>44581.729166666664</v>
      </c>
      <c r="M23" s="62">
        <v>44581.729166666664</v>
      </c>
      <c r="U23" s="62">
        <v>44578.694386574076</v>
      </c>
      <c r="V23" s="62">
        <v>44579</v>
      </c>
      <c r="W23" s="62">
        <v>44580</v>
      </c>
      <c r="X23" s="63">
        <v>44580</v>
      </c>
      <c r="Y23" s="38" t="s">
        <v>123</v>
      </c>
      <c r="Z23" s="62" t="str">
        <f t="shared" si="0"/>
        <v>On Time</v>
      </c>
    </row>
    <row r="24" spans="1:26" x14ac:dyDescent="0.2">
      <c r="A24" s="35">
        <v>122121</v>
      </c>
      <c r="B24" s="35" t="s">
        <v>307</v>
      </c>
      <c r="C24" s="35">
        <v>349411.03</v>
      </c>
      <c r="D24" s="35">
        <v>74382</v>
      </c>
      <c r="E24" s="35" t="s">
        <v>308</v>
      </c>
      <c r="F24" s="35" t="s">
        <v>309</v>
      </c>
      <c r="G24" s="35" t="s">
        <v>310</v>
      </c>
      <c r="H24" s="35" t="s">
        <v>352</v>
      </c>
      <c r="I24" s="35" t="s">
        <v>328</v>
      </c>
      <c r="J24" s="62">
        <v>44578.611076388886</v>
      </c>
      <c r="K24" s="62">
        <v>44578.612314814818</v>
      </c>
      <c r="L24" s="63">
        <v>44581.729166666664</v>
      </c>
      <c r="M24" s="62">
        <v>44581.729166666664</v>
      </c>
      <c r="V24" s="62">
        <v>44579</v>
      </c>
      <c r="W24" s="62">
        <v>44580</v>
      </c>
      <c r="X24" s="63">
        <v>44580</v>
      </c>
      <c r="Y24" s="38" t="s">
        <v>329</v>
      </c>
      <c r="Z24" s="62" t="str">
        <f t="shared" si="0"/>
        <v>On Time</v>
      </c>
    </row>
    <row r="25" spans="1:26" x14ac:dyDescent="0.2">
      <c r="A25" s="35">
        <v>122126</v>
      </c>
      <c r="B25" s="35" t="s">
        <v>307</v>
      </c>
      <c r="C25" s="35">
        <v>349412.02</v>
      </c>
      <c r="D25" s="35">
        <v>74384</v>
      </c>
      <c r="E25" s="35" t="s">
        <v>308</v>
      </c>
      <c r="F25" s="35" t="s">
        <v>309</v>
      </c>
      <c r="G25" s="35" t="s">
        <v>310</v>
      </c>
      <c r="H25" s="35" t="s">
        <v>353</v>
      </c>
      <c r="I25" s="35" t="s">
        <v>315</v>
      </c>
      <c r="J25" s="62">
        <v>44578.618321759262</v>
      </c>
      <c r="K25" s="62">
        <v>44578.618692129632</v>
      </c>
      <c r="L25" s="63">
        <v>44581.729166666664</v>
      </c>
      <c r="M25" s="62">
        <v>44581.729166666664</v>
      </c>
      <c r="U25" s="62">
        <v>44578.703622685185</v>
      </c>
      <c r="V25" s="62">
        <v>44579</v>
      </c>
      <c r="W25" s="62">
        <v>44580</v>
      </c>
      <c r="X25" s="63">
        <v>44580</v>
      </c>
      <c r="Y25" s="38" t="s">
        <v>123</v>
      </c>
      <c r="Z25" s="62" t="str">
        <f t="shared" si="0"/>
        <v>On Time</v>
      </c>
    </row>
    <row r="26" spans="1:26" x14ac:dyDescent="0.2">
      <c r="A26" s="35">
        <v>122129</v>
      </c>
      <c r="B26" s="35" t="s">
        <v>307</v>
      </c>
      <c r="C26" s="35">
        <v>349413.02</v>
      </c>
      <c r="D26" s="35">
        <v>74387</v>
      </c>
      <c r="E26" s="35" t="s">
        <v>308</v>
      </c>
      <c r="F26" s="35" t="s">
        <v>309</v>
      </c>
      <c r="G26" s="35" t="s">
        <v>310</v>
      </c>
      <c r="H26" s="35" t="s">
        <v>354</v>
      </c>
      <c r="I26" s="35" t="s">
        <v>315</v>
      </c>
      <c r="J26" s="62">
        <v>44578.621851851851</v>
      </c>
      <c r="K26" s="62">
        <v>44578.622152777774</v>
      </c>
      <c r="L26" s="63">
        <v>44581.729166666664</v>
      </c>
      <c r="M26" s="62">
        <v>44581.729166666664</v>
      </c>
      <c r="U26" s="62">
        <v>44579.383009259262</v>
      </c>
      <c r="V26" s="62">
        <v>44579</v>
      </c>
      <c r="W26" s="62">
        <v>44580</v>
      </c>
      <c r="X26" s="63">
        <v>44580</v>
      </c>
      <c r="Y26" s="38" t="s">
        <v>123</v>
      </c>
      <c r="Z26" s="62" t="str">
        <f t="shared" si="0"/>
        <v>On Time</v>
      </c>
    </row>
    <row r="27" spans="1:26" x14ac:dyDescent="0.2">
      <c r="A27" s="35">
        <v>122206</v>
      </c>
      <c r="B27" s="35" t="s">
        <v>307</v>
      </c>
      <c r="C27" s="35">
        <v>349434</v>
      </c>
      <c r="D27" s="35">
        <v>74420</v>
      </c>
      <c r="E27" s="35" t="s">
        <v>308</v>
      </c>
      <c r="F27" s="35" t="s">
        <v>309</v>
      </c>
      <c r="G27" s="35" t="s">
        <v>310</v>
      </c>
      <c r="H27" s="35" t="s">
        <v>355</v>
      </c>
      <c r="I27" s="35" t="s">
        <v>315</v>
      </c>
      <c r="J27" s="62">
        <v>44579.507951388892</v>
      </c>
      <c r="K27" s="62">
        <v>44579.508090277777</v>
      </c>
      <c r="L27" s="63">
        <v>44580.729166666664</v>
      </c>
      <c r="M27" s="62">
        <v>44580.729166666664</v>
      </c>
      <c r="V27" s="62">
        <v>44580.276701388888</v>
      </c>
      <c r="W27" s="62">
        <v>44580</v>
      </c>
      <c r="X27" s="63">
        <v>44580</v>
      </c>
      <c r="Y27" s="38" t="s">
        <v>329</v>
      </c>
      <c r="Z27" s="62" t="str">
        <f t="shared" si="0"/>
        <v>On Time</v>
      </c>
    </row>
    <row r="28" spans="1:26" x14ac:dyDescent="0.2">
      <c r="A28" s="35">
        <v>121257</v>
      </c>
      <c r="B28" s="35" t="s">
        <v>301</v>
      </c>
      <c r="C28" s="35">
        <v>349078.03</v>
      </c>
      <c r="D28" s="35">
        <v>73867</v>
      </c>
      <c r="E28" s="35" t="s">
        <v>302</v>
      </c>
      <c r="F28" s="35" t="s">
        <v>356</v>
      </c>
      <c r="G28" s="35" t="s">
        <v>357</v>
      </c>
      <c r="H28" s="35" t="s">
        <v>358</v>
      </c>
      <c r="I28" s="35" t="s">
        <v>350</v>
      </c>
      <c r="J28" s="62">
        <v>44546.605717592596</v>
      </c>
      <c r="K28" s="62">
        <v>44546.621493055558</v>
      </c>
      <c r="L28" s="63">
        <v>44578.708333333336</v>
      </c>
      <c r="M28" s="62">
        <v>44581.708333333336</v>
      </c>
      <c r="U28" s="62">
        <v>44551.584999999999</v>
      </c>
      <c r="V28" s="62">
        <v>44577</v>
      </c>
      <c r="W28" s="62">
        <v>44580</v>
      </c>
      <c r="X28" s="63">
        <v>44580</v>
      </c>
      <c r="Y28" s="38" t="s">
        <v>123</v>
      </c>
      <c r="Z28" s="62" t="str">
        <f t="shared" si="0"/>
        <v>On Time</v>
      </c>
    </row>
    <row r="29" spans="1:26" x14ac:dyDescent="0.2">
      <c r="A29" s="35">
        <v>121842</v>
      </c>
      <c r="B29" s="35" t="s">
        <v>301</v>
      </c>
      <c r="C29" s="35">
        <v>349312.06</v>
      </c>
      <c r="D29" s="35">
        <v>74202</v>
      </c>
      <c r="E29" s="35" t="s">
        <v>302</v>
      </c>
      <c r="F29" s="35" t="s">
        <v>303</v>
      </c>
      <c r="G29" s="35" t="s">
        <v>304</v>
      </c>
      <c r="H29" s="35" t="s">
        <v>359</v>
      </c>
      <c r="I29" s="35" t="s">
        <v>328</v>
      </c>
      <c r="J29" s="62">
        <v>44572.600173611114</v>
      </c>
      <c r="K29" s="62">
        <v>44572.60460648148</v>
      </c>
      <c r="L29" s="63">
        <v>44580.708333333336</v>
      </c>
      <c r="M29" s="62">
        <v>44580.708333333336</v>
      </c>
      <c r="V29" s="62">
        <v>44580.650185185186</v>
      </c>
      <c r="W29" s="62">
        <v>44580</v>
      </c>
      <c r="X29" s="63">
        <v>44580</v>
      </c>
      <c r="Y29" s="38" t="s">
        <v>329</v>
      </c>
      <c r="Z29" s="62" t="str">
        <f t="shared" si="0"/>
        <v>On Time</v>
      </c>
    </row>
    <row r="30" spans="1:26" x14ac:dyDescent="0.2">
      <c r="A30" s="35">
        <v>121262</v>
      </c>
      <c r="B30" s="35" t="s">
        <v>301</v>
      </c>
      <c r="C30" s="35">
        <v>349078.01</v>
      </c>
      <c r="D30" s="35">
        <v>73865</v>
      </c>
      <c r="E30" s="35" t="s">
        <v>302</v>
      </c>
      <c r="F30" s="35" t="s">
        <v>356</v>
      </c>
      <c r="G30" s="35" t="s">
        <v>357</v>
      </c>
      <c r="H30" s="35" t="s">
        <v>360</v>
      </c>
      <c r="I30" s="35" t="s">
        <v>328</v>
      </c>
      <c r="J30" s="62">
        <v>44546.616562499999</v>
      </c>
      <c r="K30" s="62">
        <v>44546.621493055558</v>
      </c>
      <c r="L30" s="63">
        <v>44581.708333333336</v>
      </c>
      <c r="M30" s="62">
        <v>44581.708333333336</v>
      </c>
      <c r="V30" s="62">
        <v>44578</v>
      </c>
      <c r="W30" s="62">
        <v>44580</v>
      </c>
      <c r="X30" s="63">
        <v>44580</v>
      </c>
      <c r="Y30" s="38" t="s">
        <v>329</v>
      </c>
      <c r="Z30" s="62" t="str">
        <f t="shared" si="0"/>
        <v>On Time</v>
      </c>
    </row>
    <row r="31" spans="1:26" x14ac:dyDescent="0.2">
      <c r="A31" s="35">
        <v>121833</v>
      </c>
      <c r="B31" s="35" t="s">
        <v>301</v>
      </c>
      <c r="C31" s="35">
        <v>349312.05</v>
      </c>
      <c r="D31" s="35">
        <v>74199</v>
      </c>
      <c r="E31" s="35" t="s">
        <v>302</v>
      </c>
      <c r="F31" s="35" t="s">
        <v>303</v>
      </c>
      <c r="G31" s="35" t="s">
        <v>304</v>
      </c>
      <c r="H31" s="35" t="s">
        <v>361</v>
      </c>
      <c r="I31" s="35" t="s">
        <v>306</v>
      </c>
      <c r="J31" s="62">
        <v>44572.552083333336</v>
      </c>
      <c r="K31" s="62">
        <v>44572.561122685183</v>
      </c>
      <c r="L31" s="63">
        <v>44580.708333333336</v>
      </c>
      <c r="M31" s="62">
        <v>44580.708333333336</v>
      </c>
      <c r="U31" s="62">
        <v>44575.721851851849</v>
      </c>
      <c r="V31" s="62">
        <v>44580.650185185186</v>
      </c>
      <c r="W31" s="62">
        <v>44580</v>
      </c>
      <c r="X31" s="63">
        <v>44580</v>
      </c>
      <c r="Y31" s="38" t="s">
        <v>124</v>
      </c>
      <c r="Z31" s="62" t="str">
        <f t="shared" si="0"/>
        <v>On Time</v>
      </c>
    </row>
    <row r="32" spans="1:26" x14ac:dyDescent="0.2">
      <c r="A32" s="35">
        <v>121989</v>
      </c>
      <c r="B32" s="35" t="s">
        <v>332</v>
      </c>
      <c r="C32" s="35">
        <v>349373</v>
      </c>
      <c r="D32" s="35">
        <v>74315</v>
      </c>
      <c r="E32" s="35" t="s">
        <v>308</v>
      </c>
      <c r="F32" s="35" t="s">
        <v>333</v>
      </c>
      <c r="G32" s="35" t="s">
        <v>334</v>
      </c>
      <c r="H32" s="35" t="s">
        <v>362</v>
      </c>
      <c r="I32" s="35" t="s">
        <v>336</v>
      </c>
      <c r="J32" s="62">
        <v>44574.625763888886</v>
      </c>
      <c r="K32" s="62">
        <v>44574.632534722223</v>
      </c>
      <c r="L32" s="63">
        <v>44581.729166666664</v>
      </c>
      <c r="M32" s="62">
        <v>44581.729166666664</v>
      </c>
      <c r="T32" s="62">
        <v>44575.590937499997</v>
      </c>
      <c r="U32" s="62">
        <v>44575.439710648148</v>
      </c>
      <c r="V32" s="62">
        <v>44580.548344907409</v>
      </c>
      <c r="W32" s="62">
        <v>44580</v>
      </c>
      <c r="X32" s="63">
        <v>44580</v>
      </c>
      <c r="Y32" s="38" t="s">
        <v>59</v>
      </c>
      <c r="Z32" s="62" t="str">
        <f t="shared" si="0"/>
        <v>On Time</v>
      </c>
    </row>
    <row r="33" spans="1:26" x14ac:dyDescent="0.2">
      <c r="A33" s="35">
        <v>122073</v>
      </c>
      <c r="B33" s="35" t="s">
        <v>301</v>
      </c>
      <c r="C33" s="35">
        <v>349398</v>
      </c>
      <c r="D33" s="35">
        <v>74352</v>
      </c>
      <c r="E33" s="35" t="s">
        <v>318</v>
      </c>
      <c r="F33" s="35" t="s">
        <v>319</v>
      </c>
      <c r="G33" s="35" t="s">
        <v>348</v>
      </c>
      <c r="H33" s="35" t="s">
        <v>363</v>
      </c>
      <c r="I33" s="35" t="s">
        <v>350</v>
      </c>
      <c r="J33" s="62">
        <v>44578.415763888886</v>
      </c>
      <c r="K33" s="62">
        <v>44578.427905092591</v>
      </c>
      <c r="L33" s="63">
        <v>44581.729166666664</v>
      </c>
      <c r="M33" s="62">
        <v>44581.729166666664</v>
      </c>
      <c r="U33" s="62">
        <v>44578.561562499999</v>
      </c>
      <c r="V33" s="62">
        <v>44580.477962962963</v>
      </c>
      <c r="W33" s="62">
        <v>44580</v>
      </c>
      <c r="X33" s="63">
        <v>44580</v>
      </c>
      <c r="Y33" s="38" t="s">
        <v>123</v>
      </c>
      <c r="Z33" s="62" t="str">
        <f t="shared" si="0"/>
        <v>On Time</v>
      </c>
    </row>
    <row r="34" spans="1:26" x14ac:dyDescent="0.2">
      <c r="A34" s="35">
        <v>120846</v>
      </c>
      <c r="B34" s="35" t="s">
        <v>364</v>
      </c>
      <c r="C34" s="35">
        <v>348970</v>
      </c>
      <c r="D34" s="35">
        <v>73721</v>
      </c>
      <c r="E34" s="35" t="s">
        <v>365</v>
      </c>
      <c r="F34" s="35" t="s">
        <v>366</v>
      </c>
      <c r="G34" s="35" t="s">
        <v>367</v>
      </c>
      <c r="H34" s="35" t="s">
        <v>368</v>
      </c>
      <c r="I34" s="35" t="s">
        <v>369</v>
      </c>
      <c r="J34" s="62">
        <v>44538.603495370371</v>
      </c>
      <c r="K34" s="62">
        <v>44539.645416666666</v>
      </c>
      <c r="L34" s="63">
        <v>44582.648009259261</v>
      </c>
      <c r="M34" s="62">
        <v>44581.375</v>
      </c>
      <c r="T34" s="62">
        <v>44567.404270833336</v>
      </c>
      <c r="U34" s="62">
        <v>44568.524629629632</v>
      </c>
      <c r="V34" s="62">
        <v>44580.706377314818</v>
      </c>
      <c r="W34" s="62">
        <v>44580.708333333336</v>
      </c>
      <c r="X34" s="63">
        <v>44580</v>
      </c>
      <c r="Y34" s="38" t="s">
        <v>25</v>
      </c>
      <c r="Z34" s="62" t="str">
        <f t="shared" si="0"/>
        <v>On Time</v>
      </c>
    </row>
    <row r="35" spans="1:26" x14ac:dyDescent="0.2">
      <c r="A35" s="35">
        <v>121402</v>
      </c>
      <c r="B35" s="35" t="s">
        <v>301</v>
      </c>
      <c r="C35" s="35">
        <v>349125</v>
      </c>
      <c r="D35" s="35">
        <v>73925</v>
      </c>
      <c r="E35" s="35" t="s">
        <v>324</v>
      </c>
      <c r="F35" s="35" t="s">
        <v>370</v>
      </c>
      <c r="G35" s="35" t="s">
        <v>371</v>
      </c>
      <c r="H35" s="35" t="s">
        <v>372</v>
      </c>
      <c r="I35" s="35" t="s">
        <v>373</v>
      </c>
      <c r="J35" s="62">
        <v>44550.662083333336</v>
      </c>
      <c r="K35" s="62">
        <v>44550.664537037039</v>
      </c>
      <c r="L35" s="63">
        <v>44580.729166666664</v>
      </c>
      <c r="M35" s="62">
        <v>44580.729166666664</v>
      </c>
      <c r="T35" s="62">
        <v>44572.373055555552</v>
      </c>
      <c r="U35" s="62">
        <v>44552.662974537037</v>
      </c>
      <c r="V35" s="62">
        <v>44580.604456018518</v>
      </c>
      <c r="W35" s="62">
        <v>44580</v>
      </c>
      <c r="X35" s="63">
        <v>44580</v>
      </c>
      <c r="Y35" s="38" t="s">
        <v>24</v>
      </c>
      <c r="Z35" s="62" t="str">
        <f t="shared" si="0"/>
        <v>On Time</v>
      </c>
    </row>
    <row r="36" spans="1:26" x14ac:dyDescent="0.2">
      <c r="A36" s="35">
        <v>121712</v>
      </c>
      <c r="B36" s="35" t="s">
        <v>307</v>
      </c>
      <c r="C36" s="35">
        <v>349257</v>
      </c>
      <c r="D36" s="35">
        <v>74119</v>
      </c>
      <c r="E36" s="35" t="s">
        <v>308</v>
      </c>
      <c r="F36" s="35" t="s">
        <v>309</v>
      </c>
      <c r="G36" s="35" t="s">
        <v>310</v>
      </c>
      <c r="H36" s="35" t="s">
        <v>374</v>
      </c>
      <c r="I36" s="35" t="s">
        <v>315</v>
      </c>
      <c r="J36" s="62">
        <v>44567.610798611109</v>
      </c>
      <c r="K36" s="62">
        <v>44567.610902777778</v>
      </c>
      <c r="L36" s="63">
        <v>44580.729166666664</v>
      </c>
      <c r="M36" s="62">
        <v>44580.729166666664</v>
      </c>
      <c r="T36" s="62">
        <v>44573.654641203706</v>
      </c>
      <c r="U36" s="62">
        <v>44573.64402777778</v>
      </c>
      <c r="V36" s="62">
        <v>44577</v>
      </c>
      <c r="W36" s="62">
        <v>44580</v>
      </c>
      <c r="X36" s="63">
        <v>44580</v>
      </c>
      <c r="Y36" s="38" t="s">
        <v>17</v>
      </c>
      <c r="Z36" s="62" t="str">
        <f t="shared" si="0"/>
        <v>On Time</v>
      </c>
    </row>
    <row r="37" spans="1:26" x14ac:dyDescent="0.2">
      <c r="A37" s="35">
        <v>122043</v>
      </c>
      <c r="B37" s="35" t="s">
        <v>307</v>
      </c>
      <c r="C37" s="35">
        <v>349389</v>
      </c>
      <c r="D37" s="35">
        <v>74337</v>
      </c>
      <c r="E37" s="35" t="s">
        <v>308</v>
      </c>
      <c r="F37" s="35" t="s">
        <v>309</v>
      </c>
      <c r="G37" s="35" t="s">
        <v>310</v>
      </c>
      <c r="H37" s="35" t="s">
        <v>375</v>
      </c>
      <c r="I37" s="35" t="s">
        <v>315</v>
      </c>
      <c r="J37" s="62">
        <v>44575.553668981483</v>
      </c>
      <c r="K37" s="62">
        <v>44575.626712962963</v>
      </c>
      <c r="L37" s="63">
        <v>44580.729166666664</v>
      </c>
      <c r="M37" s="62">
        <v>44580.729166666664</v>
      </c>
      <c r="T37" s="62">
        <v>44575.666250000002</v>
      </c>
      <c r="U37" s="62">
        <v>44575.663310185184</v>
      </c>
      <c r="V37" s="62">
        <v>44580.627060185187</v>
      </c>
      <c r="W37" s="62">
        <v>44580</v>
      </c>
      <c r="X37" s="63">
        <v>44580</v>
      </c>
      <c r="Y37" s="38" t="s">
        <v>17</v>
      </c>
      <c r="Z37" s="62" t="str">
        <f t="shared" si="0"/>
        <v>On Time</v>
      </c>
    </row>
    <row r="38" spans="1:26" x14ac:dyDescent="0.2">
      <c r="A38" s="35">
        <v>122115</v>
      </c>
      <c r="B38" s="35" t="s">
        <v>307</v>
      </c>
      <c r="C38" s="35">
        <v>349408.02</v>
      </c>
      <c r="D38" s="35">
        <v>74369</v>
      </c>
      <c r="E38" s="35" t="s">
        <v>308</v>
      </c>
      <c r="F38" s="35" t="s">
        <v>309</v>
      </c>
      <c r="G38" s="35" t="s">
        <v>310</v>
      </c>
      <c r="H38" s="35" t="s">
        <v>376</v>
      </c>
      <c r="I38" s="35" t="s">
        <v>315</v>
      </c>
      <c r="J38" s="62">
        <v>44578.595810185187</v>
      </c>
      <c r="K38" s="62">
        <v>44578.596273148149</v>
      </c>
      <c r="L38" s="63">
        <v>44581.729166666664</v>
      </c>
      <c r="M38" s="62">
        <v>44581.729166666664</v>
      </c>
      <c r="U38" s="62">
        <v>44578.663773148146</v>
      </c>
      <c r="V38" s="62">
        <v>44579</v>
      </c>
      <c r="W38" s="62">
        <v>44580</v>
      </c>
      <c r="X38" s="63">
        <v>44580</v>
      </c>
      <c r="Y38" s="38" t="s">
        <v>123</v>
      </c>
      <c r="Z38" s="62" t="str">
        <f t="shared" si="0"/>
        <v>On Time</v>
      </c>
    </row>
    <row r="39" spans="1:26" x14ac:dyDescent="0.2">
      <c r="A39" s="35">
        <v>122122</v>
      </c>
      <c r="B39" s="35" t="s">
        <v>307</v>
      </c>
      <c r="C39" s="35">
        <v>349411.02</v>
      </c>
      <c r="D39" s="35">
        <v>74381</v>
      </c>
      <c r="E39" s="35" t="s">
        <v>308</v>
      </c>
      <c r="F39" s="35" t="s">
        <v>309</v>
      </c>
      <c r="G39" s="35" t="s">
        <v>310</v>
      </c>
      <c r="H39" s="35" t="s">
        <v>377</v>
      </c>
      <c r="I39" s="35" t="s">
        <v>315</v>
      </c>
      <c r="J39" s="62">
        <v>44578.611261574071</v>
      </c>
      <c r="K39" s="62">
        <v>44578.612314814818</v>
      </c>
      <c r="L39" s="63">
        <v>44581.729166666664</v>
      </c>
      <c r="M39" s="62">
        <v>44581.729166666664</v>
      </c>
      <c r="U39" s="62">
        <v>44578.703761574077</v>
      </c>
      <c r="V39" s="62">
        <v>44579</v>
      </c>
      <c r="W39" s="62">
        <v>44580</v>
      </c>
      <c r="X39" s="63">
        <v>44580</v>
      </c>
      <c r="Y39" s="38" t="s">
        <v>123</v>
      </c>
      <c r="Z39" s="62" t="str">
        <f t="shared" si="0"/>
        <v>On Time</v>
      </c>
    </row>
    <row r="40" spans="1:26" x14ac:dyDescent="0.2">
      <c r="A40" s="35">
        <v>122127</v>
      </c>
      <c r="B40" s="35" t="s">
        <v>307</v>
      </c>
      <c r="C40" s="35">
        <v>349412.01</v>
      </c>
      <c r="D40" s="35">
        <v>74383</v>
      </c>
      <c r="E40" s="35" t="s">
        <v>308</v>
      </c>
      <c r="F40" s="35" t="s">
        <v>309</v>
      </c>
      <c r="G40" s="35" t="s">
        <v>310</v>
      </c>
      <c r="H40" s="35" t="s">
        <v>378</v>
      </c>
      <c r="I40" s="35" t="s">
        <v>306</v>
      </c>
      <c r="J40" s="62">
        <v>44578.618495370371</v>
      </c>
      <c r="K40" s="62">
        <v>44578.618692129632</v>
      </c>
      <c r="L40" s="63">
        <v>44581.729166666664</v>
      </c>
      <c r="M40" s="62">
        <v>44581.729166666664</v>
      </c>
      <c r="U40" s="62">
        <v>44578.703530092593</v>
      </c>
      <c r="V40" s="62">
        <v>44580.347986111112</v>
      </c>
      <c r="W40" s="62">
        <v>44580</v>
      </c>
      <c r="X40" s="63">
        <v>44580</v>
      </c>
      <c r="Y40" s="38" t="s">
        <v>122</v>
      </c>
      <c r="Z40" s="62" t="str">
        <f t="shared" si="0"/>
        <v>On Time</v>
      </c>
    </row>
    <row r="41" spans="1:26" x14ac:dyDescent="0.2">
      <c r="A41" s="35">
        <v>122202</v>
      </c>
      <c r="B41" s="35" t="s">
        <v>307</v>
      </c>
      <c r="C41" s="35">
        <v>349432</v>
      </c>
      <c r="D41" s="35">
        <v>74418</v>
      </c>
      <c r="E41" s="35" t="s">
        <v>308</v>
      </c>
      <c r="F41" s="35" t="s">
        <v>309</v>
      </c>
      <c r="G41" s="35" t="s">
        <v>310</v>
      </c>
      <c r="H41" s="35" t="s">
        <v>379</v>
      </c>
      <c r="I41" s="35" t="s">
        <v>315</v>
      </c>
      <c r="J41" s="62">
        <v>44579.489849537036</v>
      </c>
      <c r="K41" s="62">
        <v>44579.49</v>
      </c>
      <c r="L41" s="63">
        <v>44580.729166666664</v>
      </c>
      <c r="M41" s="62">
        <v>44580.729166666664</v>
      </c>
      <c r="V41" s="62">
        <v>44580.27685185185</v>
      </c>
      <c r="W41" s="62">
        <v>44580</v>
      </c>
      <c r="X41" s="63">
        <v>44580</v>
      </c>
      <c r="Y41" s="38" t="s">
        <v>329</v>
      </c>
      <c r="Z41" s="62" t="str">
        <f t="shared" si="0"/>
        <v>On Time</v>
      </c>
    </row>
    <row r="42" spans="1:26" x14ac:dyDescent="0.2">
      <c r="Z42" s="35"/>
    </row>
    <row r="43" spans="1:26" x14ac:dyDescent="0.2">
      <c r="Z43" s="35"/>
    </row>
    <row r="44" spans="1:26" x14ac:dyDescent="0.2">
      <c r="Z44" s="35"/>
    </row>
    <row r="45" spans="1:26" x14ac:dyDescent="0.2">
      <c r="Z45" s="35"/>
    </row>
    <row r="46" spans="1:26" x14ac:dyDescent="0.2">
      <c r="Z46" s="35"/>
    </row>
    <row r="47" spans="1:26" x14ac:dyDescent="0.2">
      <c r="Z47" s="35"/>
    </row>
    <row r="48" spans="1:26" x14ac:dyDescent="0.2">
      <c r="Z48" s="35"/>
    </row>
    <row r="49" spans="26:26" x14ac:dyDescent="0.2">
      <c r="Z49" s="35"/>
    </row>
    <row r="50" spans="26:26" x14ac:dyDescent="0.2">
      <c r="Z50" s="35"/>
    </row>
    <row r="51" spans="26:26" x14ac:dyDescent="0.2">
      <c r="Z51" s="35"/>
    </row>
    <row r="52" spans="26:26" x14ac:dyDescent="0.2">
      <c r="Z52" s="35"/>
    </row>
    <row r="53" spans="26:26" x14ac:dyDescent="0.2">
      <c r="Z53" s="35"/>
    </row>
    <row r="54" spans="26:26" x14ac:dyDescent="0.2">
      <c r="Z54" s="35"/>
    </row>
    <row r="55" spans="26:26" x14ac:dyDescent="0.2">
      <c r="Z55" s="35"/>
    </row>
    <row r="56" spans="26:26" x14ac:dyDescent="0.2">
      <c r="Z56" s="35"/>
    </row>
    <row r="57" spans="26:26" x14ac:dyDescent="0.2">
      <c r="Z57" s="35"/>
    </row>
    <row r="58" spans="26:26" x14ac:dyDescent="0.2">
      <c r="Z58" s="35"/>
    </row>
    <row r="59" spans="26:26" x14ac:dyDescent="0.2">
      <c r="Z59" s="35"/>
    </row>
    <row r="60" spans="26:26" x14ac:dyDescent="0.2">
      <c r="Z60" s="35"/>
    </row>
    <row r="61" spans="26:26" x14ac:dyDescent="0.2">
      <c r="Z61" s="35"/>
    </row>
    <row r="62" spans="26:26" x14ac:dyDescent="0.2">
      <c r="Z62" s="35"/>
    </row>
    <row r="63" spans="26:26" x14ac:dyDescent="0.2">
      <c r="Z63" s="35"/>
    </row>
    <row r="64" spans="26:26" x14ac:dyDescent="0.2">
      <c r="Z64" s="35"/>
    </row>
    <row r="65" spans="26:26" x14ac:dyDescent="0.2">
      <c r="Z65" s="35"/>
    </row>
    <row r="66" spans="26:26" x14ac:dyDescent="0.2">
      <c r="Z66" s="35"/>
    </row>
    <row r="67" spans="26:26" x14ac:dyDescent="0.2">
      <c r="Z67" s="35"/>
    </row>
    <row r="68" spans="26:26" x14ac:dyDescent="0.2">
      <c r="Z68" s="35"/>
    </row>
    <row r="69" spans="26:26" x14ac:dyDescent="0.2">
      <c r="Z69" s="35"/>
    </row>
    <row r="70" spans="26:26" x14ac:dyDescent="0.2">
      <c r="Z70" s="35"/>
    </row>
    <row r="71" spans="26:26" x14ac:dyDescent="0.2">
      <c r="Z71" s="35"/>
    </row>
    <row r="72" spans="26:26" x14ac:dyDescent="0.2">
      <c r="Z72" s="35"/>
    </row>
    <row r="73" spans="26:26" x14ac:dyDescent="0.2">
      <c r="Z73" s="35"/>
    </row>
    <row r="74" spans="26:26" x14ac:dyDescent="0.2">
      <c r="Z74" s="35"/>
    </row>
    <row r="75" spans="26:26" x14ac:dyDescent="0.2">
      <c r="Z75" s="35"/>
    </row>
    <row r="76" spans="26:26" x14ac:dyDescent="0.2">
      <c r="Z76" s="35"/>
    </row>
    <row r="77" spans="26:26" x14ac:dyDescent="0.2">
      <c r="Z77" s="35"/>
    </row>
    <row r="78" spans="26:26" x14ac:dyDescent="0.2">
      <c r="Z78" s="35"/>
    </row>
    <row r="79" spans="26:26" x14ac:dyDescent="0.2">
      <c r="Z79" s="35"/>
    </row>
    <row r="80" spans="26:26" x14ac:dyDescent="0.2">
      <c r="Z80" s="35"/>
    </row>
    <row r="81" spans="26:26" x14ac:dyDescent="0.2">
      <c r="Z81" s="35"/>
    </row>
    <row r="82" spans="26:26" x14ac:dyDescent="0.2">
      <c r="Z82" s="35"/>
    </row>
    <row r="83" spans="26:26" x14ac:dyDescent="0.2">
      <c r="Z83" s="35"/>
    </row>
    <row r="84" spans="26:26" x14ac:dyDescent="0.2">
      <c r="Z84" s="35"/>
    </row>
    <row r="85" spans="26:26" x14ac:dyDescent="0.2">
      <c r="Z85" s="35"/>
    </row>
    <row r="86" spans="26:26" x14ac:dyDescent="0.2">
      <c r="Z86" s="35"/>
    </row>
    <row r="87" spans="26:26" x14ac:dyDescent="0.2">
      <c r="Z87" s="35"/>
    </row>
    <row r="88" spans="26:26" x14ac:dyDescent="0.2">
      <c r="Z88" s="35"/>
    </row>
    <row r="89" spans="26:26" x14ac:dyDescent="0.2">
      <c r="Z89" s="35"/>
    </row>
    <row r="90" spans="26:26" x14ac:dyDescent="0.2">
      <c r="Z90" s="35"/>
    </row>
    <row r="91" spans="26:26" x14ac:dyDescent="0.2">
      <c r="Z91" s="35"/>
    </row>
    <row r="92" spans="26:26" x14ac:dyDescent="0.2">
      <c r="Z92" s="35"/>
    </row>
    <row r="93" spans="26:26" x14ac:dyDescent="0.2">
      <c r="Z93" s="35"/>
    </row>
    <row r="94" spans="26:26" x14ac:dyDescent="0.2">
      <c r="Z94" s="35"/>
    </row>
    <row r="95" spans="26:26" x14ac:dyDescent="0.2">
      <c r="Z95" s="35"/>
    </row>
    <row r="96" spans="26:26" x14ac:dyDescent="0.2">
      <c r="Z96" s="35"/>
    </row>
    <row r="97" spans="26:26" x14ac:dyDescent="0.2">
      <c r="Z97" s="35"/>
    </row>
    <row r="98" spans="26:26" x14ac:dyDescent="0.2">
      <c r="Z98" s="35"/>
    </row>
    <row r="99" spans="26:26" x14ac:dyDescent="0.2">
      <c r="Z99" s="35"/>
    </row>
    <row r="100" spans="26:26" x14ac:dyDescent="0.2">
      <c r="Z100" s="35"/>
    </row>
    <row r="101" spans="26:26" x14ac:dyDescent="0.2">
      <c r="Z101" s="35"/>
    </row>
    <row r="102" spans="26:26" x14ac:dyDescent="0.2">
      <c r="Z102" s="35"/>
    </row>
    <row r="103" spans="26:26" x14ac:dyDescent="0.2">
      <c r="Z103" s="35"/>
    </row>
    <row r="104" spans="26:26" x14ac:dyDescent="0.2">
      <c r="Z104" s="35"/>
    </row>
    <row r="105" spans="26:26" x14ac:dyDescent="0.2">
      <c r="Z105" s="35"/>
    </row>
    <row r="106" spans="26:26" x14ac:dyDescent="0.2">
      <c r="Z106" s="35"/>
    </row>
    <row r="107" spans="26:26" x14ac:dyDescent="0.2">
      <c r="Z107" s="35"/>
    </row>
    <row r="108" spans="26:26" x14ac:dyDescent="0.2">
      <c r="Z108" s="35"/>
    </row>
    <row r="109" spans="26:26" x14ac:dyDescent="0.2">
      <c r="Z109" s="35"/>
    </row>
    <row r="110" spans="26:26" x14ac:dyDescent="0.2">
      <c r="Z110" s="35"/>
    </row>
    <row r="111" spans="26:26" x14ac:dyDescent="0.2">
      <c r="Z111" s="35"/>
    </row>
    <row r="112" spans="26:26" x14ac:dyDescent="0.2">
      <c r="Z112" s="35"/>
    </row>
    <row r="113" spans="26:26" x14ac:dyDescent="0.2">
      <c r="Z113" s="35"/>
    </row>
    <row r="114" spans="26:26" x14ac:dyDescent="0.2">
      <c r="Z114" s="35"/>
    </row>
    <row r="115" spans="26:26" x14ac:dyDescent="0.2">
      <c r="Z115" s="35"/>
    </row>
    <row r="116" spans="26:26" x14ac:dyDescent="0.2">
      <c r="Z116" s="35"/>
    </row>
    <row r="117" spans="26:26" x14ac:dyDescent="0.2">
      <c r="Z117" s="35"/>
    </row>
    <row r="118" spans="26:26" x14ac:dyDescent="0.2">
      <c r="Z118" s="35"/>
    </row>
    <row r="119" spans="26:26" x14ac:dyDescent="0.2">
      <c r="Z119" s="35"/>
    </row>
    <row r="120" spans="26:26" x14ac:dyDescent="0.2">
      <c r="Z120" s="35"/>
    </row>
    <row r="121" spans="26:26" x14ac:dyDescent="0.2">
      <c r="Z121" s="35"/>
    </row>
    <row r="122" spans="26:26" x14ac:dyDescent="0.2">
      <c r="Z122" s="35"/>
    </row>
    <row r="123" spans="26:26" x14ac:dyDescent="0.2">
      <c r="Z123" s="35"/>
    </row>
    <row r="124" spans="26:26" x14ac:dyDescent="0.2">
      <c r="Z124" s="35"/>
    </row>
    <row r="125" spans="26:26" x14ac:dyDescent="0.2">
      <c r="Z125" s="35"/>
    </row>
    <row r="126" spans="26:26" x14ac:dyDescent="0.2">
      <c r="Z126" s="35"/>
    </row>
    <row r="127" spans="26:26" x14ac:dyDescent="0.2">
      <c r="Z127" s="35"/>
    </row>
    <row r="128" spans="26:26" x14ac:dyDescent="0.2">
      <c r="Z128" s="35"/>
    </row>
    <row r="129" spans="26:26" x14ac:dyDescent="0.2">
      <c r="Z129" s="35"/>
    </row>
    <row r="130" spans="26:26" x14ac:dyDescent="0.2">
      <c r="Z130" s="35"/>
    </row>
    <row r="131" spans="26:26" x14ac:dyDescent="0.2">
      <c r="Z131" s="35"/>
    </row>
    <row r="132" spans="26:26" x14ac:dyDescent="0.2">
      <c r="Z132" s="35"/>
    </row>
    <row r="133" spans="26:26" x14ac:dyDescent="0.2">
      <c r="Z133" s="35"/>
    </row>
    <row r="134" spans="26:26" x14ac:dyDescent="0.2">
      <c r="Z134" s="35"/>
    </row>
    <row r="135" spans="26:26" x14ac:dyDescent="0.2">
      <c r="Z135" s="35"/>
    </row>
    <row r="136" spans="26:26" x14ac:dyDescent="0.2">
      <c r="Z136" s="35"/>
    </row>
    <row r="137" spans="26:26" x14ac:dyDescent="0.2">
      <c r="Z137" s="35"/>
    </row>
    <row r="138" spans="26:26" x14ac:dyDescent="0.2">
      <c r="Z138" s="35"/>
    </row>
    <row r="139" spans="26:26" x14ac:dyDescent="0.2">
      <c r="Z139" s="35"/>
    </row>
    <row r="140" spans="26:26" x14ac:dyDescent="0.2">
      <c r="Z140" s="35"/>
    </row>
    <row r="141" spans="26:26" x14ac:dyDescent="0.2">
      <c r="Z141" s="35"/>
    </row>
    <row r="142" spans="26:26" x14ac:dyDescent="0.2">
      <c r="Z142" s="35"/>
    </row>
    <row r="143" spans="26:26" x14ac:dyDescent="0.2">
      <c r="Z143" s="35"/>
    </row>
    <row r="144" spans="26:26" x14ac:dyDescent="0.2">
      <c r="Z144" s="35"/>
    </row>
    <row r="145" spans="26:26" x14ac:dyDescent="0.2">
      <c r="Z145" s="35"/>
    </row>
    <row r="146" spans="26:26" x14ac:dyDescent="0.2">
      <c r="Z146" s="35"/>
    </row>
    <row r="147" spans="26:26" x14ac:dyDescent="0.2">
      <c r="Z147" s="35"/>
    </row>
    <row r="148" spans="26:26" x14ac:dyDescent="0.2">
      <c r="Z148" s="35"/>
    </row>
    <row r="149" spans="26:26" x14ac:dyDescent="0.2">
      <c r="Z149" s="35"/>
    </row>
    <row r="150" spans="26:26" x14ac:dyDescent="0.2">
      <c r="Z150" s="35"/>
    </row>
    <row r="151" spans="26:26" x14ac:dyDescent="0.2">
      <c r="Z151" s="35"/>
    </row>
    <row r="152" spans="26:26" x14ac:dyDescent="0.2">
      <c r="Z152" s="35"/>
    </row>
    <row r="153" spans="26:26" x14ac:dyDescent="0.2">
      <c r="Z153" s="35"/>
    </row>
    <row r="154" spans="26:26" x14ac:dyDescent="0.2">
      <c r="Z154" s="35"/>
    </row>
    <row r="155" spans="26:26" x14ac:dyDescent="0.2">
      <c r="Z155" s="35"/>
    </row>
    <row r="156" spans="26:26" x14ac:dyDescent="0.2">
      <c r="Z156" s="35"/>
    </row>
    <row r="157" spans="26:26" x14ac:dyDescent="0.2">
      <c r="Z157" s="35"/>
    </row>
    <row r="158" spans="26:26" x14ac:dyDescent="0.2">
      <c r="Z158" s="35"/>
    </row>
    <row r="159" spans="26:26" x14ac:dyDescent="0.2">
      <c r="Z159" s="35"/>
    </row>
    <row r="160" spans="26:26" x14ac:dyDescent="0.2">
      <c r="Z160" s="35"/>
    </row>
    <row r="161" spans="26:26" x14ac:dyDescent="0.2">
      <c r="Z161" s="35"/>
    </row>
    <row r="162" spans="26:26" x14ac:dyDescent="0.2">
      <c r="Z162" s="35"/>
    </row>
    <row r="163" spans="26:26" x14ac:dyDescent="0.2">
      <c r="Z163" s="35"/>
    </row>
    <row r="164" spans="26:26" x14ac:dyDescent="0.2">
      <c r="Z164" s="35"/>
    </row>
    <row r="165" spans="26:26" x14ac:dyDescent="0.2">
      <c r="Z165" s="35"/>
    </row>
    <row r="166" spans="26:26" x14ac:dyDescent="0.2">
      <c r="Z166" s="35"/>
    </row>
    <row r="167" spans="26:26" x14ac:dyDescent="0.2">
      <c r="Z167" s="35"/>
    </row>
    <row r="168" spans="26:26" x14ac:dyDescent="0.2">
      <c r="Z168" s="35"/>
    </row>
    <row r="169" spans="26:26" x14ac:dyDescent="0.2">
      <c r="Z169" s="35"/>
    </row>
    <row r="170" spans="26:26" x14ac:dyDescent="0.2">
      <c r="Z170" s="35"/>
    </row>
    <row r="171" spans="26:26" x14ac:dyDescent="0.2">
      <c r="Z171" s="35"/>
    </row>
  </sheetData>
  <autoFilter ref="A1:AA171" xr:uid="{D123F7D4-B74B-514D-8913-CAD90E3441DE}"/>
  <phoneticPr fontId="14" type="noConversion"/>
  <conditionalFormatting sqref="L1:L1048576 X1:Y1048576">
    <cfRule type="containsText" dxfId="61" priority="2" operator="containsText" text="NULL">
      <formula>NOT(ISERROR(SEARCH("NULL",L1)))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6C7C-08D1-1941-B250-F0E114966B04}">
  <dimension ref="A1:FH48"/>
  <sheetViews>
    <sheetView workbookViewId="0">
      <selection activeCell="A12" sqref="A12:XFD12"/>
    </sheetView>
  </sheetViews>
  <sheetFormatPr baseColWidth="10" defaultColWidth="15" defaultRowHeight="16" customHeight="1" x14ac:dyDescent="0.2"/>
  <cols>
    <col min="1" max="1" width="15" style="3"/>
    <col min="2" max="2" width="25.59765625" style="3" customWidth="1"/>
    <col min="3" max="3" width="19.796875" style="3" customWidth="1"/>
    <col min="4" max="6" width="15" style="3"/>
    <col min="7" max="7" width="15" style="58"/>
    <col min="8" max="17" width="15" style="3"/>
    <col min="18" max="18" width="15" style="58"/>
    <col min="19" max="28" width="15" style="3"/>
    <col min="29" max="29" width="15" style="58"/>
    <col min="30" max="39" width="15" style="3"/>
    <col min="40" max="40" width="15" style="58"/>
    <col min="41" max="61" width="15" style="3"/>
    <col min="62" max="62" width="15" style="58"/>
    <col min="63" max="72" width="15" style="3"/>
    <col min="73" max="73" width="15" style="58"/>
    <col min="74" max="16384" width="15" style="3"/>
  </cols>
  <sheetData>
    <row r="1" spans="1:164" s="70" customFormat="1" ht="22" customHeight="1" x14ac:dyDescent="0.2">
      <c r="A1" s="67" t="s">
        <v>17</v>
      </c>
      <c r="B1" s="67"/>
      <c r="C1" s="67"/>
      <c r="D1" s="67"/>
      <c r="E1" s="68"/>
      <c r="F1" s="69"/>
      <c r="G1" s="140"/>
      <c r="H1" s="69"/>
      <c r="I1" s="69"/>
      <c r="J1" s="69"/>
      <c r="L1" s="67" t="s">
        <v>24</v>
      </c>
      <c r="M1" s="67"/>
      <c r="N1" s="67"/>
      <c r="O1" s="67"/>
      <c r="P1" s="69"/>
      <c r="Q1" s="69"/>
      <c r="R1" s="140"/>
      <c r="S1" s="69"/>
      <c r="T1" s="69"/>
      <c r="U1" s="69"/>
      <c r="W1" s="67" t="s">
        <v>25</v>
      </c>
      <c r="X1" s="67"/>
      <c r="Y1" s="67"/>
      <c r="Z1" s="67"/>
      <c r="AA1" s="69"/>
      <c r="AB1" s="69"/>
      <c r="AC1" s="140"/>
      <c r="AD1" s="69"/>
      <c r="AE1" s="69"/>
      <c r="AF1" s="69"/>
      <c r="AH1" s="67" t="s">
        <v>57</v>
      </c>
      <c r="AI1" s="67"/>
      <c r="AJ1" s="67"/>
      <c r="AK1" s="67"/>
      <c r="AL1" s="69"/>
      <c r="AM1" s="69"/>
      <c r="AN1" s="140"/>
      <c r="AO1" s="69"/>
      <c r="AP1" s="69"/>
      <c r="AQ1" s="69"/>
      <c r="AS1" s="67" t="s">
        <v>58</v>
      </c>
      <c r="AT1" s="67"/>
      <c r="AU1" s="67"/>
      <c r="AV1" s="67"/>
      <c r="AW1" s="69"/>
      <c r="AX1" s="69"/>
      <c r="AY1" s="69"/>
      <c r="AZ1" s="69"/>
      <c r="BA1" s="69"/>
      <c r="BB1" s="69"/>
      <c r="BD1" s="67" t="s">
        <v>59</v>
      </c>
      <c r="BE1" s="67"/>
      <c r="BF1" s="67"/>
      <c r="BG1" s="67"/>
      <c r="BH1" s="69"/>
      <c r="BI1" s="69"/>
      <c r="BJ1" s="140"/>
      <c r="BK1" s="69"/>
      <c r="BL1" s="69"/>
      <c r="BM1" s="69"/>
      <c r="BO1" s="67" t="s">
        <v>60</v>
      </c>
      <c r="BP1" s="67"/>
      <c r="BQ1" s="67"/>
      <c r="BR1" s="67"/>
      <c r="BS1" s="69"/>
      <c r="BT1" s="69"/>
      <c r="BU1" s="140"/>
      <c r="BV1" s="69"/>
      <c r="BW1" s="69"/>
      <c r="BX1" s="69"/>
      <c r="BZ1" s="67" t="s">
        <v>124</v>
      </c>
      <c r="CA1" s="67"/>
      <c r="CB1" s="67"/>
      <c r="CC1" s="67"/>
      <c r="CD1" s="69"/>
      <c r="CE1" s="69"/>
      <c r="CF1" s="140"/>
      <c r="CG1" s="69"/>
      <c r="CH1" s="69"/>
      <c r="CI1" s="69"/>
      <c r="CK1" s="67" t="s">
        <v>123</v>
      </c>
      <c r="CL1" s="67"/>
      <c r="CM1" s="67"/>
      <c r="CN1" s="67"/>
      <c r="CO1" s="69"/>
      <c r="CP1" s="69"/>
      <c r="CQ1" s="140"/>
      <c r="CR1" s="69"/>
      <c r="CS1" s="69"/>
      <c r="CT1" s="69"/>
      <c r="CV1" s="67" t="s">
        <v>122</v>
      </c>
      <c r="CW1" s="67"/>
      <c r="CX1" s="67"/>
      <c r="CY1" s="67"/>
      <c r="CZ1" s="69"/>
      <c r="DA1" s="69"/>
      <c r="DB1" s="140"/>
      <c r="DC1" s="69"/>
      <c r="DD1" s="69"/>
      <c r="DE1" s="69"/>
      <c r="DG1" s="67" t="s">
        <v>121</v>
      </c>
      <c r="DH1" s="67"/>
      <c r="DI1" s="67"/>
      <c r="DJ1" s="67"/>
      <c r="DK1" s="69"/>
      <c r="DL1" s="69"/>
      <c r="DM1" s="140"/>
      <c r="DN1" s="69"/>
      <c r="DO1" s="69"/>
      <c r="DP1" s="69"/>
      <c r="DR1" s="67" t="s">
        <v>130</v>
      </c>
      <c r="DS1" s="67"/>
      <c r="DT1" s="67"/>
      <c r="DU1" s="67"/>
      <c r="DV1" s="69"/>
      <c r="DW1" s="69"/>
      <c r="DX1" s="140"/>
      <c r="DY1" s="69"/>
      <c r="DZ1" s="69"/>
      <c r="EA1" s="69"/>
      <c r="EC1" s="67" t="s">
        <v>136</v>
      </c>
      <c r="ED1" s="67"/>
      <c r="EE1" s="67"/>
      <c r="EF1" s="67"/>
      <c r="EG1" s="69"/>
      <c r="EH1" s="69"/>
      <c r="EI1" s="140"/>
      <c r="EJ1" s="69"/>
      <c r="EK1" s="69"/>
      <c r="EL1" s="69"/>
      <c r="EN1" s="67" t="s">
        <v>131</v>
      </c>
      <c r="EO1" s="67"/>
      <c r="EP1" s="67"/>
      <c r="EQ1" s="67"/>
      <c r="ER1" s="69"/>
      <c r="ES1" s="69"/>
      <c r="ET1" s="140"/>
      <c r="EU1" s="69"/>
      <c r="EV1" s="69"/>
      <c r="EW1" s="69"/>
      <c r="EY1" s="67" t="s">
        <v>132</v>
      </c>
      <c r="EZ1" s="67"/>
      <c r="FA1" s="67"/>
      <c r="FB1" s="67"/>
      <c r="FC1" s="69"/>
      <c r="FD1" s="69"/>
      <c r="FE1" s="140"/>
      <c r="FF1" s="69"/>
      <c r="FG1" s="69"/>
      <c r="FH1" s="69"/>
    </row>
    <row r="2" spans="1:164" s="71" customFormat="1" ht="22" customHeight="1" x14ac:dyDescent="0.2">
      <c r="A2" s="65">
        <v>338733.03</v>
      </c>
      <c r="B2" s="65"/>
      <c r="C2" s="65"/>
      <c r="D2" s="65"/>
      <c r="E2" s="65"/>
      <c r="F2" s="65"/>
      <c r="G2" s="141"/>
      <c r="H2" s="65"/>
      <c r="I2" s="65"/>
      <c r="J2" s="65"/>
      <c r="L2" s="65">
        <v>338733.17</v>
      </c>
      <c r="M2" s="65"/>
      <c r="N2" s="65"/>
      <c r="O2" s="65"/>
      <c r="P2" s="65"/>
      <c r="Q2" s="65"/>
      <c r="R2" s="141"/>
      <c r="S2" s="65"/>
      <c r="T2" s="65"/>
      <c r="U2" s="65"/>
      <c r="W2" s="65">
        <v>338733.06</v>
      </c>
      <c r="X2" s="65"/>
      <c r="Y2" s="65"/>
      <c r="Z2" s="65"/>
      <c r="AA2" s="65"/>
      <c r="AB2" s="65"/>
      <c r="AC2" s="141"/>
      <c r="AD2" s="65"/>
      <c r="AE2" s="65"/>
      <c r="AF2" s="65"/>
      <c r="AH2" s="65">
        <v>338733.01</v>
      </c>
      <c r="AI2" s="65"/>
      <c r="AJ2" s="65"/>
      <c r="AK2" s="65"/>
      <c r="AL2" s="65"/>
      <c r="AM2" s="65"/>
      <c r="AN2" s="141"/>
      <c r="AO2" s="65"/>
      <c r="AP2" s="65"/>
      <c r="AQ2" s="65"/>
      <c r="AS2" s="65">
        <v>338733.02</v>
      </c>
      <c r="AT2" s="65"/>
      <c r="AU2" s="65"/>
      <c r="AV2" s="65"/>
      <c r="AW2" s="65"/>
      <c r="AX2" s="65"/>
      <c r="AY2" s="65"/>
      <c r="AZ2" s="65"/>
      <c r="BA2" s="65"/>
      <c r="BB2" s="65"/>
      <c r="BD2" s="65">
        <v>338733.04</v>
      </c>
      <c r="BE2" s="65"/>
      <c r="BF2" s="65"/>
      <c r="BG2" s="65"/>
      <c r="BH2" s="65"/>
      <c r="BI2" s="65"/>
      <c r="BJ2" s="141"/>
      <c r="BK2" s="65"/>
      <c r="BL2" s="65"/>
      <c r="BM2" s="65"/>
      <c r="BO2" s="65">
        <v>338733.05</v>
      </c>
      <c r="BP2" s="65"/>
      <c r="BQ2" s="65"/>
      <c r="BR2" s="65"/>
      <c r="BS2" s="65"/>
      <c r="BT2" s="65"/>
      <c r="BU2" s="141"/>
      <c r="BV2" s="65"/>
      <c r="BW2" s="65"/>
      <c r="BX2" s="65"/>
      <c r="BZ2" s="65">
        <v>338733.18</v>
      </c>
      <c r="CA2" s="65"/>
      <c r="CB2" s="65"/>
      <c r="CC2" s="65"/>
      <c r="CD2" s="65"/>
      <c r="CE2" s="65"/>
      <c r="CF2" s="141"/>
      <c r="CG2" s="65"/>
      <c r="CH2" s="65"/>
      <c r="CI2" s="65"/>
      <c r="CK2" s="65">
        <v>338733.07</v>
      </c>
      <c r="CL2" s="65"/>
      <c r="CM2" s="65"/>
      <c r="CN2" s="65"/>
      <c r="CO2" s="65"/>
      <c r="CP2" s="65"/>
      <c r="CQ2" s="141"/>
      <c r="CR2" s="65"/>
      <c r="CS2" s="65"/>
      <c r="CT2" s="65"/>
      <c r="CV2" s="65">
        <v>338733.08</v>
      </c>
      <c r="CW2" s="65"/>
      <c r="CX2" s="65"/>
      <c r="CY2" s="65"/>
      <c r="CZ2" s="65"/>
      <c r="DA2" s="65"/>
      <c r="DB2" s="141"/>
      <c r="DC2" s="65"/>
      <c r="DD2" s="65"/>
      <c r="DE2" s="65"/>
      <c r="DG2" s="65">
        <v>338733.09</v>
      </c>
      <c r="DH2" s="65"/>
      <c r="DI2" s="65"/>
      <c r="DJ2" s="65"/>
      <c r="DK2" s="65"/>
      <c r="DL2" s="65"/>
      <c r="DM2" s="141"/>
      <c r="DN2" s="65"/>
      <c r="DO2" s="65"/>
      <c r="DP2" s="65"/>
      <c r="DR2" s="141">
        <v>338733.1</v>
      </c>
      <c r="DS2" s="65"/>
      <c r="DT2" s="65"/>
      <c r="DU2" s="65"/>
      <c r="DV2" s="65"/>
      <c r="DW2" s="65"/>
      <c r="DX2" s="141"/>
      <c r="DY2" s="65"/>
      <c r="DZ2" s="65"/>
      <c r="EA2" s="65"/>
      <c r="EC2" s="141">
        <v>338733.1</v>
      </c>
      <c r="ED2" s="65"/>
      <c r="EE2" s="65"/>
      <c r="EF2" s="65"/>
      <c r="EG2" s="65"/>
      <c r="EH2" s="65"/>
      <c r="EI2" s="141"/>
      <c r="EJ2" s="65"/>
      <c r="EK2" s="65"/>
      <c r="EL2" s="65"/>
      <c r="EN2" s="65">
        <v>338733.15</v>
      </c>
      <c r="EO2" s="65"/>
      <c r="EP2" s="65"/>
      <c r="EQ2" s="65"/>
      <c r="ER2" s="65"/>
      <c r="ES2" s="65"/>
      <c r="ET2" s="141"/>
      <c r="EU2" s="65"/>
      <c r="EV2" s="65"/>
      <c r="EW2" s="65"/>
      <c r="EY2" s="65">
        <v>338733.15</v>
      </c>
      <c r="EZ2" s="65"/>
      <c r="FA2" s="65"/>
      <c r="FB2" s="65"/>
      <c r="FC2" s="65"/>
      <c r="FD2" s="65"/>
      <c r="FE2" s="141"/>
      <c r="FF2" s="65"/>
      <c r="FG2" s="65"/>
      <c r="FH2" s="65"/>
    </row>
    <row r="3" spans="1:164" s="52" customFormat="1" ht="16" customHeight="1" x14ac:dyDescent="0.2">
      <c r="A3" s="66" t="s">
        <v>50</v>
      </c>
      <c r="B3" s="66" t="s">
        <v>14</v>
      </c>
      <c r="C3" s="66" t="s">
        <v>87</v>
      </c>
      <c r="D3" s="66" t="s">
        <v>16</v>
      </c>
      <c r="E3" s="66" t="s">
        <v>4</v>
      </c>
      <c r="F3" s="66" t="s">
        <v>83</v>
      </c>
      <c r="G3" s="142" t="s">
        <v>137</v>
      </c>
      <c r="H3" s="66" t="s">
        <v>84</v>
      </c>
      <c r="I3" s="66" t="s">
        <v>85</v>
      </c>
      <c r="J3" s="66" t="s">
        <v>138</v>
      </c>
      <c r="L3" s="66" t="s">
        <v>50</v>
      </c>
      <c r="M3" s="66" t="s">
        <v>14</v>
      </c>
      <c r="N3" s="66" t="s">
        <v>87</v>
      </c>
      <c r="O3" s="66" t="s">
        <v>16</v>
      </c>
      <c r="P3" s="66" t="s">
        <v>4</v>
      </c>
      <c r="Q3" s="66" t="s">
        <v>83</v>
      </c>
      <c r="R3" s="142" t="s">
        <v>137</v>
      </c>
      <c r="S3" s="66" t="s">
        <v>84</v>
      </c>
      <c r="T3" s="66" t="s">
        <v>85</v>
      </c>
      <c r="U3" s="66" t="s">
        <v>138</v>
      </c>
      <c r="W3" s="66" t="s">
        <v>50</v>
      </c>
      <c r="X3" s="66" t="s">
        <v>14</v>
      </c>
      <c r="Y3" s="66" t="s">
        <v>87</v>
      </c>
      <c r="Z3" s="66" t="s">
        <v>16</v>
      </c>
      <c r="AA3" s="66" t="s">
        <v>4</v>
      </c>
      <c r="AB3" s="66" t="s">
        <v>83</v>
      </c>
      <c r="AC3" s="142" t="s">
        <v>137</v>
      </c>
      <c r="AD3" s="66" t="s">
        <v>84</v>
      </c>
      <c r="AE3" s="66" t="s">
        <v>85</v>
      </c>
      <c r="AF3" s="66" t="s">
        <v>138</v>
      </c>
      <c r="AH3" s="66" t="s">
        <v>50</v>
      </c>
      <c r="AI3" s="66" t="s">
        <v>14</v>
      </c>
      <c r="AJ3" s="66" t="s">
        <v>87</v>
      </c>
      <c r="AK3" s="66" t="s">
        <v>16</v>
      </c>
      <c r="AL3" s="66" t="s">
        <v>4</v>
      </c>
      <c r="AM3" s="66" t="s">
        <v>83</v>
      </c>
      <c r="AN3" s="142" t="s">
        <v>137</v>
      </c>
      <c r="AO3" s="66" t="s">
        <v>84</v>
      </c>
      <c r="AP3" s="66" t="s">
        <v>85</v>
      </c>
      <c r="AQ3" s="66" t="s">
        <v>138</v>
      </c>
      <c r="AS3" s="66" t="s">
        <v>50</v>
      </c>
      <c r="AT3" s="66" t="s">
        <v>14</v>
      </c>
      <c r="AU3" s="66" t="s">
        <v>87</v>
      </c>
      <c r="AV3" s="66" t="s">
        <v>16</v>
      </c>
      <c r="AW3" s="66" t="s">
        <v>4</v>
      </c>
      <c r="AX3" s="66" t="s">
        <v>83</v>
      </c>
      <c r="AY3" s="66" t="s">
        <v>137</v>
      </c>
      <c r="AZ3" s="66" t="s">
        <v>84</v>
      </c>
      <c r="BA3" s="66" t="s">
        <v>85</v>
      </c>
      <c r="BB3" s="66" t="s">
        <v>138</v>
      </c>
      <c r="BD3" s="66" t="s">
        <v>50</v>
      </c>
      <c r="BE3" s="66" t="s">
        <v>14</v>
      </c>
      <c r="BF3" s="66" t="s">
        <v>87</v>
      </c>
      <c r="BG3" s="66" t="s">
        <v>16</v>
      </c>
      <c r="BH3" s="66" t="s">
        <v>4</v>
      </c>
      <c r="BI3" s="66" t="s">
        <v>83</v>
      </c>
      <c r="BJ3" s="142" t="s">
        <v>137</v>
      </c>
      <c r="BK3" s="66" t="s">
        <v>84</v>
      </c>
      <c r="BL3" s="66" t="s">
        <v>85</v>
      </c>
      <c r="BM3" s="66" t="s">
        <v>138</v>
      </c>
      <c r="BO3" s="66" t="s">
        <v>50</v>
      </c>
      <c r="BP3" s="66" t="s">
        <v>14</v>
      </c>
      <c r="BQ3" s="66" t="s">
        <v>87</v>
      </c>
      <c r="BR3" s="66" t="s">
        <v>16</v>
      </c>
      <c r="BS3" s="66" t="s">
        <v>4</v>
      </c>
      <c r="BT3" s="66" t="s">
        <v>83</v>
      </c>
      <c r="BU3" s="142" t="s">
        <v>137</v>
      </c>
      <c r="BV3" s="66" t="s">
        <v>84</v>
      </c>
      <c r="BW3" s="66" t="s">
        <v>85</v>
      </c>
      <c r="BX3" s="66" t="s">
        <v>138</v>
      </c>
      <c r="BZ3" s="66" t="s">
        <v>50</v>
      </c>
      <c r="CA3" s="66" t="s">
        <v>14</v>
      </c>
      <c r="CB3" s="66" t="s">
        <v>87</v>
      </c>
      <c r="CC3" s="66" t="s">
        <v>16</v>
      </c>
      <c r="CD3" s="66" t="s">
        <v>4</v>
      </c>
      <c r="CE3" s="66" t="s">
        <v>83</v>
      </c>
      <c r="CF3" s="142" t="s">
        <v>137</v>
      </c>
      <c r="CG3" s="66" t="s">
        <v>84</v>
      </c>
      <c r="CH3" s="66" t="s">
        <v>85</v>
      </c>
      <c r="CI3" s="66" t="s">
        <v>138</v>
      </c>
      <c r="CK3" s="66" t="s">
        <v>50</v>
      </c>
      <c r="CL3" s="66" t="s">
        <v>14</v>
      </c>
      <c r="CM3" s="66" t="s">
        <v>87</v>
      </c>
      <c r="CN3" s="66" t="s">
        <v>16</v>
      </c>
      <c r="CO3" s="66" t="s">
        <v>4</v>
      </c>
      <c r="CP3" s="66" t="s">
        <v>83</v>
      </c>
      <c r="CQ3" s="142" t="s">
        <v>137</v>
      </c>
      <c r="CR3" s="66" t="s">
        <v>84</v>
      </c>
      <c r="CS3" s="66" t="s">
        <v>85</v>
      </c>
      <c r="CT3" s="66" t="s">
        <v>138</v>
      </c>
      <c r="CV3" s="66" t="s">
        <v>50</v>
      </c>
      <c r="CW3" s="66" t="s">
        <v>14</v>
      </c>
      <c r="CX3" s="66" t="s">
        <v>87</v>
      </c>
      <c r="CY3" s="66" t="s">
        <v>16</v>
      </c>
      <c r="CZ3" s="66" t="s">
        <v>4</v>
      </c>
      <c r="DA3" s="66" t="s">
        <v>83</v>
      </c>
      <c r="DB3" s="142" t="s">
        <v>137</v>
      </c>
      <c r="DC3" s="66" t="s">
        <v>84</v>
      </c>
      <c r="DD3" s="66" t="s">
        <v>85</v>
      </c>
      <c r="DE3" s="66" t="s">
        <v>138</v>
      </c>
      <c r="DG3" s="66" t="s">
        <v>50</v>
      </c>
      <c r="DH3" s="66" t="s">
        <v>14</v>
      </c>
      <c r="DI3" s="66" t="s">
        <v>87</v>
      </c>
      <c r="DJ3" s="66" t="s">
        <v>16</v>
      </c>
      <c r="DK3" s="66" t="s">
        <v>4</v>
      </c>
      <c r="DL3" s="66" t="s">
        <v>83</v>
      </c>
      <c r="DM3" s="142" t="s">
        <v>137</v>
      </c>
      <c r="DN3" s="66" t="s">
        <v>84</v>
      </c>
      <c r="DO3" s="66" t="s">
        <v>85</v>
      </c>
      <c r="DP3" s="66" t="s">
        <v>138</v>
      </c>
      <c r="DR3" s="66" t="s">
        <v>50</v>
      </c>
      <c r="DS3" s="66" t="s">
        <v>14</v>
      </c>
      <c r="DT3" s="66" t="s">
        <v>87</v>
      </c>
      <c r="DU3" s="66" t="s">
        <v>16</v>
      </c>
      <c r="DV3" s="66" t="s">
        <v>4</v>
      </c>
      <c r="DW3" s="66" t="s">
        <v>83</v>
      </c>
      <c r="DX3" s="142" t="s">
        <v>137</v>
      </c>
      <c r="DY3" s="66" t="s">
        <v>84</v>
      </c>
      <c r="DZ3" s="66" t="s">
        <v>85</v>
      </c>
      <c r="EA3" s="66" t="s">
        <v>138</v>
      </c>
      <c r="EC3" s="66" t="s">
        <v>50</v>
      </c>
      <c r="ED3" s="66" t="s">
        <v>14</v>
      </c>
      <c r="EE3" s="66" t="s">
        <v>87</v>
      </c>
      <c r="EF3" s="66" t="s">
        <v>16</v>
      </c>
      <c r="EG3" s="66" t="s">
        <v>4</v>
      </c>
      <c r="EH3" s="66" t="s">
        <v>83</v>
      </c>
      <c r="EI3" s="142" t="s">
        <v>137</v>
      </c>
      <c r="EJ3" s="66" t="s">
        <v>84</v>
      </c>
      <c r="EK3" s="66" t="s">
        <v>85</v>
      </c>
      <c r="EL3" s="66" t="s">
        <v>138</v>
      </c>
      <c r="EN3" s="66" t="s">
        <v>50</v>
      </c>
      <c r="EO3" s="66" t="s">
        <v>14</v>
      </c>
      <c r="EP3" s="66" t="s">
        <v>87</v>
      </c>
      <c r="EQ3" s="66" t="s">
        <v>16</v>
      </c>
      <c r="ER3" s="66" t="s">
        <v>4</v>
      </c>
      <c r="ES3" s="66" t="s">
        <v>83</v>
      </c>
      <c r="ET3" s="142" t="s">
        <v>137</v>
      </c>
      <c r="EU3" s="66" t="s">
        <v>84</v>
      </c>
      <c r="EV3" s="66" t="s">
        <v>85</v>
      </c>
      <c r="EW3" s="66" t="s">
        <v>138</v>
      </c>
      <c r="EY3" s="66" t="s">
        <v>50</v>
      </c>
      <c r="EZ3" s="66" t="s">
        <v>14</v>
      </c>
      <c r="FA3" s="66" t="s">
        <v>87</v>
      </c>
      <c r="FB3" s="66" t="s">
        <v>16</v>
      </c>
      <c r="FC3" s="66" t="s">
        <v>4</v>
      </c>
      <c r="FD3" s="66" t="s">
        <v>83</v>
      </c>
      <c r="FE3" s="142" t="s">
        <v>137</v>
      </c>
      <c r="FF3" s="66" t="s">
        <v>84</v>
      </c>
      <c r="FG3" s="66" t="s">
        <v>85</v>
      </c>
      <c r="FH3" s="66" t="s">
        <v>138</v>
      </c>
    </row>
    <row r="4" spans="1:164" ht="16" customHeight="1" x14ac:dyDescent="0.2">
      <c r="A4" s="3" cm="1">
        <f t="array" ref="A4">_xlfn.UNIQUE(_xlfn._xlws.FILTER('Factory Log'!$J:$J,'Factory Log'!$B:$B=Performance!A$1))</f>
        <v>338733.03</v>
      </c>
      <c r="B4" s="3" t="str">
        <f>IFERROR(VLOOKUP(A4,'Factory Log'!$J:$O,6,0),0)</f>
        <v>Gardners</v>
      </c>
      <c r="C4" s="3" t="str">
        <f>IFERROR(VLOOKUP(A4,'Factory Log'!$J:$P,7,0),0)</f>
        <v>No Customer</v>
      </c>
      <c r="D4" s="3" t="str">
        <f>IFERROR(VLOOKUP(A4,'Factory Log'!$J:$Q,8,0),0)</f>
        <v>No Product</v>
      </c>
      <c r="E4" s="58">
        <f>SUMIFS('Factory Log'!$D:$D,'Factory Log'!$B:$B,Performance!A$1,'Factory Log'!$J:$J,Performance!A4,'Factory Log'!$C:$C,"Running")+SUMIFS('Factory Log'!$D:$D,'Factory Log'!$B:$B,Performance!A$1,'Factory Log'!$J:$J,Performance!A4,'Factory Log'!$C:$C,"Make Ready")+SUMIFS('Factory Log'!$D:$D,'Factory Log'!$B:$B,Performance!A$1,'Factory Log'!$J:$J,Performance!A4,'Factory Log'!$C:$C,"Roll Change")</f>
        <v>0</v>
      </c>
      <c r="F4" s="3">
        <f>SUMIFS('Factory Log'!$M:$M,'Factory Log'!$B:$B,Performance!A$1,'Factory Log'!$J:$J,Performance!A4,'Factory Log'!$C:$C,"Running")</f>
        <v>0</v>
      </c>
      <c r="G4" s="58" cm="1">
        <f t="array" ref="G4">IFERROR(INDEX('Factory Log'!$S:$S,MATCH(1,(Performance!A$1='Factory Log'!$B:$B)*(Performance!A4='Factory Log'!$A:$A),0)),0)</f>
        <v>0</v>
      </c>
      <c r="H4" s="3">
        <f>IFERROR(VLOOKUP(A4,'Factory Log'!$J:$R,9,0),0)</f>
        <v>0</v>
      </c>
      <c r="I4" s="64">
        <f>IFERROR(MIN(F4/H4,1),0)</f>
        <v>0</v>
      </c>
      <c r="J4" s="58">
        <f t="shared" ref="J4:J23" si="0">IFERROR(G4*I4,0)</f>
        <v>0</v>
      </c>
      <c r="L4" s="3" cm="1">
        <f t="array" ref="L4:L6">_xlfn.UNIQUE(_xlfn._xlws.FILTER('Factory Log'!$J:$J,'Factory Log'!$B:$B=Performance!L$1))</f>
        <v>349311</v>
      </c>
      <c r="M4" s="3" t="str">
        <f>IFERROR(VLOOKUP(L4,'Factory Log'!$J:$O,6,0),0)</f>
        <v>Inspired Thinking Group (ITG) - SPIRIT</v>
      </c>
      <c r="N4" s="3" t="str">
        <f>IFERROR(VLOOKUP(L4,'Factory Log'!$J:$P,7,0),0)</f>
        <v>Greene King</v>
      </c>
      <c r="O4" s="3" t="str">
        <f>IFERROR(VLOOKUP(L4,'Factory Log'!$J:$Q,8,0),0)</f>
        <v>Signage</v>
      </c>
      <c r="P4" s="58">
        <f>SUMIFS('Factory Log'!$D:$D,'Factory Log'!$B:$B,Performance!L$1,'Factory Log'!$J:$J,Performance!L4,'Factory Log'!$C:$C,"Running")+SUMIFS('Factory Log'!$D:$D,'Factory Log'!$B:$B,Performance!L$1,'Factory Log'!$J:$J,Performance!L4,'Factory Log'!$C:$C,"Make Ready")+SUMIFS('Factory Log'!$D:$D,'Factory Log'!$B:$B,Performance!L$1,'Factory Log'!$J:$J,Performance!L4,'Factory Log'!$C:$C,"Roll Change")</f>
        <v>4.683333333407063</v>
      </c>
      <c r="Q4" s="3">
        <f>SUMIFS('Factory Log'!$M:$M,'Factory Log'!$B:$B,Performance!L$1,'Factory Log'!$J:$J,Performance!L4,'Factory Log'!$C:$C,"Running")</f>
        <v>71</v>
      </c>
      <c r="R4" s="58" cm="1">
        <f t="array" ref="R4">IFERROR(INDEX('Factory Log'!$S:$S,MATCH(1,(Performance!L$1='Factory Log'!$B:$B)*(Performance!L4='Factory Log'!$A:$A),0)),0)</f>
        <v>0.75</v>
      </c>
      <c r="S4" s="3">
        <f>IFERROR(VLOOKUP(L4,'Factory Log'!$J:$R,9,0),0)</f>
        <v>70</v>
      </c>
      <c r="T4" s="64">
        <f>IFERROR(MIN(Q4/S4,1),0)</f>
        <v>1</v>
      </c>
      <c r="U4" s="58">
        <f>IFERROR(R4*T4,0)</f>
        <v>0.75</v>
      </c>
      <c r="W4" s="3" cm="1">
        <f t="array" ref="W4:W6">_xlfn.UNIQUE(_xlfn._xlws.FILTER('Factory Log'!$J:$J,'Factory Log'!$B:$B=Performance!W$1))</f>
        <v>338733.06</v>
      </c>
      <c r="X4" s="3" t="str">
        <f>IFERROR(VLOOKUP(W4,'Factory Log'!$J:$O,6,0),0)</f>
        <v>Gardners</v>
      </c>
      <c r="Y4" s="3" t="str">
        <f>IFERROR(VLOOKUP(W4,'Factory Log'!$J:$P,7,0),0)</f>
        <v>No Customer</v>
      </c>
      <c r="Z4" s="3" t="str">
        <f>IFERROR(VLOOKUP(W4,'Factory Log'!$J:$Q,8,0),0)</f>
        <v>No Product</v>
      </c>
      <c r="AA4" s="58">
        <f>SUMIFS('Factory Log'!$D:$D,'Factory Log'!$B:$B,Performance!W$1,'Factory Log'!$J:$J,Performance!W4,'Factory Log'!$C:$C,"Running")+SUMIFS('Factory Log'!$D:$D,'Factory Log'!$B:$B,Performance!W$1,'Factory Log'!$J:$J,Performance!W4,'Factory Log'!$C:$C,"Make Ready")+SUMIFS('Factory Log'!$D:$D,'Factory Log'!$B:$B,Performance!W$1,'Factory Log'!$J:$J,Performance!W4,'Factory Log'!$C:$C,"Roll Change")</f>
        <v>0</v>
      </c>
      <c r="AB4" s="3">
        <f>SUMIFS('Factory Log'!$M:$M,'Factory Log'!$B:$B,Performance!W$1,'Factory Log'!$J:$J,Performance!W4,'Factory Log'!$C:$C,"Running")</f>
        <v>0</v>
      </c>
      <c r="AC4" s="58" cm="1">
        <f t="array" ref="AC4">IFERROR(INDEX('Factory Log'!$S:$S,MATCH(1,(Performance!W$1='Factory Log'!$B:$B)*(Performance!W4='Factory Log'!$A:$A),0)),0)</f>
        <v>0</v>
      </c>
      <c r="AD4" s="3">
        <f>IFERROR(VLOOKUP(W4,'Factory Log'!$J:$R,9,0),0)</f>
        <v>0</v>
      </c>
      <c r="AE4" s="64">
        <f>IFERROR(MIN(AB4/AD4,1),0)</f>
        <v>0</v>
      </c>
      <c r="AF4" s="58">
        <f>IFERROR(AC4*AE4,0)</f>
        <v>0</v>
      </c>
      <c r="AH4" s="3" cm="1">
        <f t="array" ref="AH4:AH7">_xlfn.UNIQUE(_xlfn._xlws.FILTER('Factory Log'!$J:$J,'Factory Log'!$B:$B=Performance!AH$1))</f>
        <v>347876</v>
      </c>
      <c r="AI4" s="3" t="str">
        <f>IFERROR(VLOOKUP(AH4,'Factory Log'!$J:$O,6,0),0)</f>
        <v>Asda Stores Ltd</v>
      </c>
      <c r="AJ4" s="3" t="str">
        <f>IFERROR(VLOOKUP(AH4,'Factory Log'!$J:$P,7,0),0)</f>
        <v>ASDA</v>
      </c>
      <c r="AK4" s="3" t="str">
        <f>IFERROR(VLOOKUP(AH4,'Factory Log'!$J:$Q,8,0),0)</f>
        <v>Agripa - Fleet - Production</v>
      </c>
      <c r="AL4" s="58">
        <f>SUMIFS('Factory Log'!$D:$D,'Factory Log'!$B:$B,Performance!AH$1,'Factory Log'!$J:$J,Performance!AH4,'Factory Log'!$C:$C,"Running")+SUMIFS('Factory Log'!$D:$D,'Factory Log'!$B:$B,Performance!AH$1,'Factory Log'!$J:$J,Performance!AH4,'Factory Log'!$C:$C,"Make Ready")+SUMIFS('Factory Log'!$D:$D,'Factory Log'!$B:$B,Performance!AH$1,'Factory Log'!$J:$J,Performance!AH4,'Factory Log'!$C:$C,"Roll Change")</f>
        <v>6.3833333335351199</v>
      </c>
      <c r="AM4" s="3">
        <f>SUMIFS('Factory Log'!$M:$M,'Factory Log'!$B:$B,Performance!AH$1,'Factory Log'!$J:$J,Performance!AH4,'Factory Log'!$C:$C,"Running")</f>
        <v>126</v>
      </c>
      <c r="AN4" s="58" cm="1">
        <f t="array" ref="AN4">IFERROR(INDEX('Factory Log'!$S:$S,MATCH(1,(Performance!AH$1='Factory Log'!$B:$B)*(Performance!AH4='Factory Log'!$A:$A),0)),0)</f>
        <v>43.7</v>
      </c>
      <c r="AO4" s="3">
        <f>IFERROR(VLOOKUP(AH4,'Factory Log'!$J:$R,9,0),0)</f>
        <v>1183</v>
      </c>
      <c r="AP4" s="64">
        <f>IFERROR(MIN(AM4/AO4,1),0)</f>
        <v>0.10650887573964497</v>
      </c>
      <c r="AQ4" s="58">
        <f>IFERROR(AN4*AP4,0)</f>
        <v>4.6544378698224858</v>
      </c>
      <c r="AS4" s="3" cm="1">
        <f t="array" ref="AS4:AS7">_xlfn.UNIQUE(_xlfn._xlws.FILTER('Factory Log'!$J:$J,'Factory Log'!$B:$B=Performance!AS$1))</f>
        <v>349393.02</v>
      </c>
      <c r="AT4" s="3" t="str">
        <f>IFERROR(VLOOKUP(AS4,'Factory Log'!$J:$O,6,0),0)</f>
        <v>B&amp;Q Ltd</v>
      </c>
      <c r="AU4" s="3" t="str">
        <f>IFERROR(VLOOKUP(AS4,'Factory Log'!$J:$P,7,0),0)</f>
        <v>B&amp;Q</v>
      </c>
      <c r="AV4" s="3" t="str">
        <f>IFERROR(VLOOKUP(AS4,'Factory Log'!$J:$Q,8,0),0)</f>
        <v>Banner - Retail</v>
      </c>
      <c r="AW4" s="58">
        <f>SUMIFS('Factory Log'!$D:$D,'Factory Log'!$B:$B,Performance!AS$1,'Factory Log'!$J:$J,Performance!AS4,'Factory Log'!$C:$C,"Running")+SUMIFS('Factory Log'!$D:$D,'Factory Log'!$B:$B,Performance!AS$1,'Factory Log'!$J:$J,Performance!AS4,'Factory Log'!$C:$C,"Make Ready")+SUMIFS('Factory Log'!$D:$D,'Factory Log'!$B:$B,Performance!AS$1,'Factory Log'!$J:$J,Performance!AS4,'Factory Log'!$C:$C,"Roll Change")</f>
        <v>12.266666666662786</v>
      </c>
      <c r="AX4" s="3">
        <f>SUMIFS('Factory Log'!$M:$M,'Factory Log'!$B:$B,Performance!AS$1,'Factory Log'!$J:$J,Performance!AS4,'Factory Log'!$C:$C,"Running")</f>
        <v>179</v>
      </c>
      <c r="AY4" s="58" cm="1">
        <f t="array" ref="AY4">IFERROR(INDEX('Factory Log'!$S:$S,MATCH(1,(Performance!AS$1='Factory Log'!$B:$B)*(Performance!AS4='Factory Log'!$A:$A),0)),0)</f>
        <v>15</v>
      </c>
      <c r="AZ4" s="3">
        <f>IFERROR(VLOOKUP(AS4,'Factory Log'!$J:$R,9,0),0)</f>
        <v>174</v>
      </c>
      <c r="BA4" s="64">
        <f>IFERROR(MIN(AX4/AZ4,1),0)</f>
        <v>1</v>
      </c>
      <c r="BB4" s="58">
        <f>IFERROR(AY4*BA4,0)</f>
        <v>15</v>
      </c>
      <c r="BD4" s="3" cm="1">
        <f t="array" ref="BD4:BD9">_xlfn.UNIQUE(_xlfn._xlws.FILTER('Factory Log'!$J:$J,'Factory Log'!$B:$B=Performance!BD$1))</f>
        <v>349423.04</v>
      </c>
      <c r="BE4" s="3" t="str">
        <f>IFERROR(VLOOKUP(BD4,'Factory Log'!$J:$O,6,0),0)</f>
        <v>ABCDesigns</v>
      </c>
      <c r="BF4" s="3" t="str">
        <f>IFERROR(VLOOKUP(BD4,'Factory Log'!$J:$P,7,0),0)</f>
        <v>Unknown</v>
      </c>
      <c r="BG4" s="3" t="str">
        <f>IFERROR(VLOOKUP(BD4,'Factory Log'!$J:$Q,8,0),0)</f>
        <v>Banner - Event</v>
      </c>
      <c r="BH4" s="58">
        <f>SUMIFS('Factory Log'!$D:$D,'Factory Log'!$B:$B,Performance!BD$1,'Factory Log'!$J:$J,Performance!BD4,'Factory Log'!$C:$C,"Running")+SUMIFS('Factory Log'!$D:$D,'Factory Log'!$B:$B,Performance!BD$1,'Factory Log'!$J:$J,Performance!BD4,'Factory Log'!$C:$C,"Make Ready")+SUMIFS('Factory Log'!$D:$D,'Factory Log'!$B:$B,Performance!BD$1,'Factory Log'!$J:$J,Performance!BD4,'Factory Log'!$C:$C,"Roll Change")</f>
        <v>5.1666666667442769</v>
      </c>
      <c r="BI4" s="3">
        <f>SUMIFS('Factory Log'!$M:$M,'Factory Log'!$B:$B,Performance!BD$1,'Factory Log'!$J:$J,Performance!BD4,'Factory Log'!$C:$C,"Running")</f>
        <v>8</v>
      </c>
      <c r="BJ4" s="58" cm="1">
        <f t="array" ref="BJ4">IFERROR(INDEX('Factory Log'!$S:$S,MATCH(1,(Performance!BD$1='Factory Log'!$B:$B)*(Performance!BD4='Factory Log'!$A:$A),0)),0)</f>
        <v>1.85</v>
      </c>
      <c r="BK4" s="3">
        <f>IFERROR(VLOOKUP(BD4,'Factory Log'!$J:$R,9,0),0)</f>
        <v>6</v>
      </c>
      <c r="BL4" s="64">
        <f>IFERROR(MIN(BI4/BK4,1),0)</f>
        <v>1</v>
      </c>
      <c r="BM4" s="58">
        <f>IFERROR(BJ4*BL4,0)</f>
        <v>1.85</v>
      </c>
      <c r="BO4" s="3" cm="1">
        <f t="array" ref="BO4:BO6">_xlfn.UNIQUE(_xlfn._xlws.FILTER('Factory Log'!$J:$J,'Factory Log'!$B:$B=Performance!BO$1))</f>
        <v>338733.05</v>
      </c>
      <c r="BP4" s="3" t="str">
        <f>IFERROR(VLOOKUP(BO4,'Factory Log'!$J:$O,6,0),0)</f>
        <v>Gardners</v>
      </c>
      <c r="BQ4" s="3" t="str">
        <f>IFERROR(VLOOKUP(BO4,'Factory Log'!$J:$P,7,0),0)</f>
        <v>No Customer</v>
      </c>
      <c r="BR4" s="3" t="str">
        <f>IFERROR(VLOOKUP(BO4,'Factory Log'!$J:$Q,8,0),0)</f>
        <v>No Product</v>
      </c>
      <c r="BS4" s="58">
        <f>SUMIFS('Factory Log'!$D:$D,'Factory Log'!$B:$B,Performance!BO$1,'Factory Log'!$J:$J,Performance!BO4,'Factory Log'!$C:$C,"Running")+SUMIFS('Factory Log'!$D:$D,'Factory Log'!$B:$B,Performance!BO$1,'Factory Log'!$J:$J,Performance!BO4,'Factory Log'!$C:$C,"Make Ready")+SUMIFS('Factory Log'!$D:$D,'Factory Log'!$B:$B,Performance!BO$1,'Factory Log'!$J:$J,Performance!BO4,'Factory Log'!$C:$C,"Roll Change")</f>
        <v>0</v>
      </c>
      <c r="BT4" s="3">
        <f>SUMIFS('Factory Log'!$M:$M,'Factory Log'!$B:$B,Performance!BO$1,'Factory Log'!$J:$J,Performance!BO4,'Factory Log'!$C:$C,"Running")</f>
        <v>0</v>
      </c>
      <c r="BU4" s="58" cm="1">
        <f t="array" ref="BU4">IFERROR(INDEX('Factory Log'!$S:$S,MATCH(1,(Performance!BO$1='Factory Log'!$B:$B)*(Performance!BO4='Factory Log'!$A:$A),0)),0)</f>
        <v>0</v>
      </c>
      <c r="BV4" s="3">
        <f>IFERROR(VLOOKUP(BO4,'Factory Log'!$J:$R,9,0),0)</f>
        <v>0</v>
      </c>
      <c r="BW4" s="64">
        <f>IFERROR(MIN(BT4/BV4,1),0)</f>
        <v>0</v>
      </c>
      <c r="BX4" s="58">
        <f>IFERROR(BU4*BW4,0)</f>
        <v>0</v>
      </c>
      <c r="BZ4" s="3" cm="1">
        <f t="array" ref="BZ4">_xlfn.UNIQUE(_xlfn._xlws.FILTER('Factory Log'!$J:$J,'Factory Log'!$B:$B=Performance!BZ$1))</f>
        <v>338733.18</v>
      </c>
      <c r="CA4" s="3" t="str">
        <f>IFERROR(VLOOKUP(BZ4,'Factory Log'!$J:$O,6,0),0)</f>
        <v>Gardners</v>
      </c>
      <c r="CB4" s="3" t="str">
        <f>IFERROR(VLOOKUP(BZ4,'Factory Log'!$J:$P,7,0),0)</f>
        <v>No Customer</v>
      </c>
      <c r="CC4" s="3" t="str">
        <f>IFERROR(VLOOKUP(BZ4,'Factory Log'!$J:$Q,8,0),0)</f>
        <v>No Product</v>
      </c>
      <c r="CD4" s="58">
        <f>SUMIFS('Factory Log'!$D:$D,'Factory Log'!$B:$B,Performance!BZ$1,'Factory Log'!$J:$J,Performance!BZ4,'Factory Log'!$C:$C,"Running")+SUMIFS('Factory Log'!$D:$D,'Factory Log'!$B:$B,Performance!BZ$1,'Factory Log'!$J:$J,Performance!BZ4,'Factory Log'!$C:$C,"Make Ready")+SUMIFS('Factory Log'!$D:$D,'Factory Log'!$B:$B,Performance!BZ$1,'Factory Log'!$J:$J,Performance!BZ4,'Factory Log'!$C:$C,"Roll Change")</f>
        <v>0</v>
      </c>
      <c r="CE4" s="3">
        <f>SUMIFS('Factory Log'!$M:$M,'Factory Log'!$B:$B,Performance!BZ$1,'Factory Log'!$J:$J,Performance!BZ4,'Factory Log'!$C:$C,"Running")</f>
        <v>0</v>
      </c>
      <c r="CF4" s="58" cm="1">
        <f t="array" ref="CF4">IFERROR(INDEX('Factory Log'!$S:$S,MATCH(1,(Performance!BZ$1='Factory Log'!$B:$B)*(Performance!BZ4='Factory Log'!$A:$A),0)),0)</f>
        <v>0</v>
      </c>
      <c r="CG4" s="3">
        <f>IFERROR(VLOOKUP(BZ4,'Factory Log'!$J:$R,9,0),0)</f>
        <v>0</v>
      </c>
      <c r="CH4" s="64">
        <f>IFERROR(MIN(CE4/CG4,1),0)</f>
        <v>0</v>
      </c>
      <c r="CI4" s="58">
        <f>IFERROR(CF4*CH4,0)</f>
        <v>0</v>
      </c>
      <c r="CK4" s="3" cm="1">
        <f t="array" ref="CK4:CK11">_xlfn.UNIQUE(_xlfn._xlws.FILTER('Factory Log'!$J:$J,'Factory Log'!$B:$B=Performance!CK$1))</f>
        <v>338733.07</v>
      </c>
      <c r="CL4" s="3" t="str">
        <f>IFERROR(VLOOKUP(CK4,'Factory Log'!$J:$O,6,0),0)</f>
        <v>Gardners</v>
      </c>
      <c r="CM4" s="3" t="str">
        <f>IFERROR(VLOOKUP(CK4,'Factory Log'!$J:$P,7,0),0)</f>
        <v>No Customer</v>
      </c>
      <c r="CN4" s="3" t="str">
        <f>IFERROR(VLOOKUP(CK4,'Factory Log'!$J:$Q,8,0),0)</f>
        <v>No Product</v>
      </c>
      <c r="CO4" s="58">
        <f>SUMIFS('Factory Log'!$D:$D,'Factory Log'!$B:$B,Performance!CK$1,'Factory Log'!$J:$J,Performance!CK4,'Factory Log'!$C:$C,"Running")+SUMIFS('Factory Log'!$D:$D,'Factory Log'!$B:$B,Performance!CK$1,'Factory Log'!$J:$J,Performance!CK4,'Factory Log'!$C:$C,"Make Ready")+SUMIFS('Factory Log'!$D:$D,'Factory Log'!$B:$B,Performance!CK$1,'Factory Log'!$J:$J,Performance!CK4,'Factory Log'!$C:$C,"Roll Change")</f>
        <v>0</v>
      </c>
      <c r="CP4" s="3">
        <f>SUMIFS('Factory Log'!$M:$M,'Factory Log'!$B:$B,Performance!CK$1,'Factory Log'!$J:$J,Performance!CK4,'Factory Log'!$C:$C,"Running")</f>
        <v>0</v>
      </c>
      <c r="CQ4" s="58" cm="1">
        <f t="array" ref="CQ4">IFERROR(INDEX('Factory Log'!$S:$S,MATCH(1,(Performance!CK$1='Factory Log'!$B:$B)*(Performance!CK4='Factory Log'!$A:$A),0)),0)</f>
        <v>0</v>
      </c>
      <c r="CR4" s="3">
        <f>IFERROR(VLOOKUP(CK4,'Factory Log'!$J:$R,9,0),0)</f>
        <v>0</v>
      </c>
      <c r="CS4" s="64">
        <f>IFERROR(MIN(CP4/CR4,1),0)</f>
        <v>0</v>
      </c>
      <c r="CT4" s="58">
        <f>IFERROR(CQ4*CS4,0)</f>
        <v>0</v>
      </c>
      <c r="CV4" s="3" cm="1">
        <f t="array" ref="CV4:CV6">_xlfn.UNIQUE(_xlfn._xlws.FILTER('Factory Log'!$J:$J,'Factory Log'!$B:$B=Performance!CV$1))</f>
        <v>338733.08</v>
      </c>
      <c r="CW4" s="3" t="str">
        <f>IFERROR(VLOOKUP(CV4,'Factory Log'!$J:$O,6,0),0)</f>
        <v>Gardners</v>
      </c>
      <c r="CX4" s="3" t="str">
        <f>IFERROR(VLOOKUP(CV4,'Factory Log'!$J:$P,7,0),0)</f>
        <v>No Customer</v>
      </c>
      <c r="CY4" s="3" t="str">
        <f>IFERROR(VLOOKUP(CV4,'Factory Log'!$J:$Q,8,0),0)</f>
        <v>No Product</v>
      </c>
      <c r="CZ4" s="58">
        <f>SUMIFS('Factory Log'!$D:$D,'Factory Log'!$B:$B,Performance!CV$1,'Factory Log'!$J:$J,Performance!CV4,'Factory Log'!$C:$C,"Running")+SUMIFS('Factory Log'!$D:$D,'Factory Log'!$B:$B,Performance!CV$1,'Factory Log'!$J:$J,Performance!CV4,'Factory Log'!$C:$C,"Make Ready")+SUMIFS('Factory Log'!$D:$D,'Factory Log'!$B:$B,Performance!CV$1,'Factory Log'!$J:$J,Performance!CV4,'Factory Log'!$C:$C,"Roll Change")</f>
        <v>0</v>
      </c>
      <c r="DA4" s="3">
        <f>SUMIFS('Factory Log'!$M:$M,'Factory Log'!$B:$B,Performance!CV$1,'Factory Log'!$J:$J,Performance!CV4,'Factory Log'!$C:$C,"Running")</f>
        <v>0</v>
      </c>
      <c r="DB4" s="58" cm="1">
        <f t="array" ref="DB4">IFERROR(INDEX('Factory Log'!$S:$S,MATCH(1,(Performance!CV$1='Factory Log'!$B:$B)*(Performance!CV4='Factory Log'!$A:$A),0)),0)</f>
        <v>0</v>
      </c>
      <c r="DC4" s="3">
        <f>IFERROR(VLOOKUP(CV4,'Factory Log'!$J:$R,9,0),0)</f>
        <v>0</v>
      </c>
      <c r="DD4" s="64">
        <f>IFERROR(MIN(DA4/DC4,1),0)</f>
        <v>0</v>
      </c>
      <c r="DE4" s="58">
        <f>IFERROR(DB4*DD4,0)</f>
        <v>0</v>
      </c>
      <c r="DG4" s="3" cm="1">
        <f t="array" ref="DG4:DG7">_xlfn.UNIQUE(_xlfn._xlws.FILTER('Factory Log'!$J:$J,'Factory Log'!$B:$B=Performance!DG$1))</f>
        <v>338733.09</v>
      </c>
      <c r="DH4" s="3" t="str">
        <f>IFERROR(VLOOKUP(DG4,'Factory Log'!$J:$O,6,0),0)</f>
        <v>Gardners</v>
      </c>
      <c r="DI4" s="3" t="str">
        <f>IFERROR(VLOOKUP(DG4,'Factory Log'!$J:$P,7,0),0)</f>
        <v>No Customer</v>
      </c>
      <c r="DJ4" s="3" t="str">
        <f>IFERROR(VLOOKUP(DG4,'Factory Log'!$J:$Q,8,0),0)</f>
        <v>No Product</v>
      </c>
      <c r="DK4" s="58">
        <f>SUMIFS('Factory Log'!$D:$D,'Factory Log'!$B:$B,Performance!DG$1,'Factory Log'!$J:$J,Performance!DG4,'Factory Log'!$C:$C,"Running")+SUMIFS('Factory Log'!$D:$D,'Factory Log'!$B:$B,Performance!DG$1,'Factory Log'!$J:$J,Performance!DG4,'Factory Log'!$C:$C,"Make Ready")+SUMIFS('Factory Log'!$D:$D,'Factory Log'!$B:$B,Performance!DG$1,'Factory Log'!$J:$J,Performance!DG4,'Factory Log'!$C:$C,"Roll Change")</f>
        <v>0</v>
      </c>
      <c r="DL4" s="3">
        <f>SUMIFS('Factory Log'!$M:$M,'Factory Log'!$B:$B,Performance!DG$1,'Factory Log'!$J:$J,Performance!DG4,'Factory Log'!$C:$C,"Running")</f>
        <v>0</v>
      </c>
      <c r="DM4" s="58" cm="1">
        <f t="array" ref="DM4">IFERROR(INDEX('Factory Log'!$S:$S,MATCH(1,(Performance!DG$1='Factory Log'!$B:$B)*(Performance!DG4='Factory Log'!$A:$A),0)),0)</f>
        <v>0</v>
      </c>
      <c r="DN4" s="3">
        <f>IFERROR(VLOOKUP(DG4,'Factory Log'!$J:$R,9,0),0)</f>
        <v>0</v>
      </c>
      <c r="DO4" s="64">
        <f>IFERROR(MIN(DL4/DN4,1),0)</f>
        <v>0</v>
      </c>
      <c r="DP4" s="58">
        <f>IFERROR(DM4*DO4,0)</f>
        <v>0</v>
      </c>
      <c r="DR4" s="3" cm="1">
        <f t="array" ref="DR4:DR5">_xlfn.UNIQUE(_xlfn._xlws.FILTER('Factory Log'!$J:$J,'Factory Log'!$B:$B=Performance!DR$1))</f>
        <v>338733.1</v>
      </c>
      <c r="DS4" s="3" t="str">
        <f>IFERROR(VLOOKUP(DR4,'Factory Log'!$J:$O,6,0),0)</f>
        <v>Gardners</v>
      </c>
      <c r="DT4" s="3" t="str">
        <f>IFERROR(VLOOKUP(DR4,'Factory Log'!$J:$P,7,0),0)</f>
        <v>No Customer</v>
      </c>
      <c r="DU4" s="3" t="str">
        <f>IFERROR(VLOOKUP(DR4,'Factory Log'!$J:$Q,8,0),0)</f>
        <v>No Product</v>
      </c>
      <c r="DV4" s="58">
        <f>SUMIFS('Factory Log'!$D:$D,'Factory Log'!$B:$B,Performance!DR$1,'Factory Log'!$J:$J,Performance!DR4,'Factory Log'!$C:$C,"Running")+SUMIFS('Factory Log'!$D:$D,'Factory Log'!$B:$B,Performance!DR$1,'Factory Log'!$J:$J,Performance!DR4,'Factory Log'!$C:$C,"Make Ready")+SUMIFS('Factory Log'!$D:$D,'Factory Log'!$B:$B,Performance!DR$1,'Factory Log'!$J:$J,Performance!DR4,'Factory Log'!$C:$C,"Roll Change")</f>
        <v>0</v>
      </c>
      <c r="DW4" s="3">
        <f>SUMIFS('Factory Log'!$M:$M,'Factory Log'!$B:$B,Performance!DR$1,'Factory Log'!$J:$J,Performance!DR4,'Factory Log'!$C:$C,"Running")</f>
        <v>0</v>
      </c>
      <c r="DX4" s="58" cm="1">
        <f t="array" ref="DX4">IFERROR(INDEX('Factory Log'!$S:$S,MATCH(1,(Performance!DR$1='Factory Log'!$B:$B)*(Performance!DR4='Factory Log'!$A:$A),0)),0)</f>
        <v>0</v>
      </c>
      <c r="DY4" s="3">
        <f>IFERROR(VLOOKUP(DR4,'Factory Log'!$J:$R,9,0),0)</f>
        <v>0</v>
      </c>
      <c r="DZ4" s="64">
        <f>IFERROR(MIN(DW4/DY4,1),0)</f>
        <v>0</v>
      </c>
      <c r="EA4" s="58">
        <f>IFERROR(DX4*DZ4,0)</f>
        <v>0</v>
      </c>
      <c r="EC4" s="3" cm="1">
        <f t="array" ref="EC4">_xlfn.UNIQUE(_xlfn._xlws.FILTER('Factory Log'!$J:$J,'Factory Log'!$B:$B=Performance!EC$1))</f>
        <v>338733.1</v>
      </c>
      <c r="ED4" s="3" t="str">
        <f>IFERROR(VLOOKUP(EC4,'Factory Log'!$J:$O,6,0),0)</f>
        <v>Gardners</v>
      </c>
      <c r="EE4" s="3" t="str">
        <f>IFERROR(VLOOKUP(EC4,'Factory Log'!$J:$P,7,0),0)</f>
        <v>No Customer</v>
      </c>
      <c r="EF4" s="3" t="str">
        <f>IFERROR(VLOOKUP(EC4,'Factory Log'!$J:$Q,8,0),0)</f>
        <v>No Product</v>
      </c>
      <c r="EG4" s="58">
        <f>SUMIFS('Factory Log'!$D:$D,'Factory Log'!$B:$B,Performance!EC$1,'Factory Log'!$J:$J,Performance!EC4,'Factory Log'!$C:$C,"Running")+SUMIFS('Factory Log'!$D:$D,'Factory Log'!$B:$B,Performance!EC$1,'Factory Log'!$J:$J,Performance!EC4,'Factory Log'!$C:$C,"Make Ready")+SUMIFS('Factory Log'!$D:$D,'Factory Log'!$B:$B,Performance!EC$1,'Factory Log'!$J:$J,Performance!EC4,'Factory Log'!$C:$C,"Roll Change")</f>
        <v>0</v>
      </c>
      <c r="EH4" s="3">
        <f>SUMIFS('Factory Log'!$M:$M,'Factory Log'!$B:$B,Performance!EC$1,'Factory Log'!$J:$J,Performance!EC4,'Factory Log'!$C:$C,"Running")</f>
        <v>0</v>
      </c>
      <c r="EI4" s="58" cm="1">
        <f t="array" ref="EI4">IFERROR(INDEX('Factory Log'!$S:$S,MATCH(1,(Performance!EC$1='Factory Log'!$B:$B)*(Performance!EC4='Factory Log'!$A:$A),0)),0)</f>
        <v>0</v>
      </c>
      <c r="EJ4" s="3">
        <f>IFERROR(VLOOKUP(EC4,'Factory Log'!$J:$R,9,0),0)</f>
        <v>0</v>
      </c>
      <c r="EK4" s="64">
        <f>IFERROR(MIN(EH4/EJ4,1),0)</f>
        <v>0</v>
      </c>
      <c r="EL4" s="58">
        <f>IFERROR(EI4*EK4,0)</f>
        <v>0</v>
      </c>
      <c r="EN4" s="3" cm="1">
        <f t="array" ref="EN4:EN6">_xlfn.UNIQUE(_xlfn._xlws.FILTER('Factory Log'!$J:$J,'Factory Log'!$B:$B=Performance!EN$1))</f>
        <v>349247.01</v>
      </c>
      <c r="EO4" s="3" t="str">
        <f>IFERROR(VLOOKUP(EN4,'Factory Log'!$J:$O,6,0),0)</f>
        <v>HH Associates - Asda</v>
      </c>
      <c r="EP4" s="3" t="str">
        <f>IFERROR(VLOOKUP(EN4,'Factory Log'!$J:$P,7,0),0)</f>
        <v>ASDA</v>
      </c>
      <c r="EQ4" s="3" t="str">
        <f>IFERROR(VLOOKUP(EN4,'Factory Log'!$J:$Q,8,0),0)</f>
        <v>Wrap</v>
      </c>
      <c r="ER4" s="58">
        <f>SUMIFS('Factory Log'!$D:$D,'Factory Log'!$B:$B,Performance!EN$1,'Factory Log'!$J:$J,Performance!EN4,'Factory Log'!$C:$C,"Running")+SUMIFS('Factory Log'!$D:$D,'Factory Log'!$B:$B,Performance!EN$1,'Factory Log'!$J:$J,Performance!EN4,'Factory Log'!$C:$C,"Make Ready")+SUMIFS('Factory Log'!$D:$D,'Factory Log'!$B:$B,Performance!EN$1,'Factory Log'!$J:$J,Performance!EN4,'Factory Log'!$C:$C,"Roll Change")</f>
        <v>3.9500000001280569</v>
      </c>
      <c r="ES4" s="3">
        <f>SUMIFS('Factory Log'!$M:$M,'Factory Log'!$B:$B,Performance!EN$1,'Factory Log'!$J:$J,Performance!EN4,'Factory Log'!$C:$C,"Running")</f>
        <v>70</v>
      </c>
      <c r="ET4" s="58" cm="1">
        <f t="array" ref="ET4">IFERROR(INDEX('Factory Log'!$S:$S,MATCH(1,(Performance!EN$1='Factory Log'!$B:$B)*(Performance!EN4='Factory Log'!$A:$A),0)),0)</f>
        <v>33.979999999999997</v>
      </c>
      <c r="EU4" s="3">
        <f>IFERROR(VLOOKUP(EN4,'Factory Log'!$J:$R,9,0),0)</f>
        <v>4000</v>
      </c>
      <c r="EV4" s="64">
        <f>IFERROR(MIN(ES4/EU4,1),0)</f>
        <v>1.7500000000000002E-2</v>
      </c>
      <c r="EW4" s="58">
        <f>IFERROR(ET4*EV4,0)</f>
        <v>0.59465000000000001</v>
      </c>
      <c r="EY4" s="3" cm="1">
        <f t="array" ref="EY4:EY10">_xlfn.UNIQUE(_xlfn._xlws.FILTER('Factory Log'!$J:$J,'Factory Log'!$B:$B=Performance!EY$1))</f>
        <v>349125</v>
      </c>
      <c r="EZ4" s="3" t="str">
        <f>IFERROR(VLOOKUP(EY4,'Factory Log'!$J:$O,6,0),0)</f>
        <v>HH Associates - Iceland</v>
      </c>
      <c r="FA4" s="3" t="str">
        <f>IFERROR(VLOOKUP(EY4,'Factory Log'!$J:$P,7,0),0)</f>
        <v>Iceland</v>
      </c>
      <c r="FB4" s="3" t="str">
        <f>IFERROR(VLOOKUP(EY4,'Factory Log'!$J:$Q,8,0),0)</f>
        <v>Floor Graphic</v>
      </c>
      <c r="FC4" s="58">
        <f>SUMIFS('Factory Log'!$D:$D,'Factory Log'!$B:$B,Performance!EY$1,'Factory Log'!$J:$J,Performance!EY4,'Factory Log'!$C:$C,"Running")+SUMIFS('Factory Log'!$D:$D,'Factory Log'!$B:$B,Performance!EY$1,'Factory Log'!$J:$J,Performance!EY4,'Factory Log'!$C:$C,"Make Ready")+SUMIFS('Factory Log'!$D:$D,'Factory Log'!$B:$B,Performance!EY$1,'Factory Log'!$J:$J,Performance!EY4,'Factory Log'!$C:$C,"Roll Change")</f>
        <v>7.5</v>
      </c>
      <c r="FD4" s="3">
        <f>SUMIFS('Factory Log'!$M:$M,'Factory Log'!$B:$B,Performance!EY$1,'Factory Log'!$J:$J,Performance!EY4,'Factory Log'!$C:$C,"Running")</f>
        <v>1500</v>
      </c>
      <c r="FE4" s="58" cm="1">
        <f t="array" ref="FE4">IFERROR(INDEX('Factory Log'!$S:$S,MATCH(1,(Performance!EY$1='Factory Log'!$B:$B)*(Performance!EY4='Factory Log'!$A:$A),0)),0)</f>
        <v>18.5</v>
      </c>
      <c r="FF4" s="3">
        <f>IFERROR(VLOOKUP(EY4,'Factory Log'!$J:$R,9,0),0)</f>
        <v>3692</v>
      </c>
      <c r="FG4" s="64">
        <f>IFERROR(MIN(FD4/FF4,1),0)</f>
        <v>0.40628385698808234</v>
      </c>
      <c r="FH4" s="58">
        <f>IFERROR(FE4*FG4,0)</f>
        <v>7.5162513542795235</v>
      </c>
    </row>
    <row r="5" spans="1:164" ht="16" customHeight="1" x14ac:dyDescent="0.2">
      <c r="B5" s="3">
        <f>IFERROR(VLOOKUP(A5,'Factory Log'!$J:$O,6,0),0)</f>
        <v>0</v>
      </c>
      <c r="C5" s="3">
        <f>IFERROR(VLOOKUP(A5,'Factory Log'!$J:$P,7,0),0)</f>
        <v>0</v>
      </c>
      <c r="D5" s="3">
        <f>IFERROR(VLOOKUP(A5,'Factory Log'!$J:$Q,8,0),0)</f>
        <v>0</v>
      </c>
      <c r="E5" s="58">
        <f>SUMIFS('Factory Log'!$D:$D,'Factory Log'!$B:$B,Performance!A$1,'Factory Log'!$J:$J,Performance!A5,'Factory Log'!$C:$C,"Running")+SUMIFS('Factory Log'!$D:$D,'Factory Log'!$B:$B,Performance!A$1,'Factory Log'!$J:$J,Performance!A5,'Factory Log'!$C:$C,"Make Ready")+SUMIFS('Factory Log'!$D:$D,'Factory Log'!$B:$B,Performance!A$1,'Factory Log'!$J:$J,Performance!A5,'Factory Log'!$C:$C,"Roll Change")</f>
        <v>0</v>
      </c>
      <c r="F5" s="3">
        <f>SUMIFS('Factory Log'!$M:$M,'Factory Log'!$B:$B,Performance!A$1,'Factory Log'!$J:$J,Performance!A5,'Factory Log'!$C:$C,"Running")</f>
        <v>0</v>
      </c>
      <c r="G5" s="58" cm="1">
        <f t="array" ref="G5">IFERROR(INDEX('Factory Log'!$S:$S,MATCH(1,(Performance!A$1='Factory Log'!$B:$B)*(Performance!A5='Factory Log'!$A:$A),0)),0)</f>
        <v>0</v>
      </c>
      <c r="H5" s="3">
        <f>IFERROR(VLOOKUP(A5,'Factory Log'!$J:$R,9,0),0)</f>
        <v>0</v>
      </c>
      <c r="I5" s="64">
        <f t="shared" ref="I5:I44" si="1">IFERROR(MIN(F5/H5,1),0)</f>
        <v>0</v>
      </c>
      <c r="J5" s="58">
        <f t="shared" si="0"/>
        <v>0</v>
      </c>
      <c r="L5" s="3">
        <v>338733.17</v>
      </c>
      <c r="M5" s="3" t="str">
        <f>IFERROR(VLOOKUP(L5,'Factory Log'!$J:$O,6,0),0)</f>
        <v>Gardners</v>
      </c>
      <c r="N5" s="3" t="str">
        <f>IFERROR(VLOOKUP(L5,'Factory Log'!$J:$P,7,0),0)</f>
        <v>No Customer</v>
      </c>
      <c r="O5" s="3" t="str">
        <f>IFERROR(VLOOKUP(L5,'Factory Log'!$J:$Q,8,0),0)</f>
        <v>No Product</v>
      </c>
      <c r="P5" s="58">
        <f>SUMIFS('Factory Log'!$D:$D,'Factory Log'!$B:$B,Performance!L$1,'Factory Log'!$J:$J,Performance!L5,'Factory Log'!$C:$C,"Running")+SUMIFS('Factory Log'!$D:$D,'Factory Log'!$B:$B,Performance!L$1,'Factory Log'!$J:$J,Performance!L5,'Factory Log'!$C:$C,"Make Ready")+SUMIFS('Factory Log'!$D:$D,'Factory Log'!$B:$B,Performance!L$1,'Factory Log'!$J:$J,Performance!L5,'Factory Log'!$C:$C,"Roll Change")</f>
        <v>0</v>
      </c>
      <c r="Q5" s="3">
        <f>SUMIFS('Factory Log'!$M:$M,'Factory Log'!$B:$B,Performance!L$1,'Factory Log'!$J:$J,Performance!L5,'Factory Log'!$C:$C,"Running")</f>
        <v>0</v>
      </c>
      <c r="R5" s="58" cm="1">
        <f t="array" ref="R5">IFERROR(INDEX('Factory Log'!$S:$S,MATCH(1,(Performance!L$1='Factory Log'!$B:$B)*(Performance!L5='Factory Log'!$A:$A),0)),0)</f>
        <v>0</v>
      </c>
      <c r="S5" s="3">
        <f>IFERROR(VLOOKUP(L5,'Factory Log'!$J:$R,9,0),0)</f>
        <v>0</v>
      </c>
      <c r="T5" s="64">
        <f t="shared" ref="T5:T44" si="2">IFERROR(MIN(Q5/S5,1),0)</f>
        <v>0</v>
      </c>
      <c r="U5" s="58">
        <f t="shared" ref="U5:U23" si="3">IFERROR(R5*T5,0)</f>
        <v>0</v>
      </c>
      <c r="W5" s="3">
        <v>349430</v>
      </c>
      <c r="X5" s="3" t="str">
        <f>IFERROR(VLOOKUP(W5,'Factory Log'!$J:$O,6,0),0)</f>
        <v>Tesco (EDI)</v>
      </c>
      <c r="Y5" s="3" t="str">
        <f>IFERROR(VLOOKUP(W5,'Factory Log'!$J:$P,7,0),0)</f>
        <v>Tesco</v>
      </c>
      <c r="Z5" s="3" t="str">
        <f>IFERROR(VLOOKUP(W5,'Factory Log'!$J:$Q,8,0),0)</f>
        <v>Safety Signs</v>
      </c>
      <c r="AA5" s="58">
        <f>SUMIFS('Factory Log'!$D:$D,'Factory Log'!$B:$B,Performance!W$1,'Factory Log'!$J:$J,Performance!W5,'Factory Log'!$C:$C,"Running")+SUMIFS('Factory Log'!$D:$D,'Factory Log'!$B:$B,Performance!W$1,'Factory Log'!$J:$J,Performance!W5,'Factory Log'!$C:$C,"Make Ready")+SUMIFS('Factory Log'!$D:$D,'Factory Log'!$B:$B,Performance!W$1,'Factory Log'!$J:$J,Performance!W5,'Factory Log'!$C:$C,"Roll Change")</f>
        <v>3.4166666664532386</v>
      </c>
      <c r="AB5" s="3">
        <f>SUMIFS('Factory Log'!$M:$M,'Factory Log'!$B:$B,Performance!W$1,'Factory Log'!$J:$J,Performance!W5,'Factory Log'!$C:$C,"Running")</f>
        <v>1230</v>
      </c>
      <c r="AC5" s="58" cm="1">
        <f t="array" ref="AC5">IFERROR(INDEX('Factory Log'!$S:$S,MATCH(1,(Performance!W$1='Factory Log'!$B:$B)*(Performance!W5='Factory Log'!$A:$A),0)),0)</f>
        <v>5.48</v>
      </c>
      <c r="AD5" s="3">
        <f>IFERROR(VLOOKUP(W5,'Factory Log'!$J:$R,9,0),0)</f>
        <v>3000</v>
      </c>
      <c r="AE5" s="64">
        <f t="shared" ref="AE5:AE44" si="4">IFERROR(MIN(AB5/AD5,1),0)</f>
        <v>0.41</v>
      </c>
      <c r="AF5" s="58">
        <f t="shared" ref="AF5:AF23" si="5">IFERROR(AC5*AE5,0)</f>
        <v>2.2467999999999999</v>
      </c>
      <c r="AH5" s="3">
        <v>347876.01</v>
      </c>
      <c r="AI5" s="3" t="str">
        <f>IFERROR(VLOOKUP(AH5,'Factory Log'!$J:$O,6,0),0)</f>
        <v>Asda Stores Ltd</v>
      </c>
      <c r="AJ5" s="3" t="str">
        <f>IFERROR(VLOOKUP(AH5,'Factory Log'!$J:$P,7,0),0)</f>
        <v>ASDA</v>
      </c>
      <c r="AK5" s="3" t="str">
        <f>IFERROR(VLOOKUP(AH5,'Factory Log'!$J:$Q,8,0),0)</f>
        <v>Agripa - Fleet - Production</v>
      </c>
      <c r="AL5" s="58">
        <f>SUMIFS('Factory Log'!$D:$D,'Factory Log'!$B:$B,Performance!AH$1,'Factory Log'!$J:$J,Performance!AH5,'Factory Log'!$C:$C,"Running")+SUMIFS('Factory Log'!$D:$D,'Factory Log'!$B:$B,Performance!AH$1,'Factory Log'!$J:$J,Performance!AH5,'Factory Log'!$C:$C,"Make Ready")+SUMIFS('Factory Log'!$D:$D,'Factory Log'!$B:$B,Performance!AH$1,'Factory Log'!$J:$J,Performance!AH5,'Factory Log'!$C:$C,"Roll Change")</f>
        <v>7.5499999999883585</v>
      </c>
      <c r="AM5" s="3">
        <f>SUMIFS('Factory Log'!$M:$M,'Factory Log'!$B:$B,Performance!AH$1,'Factory Log'!$J:$J,Performance!AH5,'Factory Log'!$C:$C,"Running")</f>
        <v>24</v>
      </c>
      <c r="AN5" s="58" cm="1">
        <f t="array" ref="AN5">IFERROR(INDEX('Factory Log'!$S:$S,MATCH(1,(Performance!AH$1='Factory Log'!$B:$B)*(Performance!AH5='Factory Log'!$A:$A),0)),0)</f>
        <v>88.47</v>
      </c>
      <c r="AO5" s="3">
        <f>IFERROR(VLOOKUP(AH5,'Factory Log'!$J:$R,9,0),0)</f>
        <v>1225</v>
      </c>
      <c r="AP5" s="64">
        <f t="shared" ref="AP5:AP44" si="6">IFERROR(MIN(AM5/AO5,1),0)</f>
        <v>1.9591836734693877E-2</v>
      </c>
      <c r="AQ5" s="58">
        <f t="shared" ref="AQ5:AQ44" si="7">IFERROR(AN5*AP5,0)</f>
        <v>1.7332897959183673</v>
      </c>
      <c r="AS5" s="3">
        <v>349393.01</v>
      </c>
      <c r="AT5" s="3" t="str">
        <f>IFERROR(VLOOKUP(AS5,'Factory Log'!$J:$O,6,0),0)</f>
        <v>B&amp;Q Ltd</v>
      </c>
      <c r="AU5" s="3" t="str">
        <f>IFERROR(VLOOKUP(AS5,'Factory Log'!$J:$P,7,0),0)</f>
        <v>B&amp;Q</v>
      </c>
      <c r="AV5" s="3" t="str">
        <f>IFERROR(VLOOKUP(AS5,'Factory Log'!$J:$Q,8,0),0)</f>
        <v>Banner - Retail</v>
      </c>
      <c r="AW5" s="58">
        <f>SUMIFS('Factory Log'!$D:$D,'Factory Log'!$B:$B,Performance!AS$1,'Factory Log'!$J:$J,Performance!AS5,'Factory Log'!$C:$C,"Running")+SUMIFS('Factory Log'!$D:$D,'Factory Log'!$B:$B,Performance!AS$1,'Factory Log'!$J:$J,Performance!AS5,'Factory Log'!$C:$C,"Make Ready")+SUMIFS('Factory Log'!$D:$D,'Factory Log'!$B:$B,Performance!AS$1,'Factory Log'!$J:$J,Performance!AS5,'Factory Log'!$C:$C,"Roll Change")</f>
        <v>6.566666666592937</v>
      </c>
      <c r="AX5" s="3">
        <f>SUMIFS('Factory Log'!$M:$M,'Factory Log'!$B:$B,Performance!AS$1,'Factory Log'!$J:$J,Performance!AS5,'Factory Log'!$C:$C,"Running")</f>
        <v>37</v>
      </c>
      <c r="AY5" s="58" cm="1">
        <f t="array" ref="AY5">IFERROR(INDEX('Factory Log'!$S:$S,MATCH(1,(Performance!AS$1='Factory Log'!$B:$B)*(Performance!AS5='Factory Log'!$A:$A),0)),0)</f>
        <v>1.75</v>
      </c>
      <c r="AZ5" s="3">
        <f>IFERROR(VLOOKUP(AS5,'Factory Log'!$J:$R,9,0),0)</f>
        <v>36</v>
      </c>
      <c r="BA5" s="64">
        <f t="shared" ref="BA5:BA44" si="8">IFERROR(MIN(AX5/AZ5,1),0)</f>
        <v>1</v>
      </c>
      <c r="BB5" s="58">
        <f t="shared" ref="BB5:BB44" si="9">IFERROR(AY5*BA5,0)</f>
        <v>1.75</v>
      </c>
      <c r="BD5" s="3">
        <v>338733.04</v>
      </c>
      <c r="BE5" s="3" t="str">
        <f>IFERROR(VLOOKUP(BD5,'Factory Log'!$J:$O,6,0),0)</f>
        <v>Gardners</v>
      </c>
      <c r="BF5" s="3" t="str">
        <f>IFERROR(VLOOKUP(BD5,'Factory Log'!$J:$P,7,0),0)</f>
        <v>No Customer</v>
      </c>
      <c r="BG5" s="3" t="str">
        <f>IFERROR(VLOOKUP(BD5,'Factory Log'!$J:$Q,8,0),0)</f>
        <v>No Product</v>
      </c>
      <c r="BH5" s="58">
        <f>SUMIFS('Factory Log'!$D:$D,'Factory Log'!$B:$B,Performance!BD$1,'Factory Log'!$J:$J,Performance!BD5,'Factory Log'!$C:$C,"Running")+SUMIFS('Factory Log'!$D:$D,'Factory Log'!$B:$B,Performance!BD$1,'Factory Log'!$J:$J,Performance!BD5,'Factory Log'!$C:$C,"Make Ready")+SUMIFS('Factory Log'!$D:$D,'Factory Log'!$B:$B,Performance!BD$1,'Factory Log'!$J:$J,Performance!BD5,'Factory Log'!$C:$C,"Roll Change")</f>
        <v>0</v>
      </c>
      <c r="BI5" s="3">
        <f>SUMIFS('Factory Log'!$M:$M,'Factory Log'!$B:$B,Performance!BD$1,'Factory Log'!$J:$J,Performance!BD5,'Factory Log'!$C:$C,"Running")</f>
        <v>0</v>
      </c>
      <c r="BJ5" s="58" cm="1">
        <f t="array" ref="BJ5">IFERROR(INDEX('Factory Log'!$S:$S,MATCH(1,(Performance!BD$1='Factory Log'!$B:$B)*(Performance!BD5='Factory Log'!$A:$A),0)),0)</f>
        <v>0</v>
      </c>
      <c r="BK5" s="3">
        <f>IFERROR(VLOOKUP(BD5,'Factory Log'!$J:$R,9,0),0)</f>
        <v>0</v>
      </c>
      <c r="BL5" s="64">
        <f t="shared" ref="BL5:BL44" si="10">IFERROR(MIN(BI5/BK5,1),0)</f>
        <v>0</v>
      </c>
      <c r="BM5" s="58">
        <f t="shared" ref="BM5:BM44" si="11">IFERROR(BJ5*BL5,0)</f>
        <v>0</v>
      </c>
      <c r="BO5" s="3">
        <v>349447.06</v>
      </c>
      <c r="BP5" s="3" t="str">
        <f>IFERROR(VLOOKUP(BO5,'Factory Log'!$J:$O,6,0),0)</f>
        <v>Augustus Martin</v>
      </c>
      <c r="BQ5" s="3" t="str">
        <f>IFERROR(VLOOKUP(BO5,'Factory Log'!$J:$P,7,0),0)</f>
        <v>Tesco</v>
      </c>
      <c r="BR5" s="3" t="str">
        <f>IFERROR(VLOOKUP(BO5,'Factory Log'!$J:$Q,8,0),0)</f>
        <v>Prems</v>
      </c>
      <c r="BS5" s="58">
        <f>SUMIFS('Factory Log'!$D:$D,'Factory Log'!$B:$B,Performance!BO$1,'Factory Log'!$J:$J,Performance!BO5,'Factory Log'!$C:$C,"Running")+SUMIFS('Factory Log'!$D:$D,'Factory Log'!$B:$B,Performance!BO$1,'Factory Log'!$J:$J,Performance!BO5,'Factory Log'!$C:$C,"Make Ready")+SUMIFS('Factory Log'!$D:$D,'Factory Log'!$B:$B,Performance!BO$1,'Factory Log'!$J:$J,Performance!BO5,'Factory Log'!$C:$C,"Roll Change")</f>
        <v>7.8833333333604969</v>
      </c>
      <c r="BT5" s="3">
        <f>SUMIFS('Factory Log'!$M:$M,'Factory Log'!$B:$B,Performance!BO$1,'Factory Log'!$J:$J,Performance!BO5,'Factory Log'!$C:$C,"Running")</f>
        <v>13</v>
      </c>
      <c r="BU5" s="58" cm="1">
        <f t="array" ref="BU5">IFERROR(INDEX('Factory Log'!$S:$S,MATCH(1,(Performance!BO$1='Factory Log'!$B:$B)*(Performance!BO5='Factory Log'!$A:$A),0)),0)</f>
        <v>3.16</v>
      </c>
      <c r="BV5" s="3">
        <f>IFERROR(VLOOKUP(BO5,'Factory Log'!$J:$R,9,0),0)</f>
        <v>13</v>
      </c>
      <c r="BW5" s="64">
        <f t="shared" ref="BW5:BW44" si="12">IFERROR(MIN(BT5/BV5,1),0)</f>
        <v>1</v>
      </c>
      <c r="BX5" s="58">
        <f t="shared" ref="BX5:BX44" si="13">IFERROR(BU5*BW5,0)</f>
        <v>3.16</v>
      </c>
      <c r="CA5" s="3">
        <f>IFERROR(VLOOKUP(BZ5,'Factory Log'!$J:$O,6,0),0)</f>
        <v>0</v>
      </c>
      <c r="CB5" s="3">
        <f>IFERROR(VLOOKUP(BZ5,'Factory Log'!$J:$P,7,0),0)</f>
        <v>0</v>
      </c>
      <c r="CC5" s="3">
        <f>IFERROR(VLOOKUP(BZ5,'Factory Log'!$J:$Q,8,0),0)</f>
        <v>0</v>
      </c>
      <c r="CD5" s="58">
        <f>SUMIFS('Factory Log'!$D:$D,'Factory Log'!$B:$B,Performance!BZ$1,'Factory Log'!$J:$J,Performance!BZ5,'Factory Log'!$C:$C,"Running")+SUMIFS('Factory Log'!$D:$D,'Factory Log'!$B:$B,Performance!BZ$1,'Factory Log'!$J:$J,Performance!BZ5,'Factory Log'!$C:$C,"Make Ready")+SUMIFS('Factory Log'!$D:$D,'Factory Log'!$B:$B,Performance!BZ$1,'Factory Log'!$J:$J,Performance!BZ5,'Factory Log'!$C:$C,"Roll Change")</f>
        <v>0</v>
      </c>
      <c r="CE5" s="3">
        <f>SUMIFS('Factory Log'!$M:$M,'Factory Log'!$B:$B,Performance!BZ$1,'Factory Log'!$J:$J,Performance!BZ5,'Factory Log'!$C:$C,"Running")</f>
        <v>0</v>
      </c>
      <c r="CF5" s="58" cm="1">
        <f t="array" ref="CF5">IFERROR(INDEX('Factory Log'!$S:$S,MATCH(1,(Performance!BZ$1='Factory Log'!$B:$B)*(Performance!BZ5='Factory Log'!$A:$A),0)),0)</f>
        <v>0</v>
      </c>
      <c r="CG5" s="3">
        <f>IFERROR(VLOOKUP(BZ5,'Factory Log'!$J:$R,9,0),0)</f>
        <v>0</v>
      </c>
      <c r="CH5" s="64">
        <f t="shared" ref="CH5:CH44" si="14">IFERROR(MIN(CE5/CG5,1),0)</f>
        <v>0</v>
      </c>
      <c r="CI5" s="58">
        <f t="shared" ref="CI5:CI44" si="15">IFERROR(CF5*CH5,0)</f>
        <v>0</v>
      </c>
      <c r="CK5" s="3">
        <v>349429</v>
      </c>
      <c r="CL5" s="3" t="str">
        <f>IFERROR(VLOOKUP(CK5,'Factory Log'!$J:$O,6,0),0)</f>
        <v>Xerox (UK) Limited</v>
      </c>
      <c r="CM5" s="3" t="str">
        <f>IFERROR(VLOOKUP(CK5,'Factory Log'!$J:$P,7,0),0)</f>
        <v>Morrisons</v>
      </c>
      <c r="CN5" s="3" t="str">
        <f>IFERROR(VLOOKUP(CK5,'Factory Log'!$J:$Q,8,0),0)</f>
        <v>Bollard cover</v>
      </c>
      <c r="CO5" s="58">
        <f>SUMIFS('Factory Log'!$D:$D,'Factory Log'!$B:$B,Performance!CK$1,'Factory Log'!$J:$J,Performance!CK5,'Factory Log'!$C:$C,"Running")+SUMIFS('Factory Log'!$D:$D,'Factory Log'!$B:$B,Performance!CK$1,'Factory Log'!$J:$J,Performance!CK5,'Factory Log'!$C:$C,"Make Ready")+SUMIFS('Factory Log'!$D:$D,'Factory Log'!$B:$B,Performance!CK$1,'Factory Log'!$J:$J,Performance!CK5,'Factory Log'!$C:$C,"Roll Change")</f>
        <v>2.0999999998603016</v>
      </c>
      <c r="CP5" s="3">
        <f>SUMIFS('Factory Log'!$M:$M,'Factory Log'!$B:$B,Performance!CK$1,'Factory Log'!$J:$J,Performance!CK5,'Factory Log'!$C:$C,"Running")</f>
        <v>14</v>
      </c>
      <c r="CQ5" s="58" cm="1">
        <f t="array" ref="CQ5">IFERROR(INDEX('Factory Log'!$S:$S,MATCH(1,(Performance!CK$1='Factory Log'!$B:$B)*(Performance!CK5='Factory Log'!$A:$A),0)),0)</f>
        <v>0.5</v>
      </c>
      <c r="CR5" s="3">
        <f>IFERROR(VLOOKUP(CK5,'Factory Log'!$J:$R,9,0),0)</f>
        <v>10</v>
      </c>
      <c r="CS5" s="64">
        <f t="shared" ref="CS5:CS44" si="16">IFERROR(MIN(CP5/CR5,1),0)</f>
        <v>1</v>
      </c>
      <c r="CT5" s="58">
        <f t="shared" ref="CT5:CT44" si="17">IFERROR(CQ5*CS5,0)</f>
        <v>0.5</v>
      </c>
      <c r="CV5" s="3">
        <v>348974.03</v>
      </c>
      <c r="CW5" s="3" t="str">
        <f>IFERROR(VLOOKUP(CV5,'Factory Log'!$J:$O,6,0),0)</f>
        <v>N2O Limited</v>
      </c>
      <c r="CX5" s="3" t="str">
        <f>IFERROR(VLOOKUP(CV5,'Factory Log'!$J:$P,7,0),0)</f>
        <v>Tesco</v>
      </c>
      <c r="CY5" s="3" t="str">
        <f>IFERROR(VLOOKUP(CV5,'Factory Log'!$J:$Q,8,0),0)</f>
        <v>Merchandise Unit</v>
      </c>
      <c r="CZ5" s="58">
        <f>SUMIFS('Factory Log'!$D:$D,'Factory Log'!$B:$B,Performance!CV$1,'Factory Log'!$J:$J,Performance!CV5,'Factory Log'!$C:$C,"Running")+SUMIFS('Factory Log'!$D:$D,'Factory Log'!$B:$B,Performance!CV$1,'Factory Log'!$J:$J,Performance!CV5,'Factory Log'!$C:$C,"Make Ready")+SUMIFS('Factory Log'!$D:$D,'Factory Log'!$B:$B,Performance!CV$1,'Factory Log'!$J:$J,Performance!CV5,'Factory Log'!$C:$C,"Roll Change")</f>
        <v>2.7833333333255723</v>
      </c>
      <c r="DA5" s="3">
        <f>SUMIFS('Factory Log'!$M:$M,'Factory Log'!$B:$B,Performance!CV$1,'Factory Log'!$J:$J,Performance!CV5,'Factory Log'!$C:$C,"Running")</f>
        <v>100</v>
      </c>
      <c r="DB5" s="58" cm="1">
        <f t="array" ref="DB5">IFERROR(INDEX('Factory Log'!$S:$S,MATCH(1,(Performance!CV$1='Factory Log'!$B:$B)*(Performance!CV5='Factory Log'!$A:$A),0)),0)</f>
        <v>2.83</v>
      </c>
      <c r="DC5" s="3">
        <f>IFERROR(VLOOKUP(CV5,'Factory Log'!$J:$R,9,0),0)</f>
        <v>100</v>
      </c>
      <c r="DD5" s="64">
        <f t="shared" ref="DD5:DD44" si="18">IFERROR(MIN(DA5/DC5,1),0)</f>
        <v>1</v>
      </c>
      <c r="DE5" s="58">
        <f t="shared" ref="DE5:DE44" si="19">IFERROR(DB5*DD5,0)</f>
        <v>2.83</v>
      </c>
      <c r="DG5" s="3">
        <v>349401.03</v>
      </c>
      <c r="DH5" s="3" t="str">
        <f>IFERROR(VLOOKUP(DG5,'Factory Log'!$J:$O,6,0),0)</f>
        <v>Inspired Thinking Group (ITG) - Whitbread</v>
      </c>
      <c r="DI5" s="3" t="str">
        <f>IFERROR(VLOOKUP(DG5,'Factory Log'!$J:$P,7,0),0)</f>
        <v>Whitbread</v>
      </c>
      <c r="DJ5" s="3" t="str">
        <f>IFERROR(VLOOKUP(DG5,'Factory Log'!$J:$Q,8,0),0)</f>
        <v>Portable Displays/Structure</v>
      </c>
      <c r="DK5" s="58">
        <f>SUMIFS('Factory Log'!$D:$D,'Factory Log'!$B:$B,Performance!DG$1,'Factory Log'!$J:$J,Performance!DG5,'Factory Log'!$C:$C,"Running")+SUMIFS('Factory Log'!$D:$D,'Factory Log'!$B:$B,Performance!DG$1,'Factory Log'!$J:$J,Performance!DG5,'Factory Log'!$C:$C,"Make Ready")+SUMIFS('Factory Log'!$D:$D,'Factory Log'!$B:$B,Performance!DG$1,'Factory Log'!$J:$J,Performance!DG5,'Factory Log'!$C:$C,"Roll Change")</f>
        <v>0.53333333332557231</v>
      </c>
      <c r="DL5" s="3">
        <f>SUMIFS('Factory Log'!$M:$M,'Factory Log'!$B:$B,Performance!DG$1,'Factory Log'!$J:$J,Performance!DG5,'Factory Log'!$C:$C,"Running")</f>
        <v>6</v>
      </c>
      <c r="DM5" s="58" cm="1">
        <f t="array" ref="DM5">IFERROR(INDEX('Factory Log'!$S:$S,MATCH(1,(Performance!DG$1='Factory Log'!$B:$B)*(Performance!DG5='Factory Log'!$A:$A),0)),0)</f>
        <v>0.25</v>
      </c>
      <c r="DN5" s="3">
        <f>IFERROR(VLOOKUP(DG5,'Factory Log'!$J:$R,9,0),0)</f>
        <v>6</v>
      </c>
      <c r="DO5" s="64">
        <f t="shared" ref="DO5:DO44" si="20">IFERROR(MIN(DL5/DN5,1),0)</f>
        <v>1</v>
      </c>
      <c r="DP5" s="58">
        <f t="shared" ref="DP5:DP44" si="21">IFERROR(DM5*DO5,0)</f>
        <v>0.25</v>
      </c>
      <c r="DR5" s="3">
        <v>349297</v>
      </c>
      <c r="DS5" s="3" t="str">
        <f>IFERROR(VLOOKUP(DR5,'Factory Log'!$J:$O,6,0),0)</f>
        <v>Delta Display Ltd</v>
      </c>
      <c r="DT5" s="3" t="str">
        <f>IFERROR(VLOOKUP(DR5,'Factory Log'!$J:$P,7,0),0)</f>
        <v>Sainsbury's</v>
      </c>
      <c r="DU5" s="3" t="str">
        <f>IFERROR(VLOOKUP(DR5,'Factory Log'!$J:$Q,8,0),0)</f>
        <v>Banner - Retail</v>
      </c>
      <c r="DV5" s="58">
        <f>SUMIFS('Factory Log'!$D:$D,'Factory Log'!$B:$B,Performance!DR$1,'Factory Log'!$J:$J,Performance!DR5,'Factory Log'!$C:$C,"Running")+SUMIFS('Factory Log'!$D:$D,'Factory Log'!$B:$B,Performance!DR$1,'Factory Log'!$J:$J,Performance!DR5,'Factory Log'!$C:$C,"Make Ready")+SUMIFS('Factory Log'!$D:$D,'Factory Log'!$B:$B,Performance!DR$1,'Factory Log'!$J:$J,Performance!DR5,'Factory Log'!$C:$C,"Roll Change")</f>
        <v>3.7166666665580124</v>
      </c>
      <c r="DW5" s="3">
        <f>SUMIFS('Factory Log'!$M:$M,'Factory Log'!$B:$B,Performance!DR$1,'Factory Log'!$J:$J,Performance!DR5,'Factory Log'!$C:$C,"Running")</f>
        <v>431</v>
      </c>
      <c r="DX5" s="58" cm="1">
        <f t="array" ref="DX5">IFERROR(INDEX('Factory Log'!$S:$S,MATCH(1,(Performance!DR$1='Factory Log'!$B:$B)*(Performance!DR5='Factory Log'!$A:$A),0)),0)</f>
        <v>11.3</v>
      </c>
      <c r="DY5" s="3">
        <f>IFERROR(VLOOKUP(DR5,'Factory Log'!$J:$R,9,0),0)</f>
        <v>431</v>
      </c>
      <c r="DZ5" s="64">
        <f t="shared" ref="DZ5:DZ44" si="22">IFERROR(MIN(DW5/DY5,1),0)</f>
        <v>1</v>
      </c>
      <c r="EA5" s="58">
        <f t="shared" ref="EA5:EA44" si="23">IFERROR(DX5*DZ5,0)</f>
        <v>11.3</v>
      </c>
      <c r="ED5" s="3">
        <f>IFERROR(VLOOKUP(EC5,'Factory Log'!$J:$O,6,0),0)</f>
        <v>0</v>
      </c>
      <c r="EE5" s="3">
        <f>IFERROR(VLOOKUP(EC5,'Factory Log'!$J:$P,7,0),0)</f>
        <v>0</v>
      </c>
      <c r="EF5" s="3">
        <f>IFERROR(VLOOKUP(EC5,'Factory Log'!$J:$Q,8,0),0)</f>
        <v>0</v>
      </c>
      <c r="EG5" s="58">
        <f>SUMIFS('Factory Log'!$D:$D,'Factory Log'!$B:$B,Performance!EC$1,'Factory Log'!$J:$J,Performance!EC5,'Factory Log'!$C:$C,"Running")+SUMIFS('Factory Log'!$D:$D,'Factory Log'!$B:$B,Performance!EC$1,'Factory Log'!$J:$J,Performance!EC5,'Factory Log'!$C:$C,"Make Ready")+SUMIFS('Factory Log'!$D:$D,'Factory Log'!$B:$B,Performance!EC$1,'Factory Log'!$J:$J,Performance!EC5,'Factory Log'!$C:$C,"Roll Change")</f>
        <v>0</v>
      </c>
      <c r="EH5" s="3">
        <f>SUMIFS('Factory Log'!$M:$M,'Factory Log'!$B:$B,Performance!EC$1,'Factory Log'!$J:$J,Performance!EC5,'Factory Log'!$C:$C,"Running")</f>
        <v>0</v>
      </c>
      <c r="EI5" s="58" cm="1">
        <f t="array" ref="EI5">IFERROR(INDEX('Factory Log'!$S:$S,MATCH(1,(Performance!EC$1='Factory Log'!$B:$B)*(Performance!EC5='Factory Log'!$A:$A),0)),0)</f>
        <v>0</v>
      </c>
      <c r="EJ5" s="3">
        <f>IFERROR(VLOOKUP(EC5,'Factory Log'!$J:$R,9,0),0)</f>
        <v>0</v>
      </c>
      <c r="EK5" s="64">
        <f t="shared" ref="EK5:EK44" si="24">IFERROR(MIN(EH5/EJ5,1),0)</f>
        <v>0</v>
      </c>
      <c r="EL5" s="58">
        <f t="shared" ref="EL5:EL44" si="25">IFERROR(EI5*EK5,0)</f>
        <v>0</v>
      </c>
      <c r="EN5" s="3">
        <v>338733.15</v>
      </c>
      <c r="EO5" s="3" t="str">
        <f>IFERROR(VLOOKUP(EN5,'Factory Log'!$J:$O,6,0),0)</f>
        <v>Gardners</v>
      </c>
      <c r="EP5" s="3" t="str">
        <f>IFERROR(VLOOKUP(EN5,'Factory Log'!$J:$P,7,0),0)</f>
        <v>No Customer</v>
      </c>
      <c r="EQ5" s="3" t="str">
        <f>IFERROR(VLOOKUP(EN5,'Factory Log'!$J:$Q,8,0),0)</f>
        <v>No Product</v>
      </c>
      <c r="ER5" s="58">
        <f>SUMIFS('Factory Log'!$D:$D,'Factory Log'!$B:$B,Performance!EN$1,'Factory Log'!$J:$J,Performance!EN5,'Factory Log'!$C:$C,"Running")+SUMIFS('Factory Log'!$D:$D,'Factory Log'!$B:$B,Performance!EN$1,'Factory Log'!$J:$J,Performance!EN5,'Factory Log'!$C:$C,"Make Ready")+SUMIFS('Factory Log'!$D:$D,'Factory Log'!$B:$B,Performance!EN$1,'Factory Log'!$J:$J,Performance!EN5,'Factory Log'!$C:$C,"Roll Change")</f>
        <v>0</v>
      </c>
      <c r="ES5" s="3">
        <f>SUMIFS('Factory Log'!$M:$M,'Factory Log'!$B:$B,Performance!EN$1,'Factory Log'!$J:$J,Performance!EN5,'Factory Log'!$C:$C,"Running")</f>
        <v>0</v>
      </c>
      <c r="ET5" s="58" cm="1">
        <f t="array" ref="ET5">IFERROR(INDEX('Factory Log'!$S:$S,MATCH(1,(Performance!EN$1='Factory Log'!$B:$B)*(Performance!EN5='Factory Log'!$A:$A),0)),0)</f>
        <v>0</v>
      </c>
      <c r="EU5" s="3">
        <f>IFERROR(VLOOKUP(EN5,'Factory Log'!$J:$R,9,0),0)</f>
        <v>0</v>
      </c>
      <c r="EV5" s="64">
        <f t="shared" ref="EV5:EV44" si="26">IFERROR(MIN(ES5/EU5,1),0)</f>
        <v>0</v>
      </c>
      <c r="EW5" s="58">
        <f t="shared" ref="EW5:EW44" si="27">IFERROR(ET5*EV5,0)</f>
        <v>0</v>
      </c>
      <c r="EY5" s="3">
        <v>338733.15</v>
      </c>
      <c r="EZ5" s="3" t="str">
        <f>IFERROR(VLOOKUP(EY5,'Factory Log'!$J:$O,6,0),0)</f>
        <v>Gardners</v>
      </c>
      <c r="FA5" s="3" t="str">
        <f>IFERROR(VLOOKUP(EY5,'Factory Log'!$J:$P,7,0),0)</f>
        <v>No Customer</v>
      </c>
      <c r="FB5" s="3" t="str">
        <f>IFERROR(VLOOKUP(EY5,'Factory Log'!$J:$Q,8,0),0)</f>
        <v>No Product</v>
      </c>
      <c r="FC5" s="58">
        <f>SUMIFS('Factory Log'!$D:$D,'Factory Log'!$B:$B,Performance!EY$1,'Factory Log'!$J:$J,Performance!EY5,'Factory Log'!$C:$C,"Running")+SUMIFS('Factory Log'!$D:$D,'Factory Log'!$B:$B,Performance!EY$1,'Factory Log'!$J:$J,Performance!EY5,'Factory Log'!$C:$C,"Make Ready")+SUMIFS('Factory Log'!$D:$D,'Factory Log'!$B:$B,Performance!EY$1,'Factory Log'!$J:$J,Performance!EY5,'Factory Log'!$C:$C,"Roll Change")</f>
        <v>0</v>
      </c>
      <c r="FD5" s="3">
        <f>SUMIFS('Factory Log'!$M:$M,'Factory Log'!$B:$B,Performance!EY$1,'Factory Log'!$J:$J,Performance!EY5,'Factory Log'!$C:$C,"Running")</f>
        <v>0</v>
      </c>
      <c r="FE5" s="58" cm="1">
        <f t="array" ref="FE5">IFERROR(INDEX('Factory Log'!$S:$S,MATCH(1,(Performance!EY$1='Factory Log'!$B:$B)*(Performance!EY5='Factory Log'!$A:$A),0)),0)</f>
        <v>0</v>
      </c>
      <c r="FF5" s="3">
        <f>IFERROR(VLOOKUP(EY5,'Factory Log'!$J:$R,9,0),0)</f>
        <v>0</v>
      </c>
      <c r="FG5" s="64">
        <f t="shared" ref="FG5:FG44" si="28">IFERROR(MIN(FD5/FF5,1),0)</f>
        <v>0</v>
      </c>
      <c r="FH5" s="58">
        <f t="shared" ref="FH5:FH44" si="29">IFERROR(FE5*FG5,0)</f>
        <v>0</v>
      </c>
    </row>
    <row r="6" spans="1:164" ht="16" customHeight="1" x14ac:dyDescent="0.2">
      <c r="B6" s="3">
        <f>IFERROR(VLOOKUP(A6,'Factory Log'!$J:$O,6,0),0)</f>
        <v>0</v>
      </c>
      <c r="C6" s="3">
        <f>IFERROR(VLOOKUP(A6,'Factory Log'!$J:$P,7,0),0)</f>
        <v>0</v>
      </c>
      <c r="D6" s="3">
        <f>IFERROR(VLOOKUP(A6,'Factory Log'!$J:$Q,8,0),0)</f>
        <v>0</v>
      </c>
      <c r="E6" s="58">
        <f>SUMIFS('Factory Log'!$D:$D,'Factory Log'!$B:$B,Performance!A$1,'Factory Log'!$J:$J,Performance!A6,'Factory Log'!$C:$C,"Running")+SUMIFS('Factory Log'!$D:$D,'Factory Log'!$B:$B,Performance!A$1,'Factory Log'!$J:$J,Performance!A6,'Factory Log'!$C:$C,"Make Ready")+SUMIFS('Factory Log'!$D:$D,'Factory Log'!$B:$B,Performance!A$1,'Factory Log'!$J:$J,Performance!A6,'Factory Log'!$C:$C,"Roll Change")</f>
        <v>0</v>
      </c>
      <c r="F6" s="3">
        <f>SUMIFS('Factory Log'!$M:$M,'Factory Log'!$B:$B,Performance!A$1,'Factory Log'!$J:$J,Performance!A6,'Factory Log'!$C:$C,"Running")</f>
        <v>0</v>
      </c>
      <c r="G6" s="58" cm="1">
        <f t="array" ref="G6">IFERROR(INDEX('Factory Log'!$S:$S,MATCH(1,(Performance!A$1='Factory Log'!$B:$B)*(Performance!A6='Factory Log'!$A:$A),0)),0)</f>
        <v>0</v>
      </c>
      <c r="H6" s="3">
        <f>IFERROR(VLOOKUP(A6,'Factory Log'!$J:$R,9,0),0)</f>
        <v>0</v>
      </c>
      <c r="I6" s="64">
        <f t="shared" si="1"/>
        <v>0</v>
      </c>
      <c r="J6" s="58">
        <f t="shared" si="0"/>
        <v>0</v>
      </c>
      <c r="L6" s="3">
        <v>349458</v>
      </c>
      <c r="M6" s="3" t="str">
        <f>IFERROR(VLOOKUP(L6,'Factory Log'!$J:$O,6,0),0)</f>
        <v>HH Associates - Asda</v>
      </c>
      <c r="N6" s="3" t="str">
        <f>IFERROR(VLOOKUP(L6,'Factory Log'!$J:$P,7,0),0)</f>
        <v>ASDA</v>
      </c>
      <c r="O6" s="3" t="str">
        <f>IFERROR(VLOOKUP(L6,'Factory Log'!$J:$Q,8,0),0)</f>
        <v>Banner - Retail</v>
      </c>
      <c r="P6" s="58">
        <f>SUMIFS('Factory Log'!$D:$D,'Factory Log'!$B:$B,Performance!L$1,'Factory Log'!$J:$J,Performance!L6,'Factory Log'!$C:$C,"Running")+SUMIFS('Factory Log'!$D:$D,'Factory Log'!$B:$B,Performance!L$1,'Factory Log'!$J:$J,Performance!L6,'Factory Log'!$C:$C,"Make Ready")+SUMIFS('Factory Log'!$D:$D,'Factory Log'!$B:$B,Performance!L$1,'Factory Log'!$J:$J,Performance!L6,'Factory Log'!$C:$C,"Roll Change")</f>
        <v>1.4500000000116415</v>
      </c>
      <c r="Q6" s="3">
        <f>SUMIFS('Factory Log'!$M:$M,'Factory Log'!$B:$B,Performance!L$1,'Factory Log'!$J:$J,Performance!L6,'Factory Log'!$C:$C,"Running")</f>
        <v>1</v>
      </c>
      <c r="R6" s="58" cm="1">
        <f t="array" ref="R6">IFERROR(INDEX('Factory Log'!$S:$S,MATCH(1,(Performance!L$1='Factory Log'!$B:$B)*(Performance!L6='Factory Log'!$A:$A),0)),0)</f>
        <v>0.5</v>
      </c>
      <c r="S6" s="3">
        <f>IFERROR(VLOOKUP(L6,'Factory Log'!$J:$R,9,0),0)</f>
        <v>1</v>
      </c>
      <c r="T6" s="64">
        <f t="shared" si="2"/>
        <v>1</v>
      </c>
      <c r="U6" s="58">
        <f t="shared" si="3"/>
        <v>0.5</v>
      </c>
      <c r="W6" s="3">
        <v>348970</v>
      </c>
      <c r="X6" s="3" t="str">
        <f>IFERROR(VLOOKUP(W6,'Factory Log'!$J:$O,6,0),0)</f>
        <v>The Sourcer</v>
      </c>
      <c r="Y6" s="3" t="str">
        <f>IFERROR(VLOOKUP(W6,'Factory Log'!$J:$P,7,0),0)</f>
        <v>Unknown</v>
      </c>
      <c r="Z6" s="3" t="str">
        <f>IFERROR(VLOOKUP(W6,'Factory Log'!$J:$Q,8,0),0)</f>
        <v>Bollard cover</v>
      </c>
      <c r="AA6" s="58">
        <f>SUMIFS('Factory Log'!$D:$D,'Factory Log'!$B:$B,Performance!W$1,'Factory Log'!$J:$J,Performance!W6,'Factory Log'!$C:$C,"Running")+SUMIFS('Factory Log'!$D:$D,'Factory Log'!$B:$B,Performance!W$1,'Factory Log'!$J:$J,Performance!W6,'Factory Log'!$C:$C,"Make Ready")+SUMIFS('Factory Log'!$D:$D,'Factory Log'!$B:$B,Performance!W$1,'Factory Log'!$J:$J,Performance!W6,'Factory Log'!$C:$C,"Roll Change")</f>
        <v>1.0666666668257676</v>
      </c>
      <c r="AB6" s="3">
        <f>SUMIFS('Factory Log'!$M:$M,'Factory Log'!$B:$B,Performance!W$1,'Factory Log'!$J:$J,Performance!W6,'Factory Log'!$C:$C,"Running")</f>
        <v>198.4793917863073</v>
      </c>
      <c r="AC6" s="58" cm="1">
        <f t="array" ref="AC6">IFERROR(INDEX('Factory Log'!$S:$S,MATCH(1,(Performance!W$1='Factory Log'!$B:$B)*(Performance!W6='Factory Log'!$A:$A),0)),0)</f>
        <v>8.33</v>
      </c>
      <c r="AD6" s="3">
        <f>IFERROR(VLOOKUP(W6,'Factory Log'!$J:$R,9,0),0)</f>
        <v>1550</v>
      </c>
      <c r="AE6" s="64">
        <f t="shared" si="4"/>
        <v>0.12805122050729503</v>
      </c>
      <c r="AF6" s="58">
        <f t="shared" si="5"/>
        <v>1.0666666668257676</v>
      </c>
      <c r="AH6" s="3">
        <v>338733.01</v>
      </c>
      <c r="AI6" s="3" t="str">
        <f>IFERROR(VLOOKUP(AH6,'Factory Log'!$J:$O,6,0),0)</f>
        <v>Gardners</v>
      </c>
      <c r="AJ6" s="3" t="str">
        <f>IFERROR(VLOOKUP(AH6,'Factory Log'!$J:$P,7,0),0)</f>
        <v>No Customer</v>
      </c>
      <c r="AK6" s="3" t="str">
        <f>IFERROR(VLOOKUP(AH6,'Factory Log'!$J:$Q,8,0),0)</f>
        <v>No Product</v>
      </c>
      <c r="AL6" s="58">
        <f>SUMIFS('Factory Log'!$D:$D,'Factory Log'!$B:$B,Performance!AH$1,'Factory Log'!$J:$J,Performance!AH6,'Factory Log'!$C:$C,"Running")+SUMIFS('Factory Log'!$D:$D,'Factory Log'!$B:$B,Performance!AH$1,'Factory Log'!$J:$J,Performance!AH6,'Factory Log'!$C:$C,"Make Ready")+SUMIFS('Factory Log'!$D:$D,'Factory Log'!$B:$B,Performance!AH$1,'Factory Log'!$J:$J,Performance!AH6,'Factory Log'!$C:$C,"Roll Change")</f>
        <v>0</v>
      </c>
      <c r="AM6" s="3">
        <f>SUMIFS('Factory Log'!$M:$M,'Factory Log'!$B:$B,Performance!AH$1,'Factory Log'!$J:$J,Performance!AH6,'Factory Log'!$C:$C,"Running")</f>
        <v>0</v>
      </c>
      <c r="AN6" s="58" cm="1">
        <f t="array" ref="AN6">IFERROR(INDEX('Factory Log'!$S:$S,MATCH(1,(Performance!AH$1='Factory Log'!$B:$B)*(Performance!AH6='Factory Log'!$A:$A),0)),0)</f>
        <v>0</v>
      </c>
      <c r="AO6" s="3">
        <f>IFERROR(VLOOKUP(AH6,'Factory Log'!$J:$R,9,0),0)</f>
        <v>0</v>
      </c>
      <c r="AP6" s="64">
        <f t="shared" si="6"/>
        <v>0</v>
      </c>
      <c r="AQ6" s="58">
        <f t="shared" si="7"/>
        <v>0</v>
      </c>
      <c r="AS6" s="3">
        <v>349443</v>
      </c>
      <c r="AT6" s="3" t="str">
        <f>IFERROR(VLOOKUP(AS6,'Factory Log'!$J:$O,6,0),0)</f>
        <v>Marks &amp; Spencer PLC</v>
      </c>
      <c r="AU6" s="3" t="str">
        <f>IFERROR(VLOOKUP(AS6,'Factory Log'!$J:$P,7,0),0)</f>
        <v>Marks &amp; Spencer</v>
      </c>
      <c r="AV6" s="3" t="str">
        <f>IFERROR(VLOOKUP(AS6,'Factory Log'!$J:$Q,8,0),0)</f>
        <v>Banner - Retail</v>
      </c>
      <c r="AW6" s="58">
        <f>SUMIFS('Factory Log'!$D:$D,'Factory Log'!$B:$B,Performance!AS$1,'Factory Log'!$J:$J,Performance!AS6,'Factory Log'!$C:$C,"Running")+SUMIFS('Factory Log'!$D:$D,'Factory Log'!$B:$B,Performance!AS$1,'Factory Log'!$J:$J,Performance!AS6,'Factory Log'!$C:$C,"Make Ready")+SUMIFS('Factory Log'!$D:$D,'Factory Log'!$B:$B,Performance!AS$1,'Factory Log'!$J:$J,Performance!AS6,'Factory Log'!$C:$C,"Roll Change")</f>
        <v>4.9500000000698492</v>
      </c>
      <c r="AX6" s="3">
        <f>SUMIFS('Factory Log'!$M:$M,'Factory Log'!$B:$B,Performance!AS$1,'Factory Log'!$J:$J,Performance!AS6,'Factory Log'!$C:$C,"Running")</f>
        <v>54</v>
      </c>
      <c r="AY6" s="58" cm="1">
        <f t="array" ref="AY6">IFERROR(INDEX('Factory Log'!$S:$S,MATCH(1,(Performance!AS$1='Factory Log'!$B:$B)*(Performance!AS6='Factory Log'!$A:$A),0)),0)</f>
        <v>2</v>
      </c>
      <c r="AZ6" s="3">
        <f>IFERROR(VLOOKUP(AS6,'Factory Log'!$J:$R,9,0),0)</f>
        <v>243</v>
      </c>
      <c r="BA6" s="64">
        <f t="shared" si="8"/>
        <v>0.22222222222222221</v>
      </c>
      <c r="BB6" s="58">
        <f t="shared" si="9"/>
        <v>0.44444444444444442</v>
      </c>
      <c r="BD6" s="3">
        <v>349423.03</v>
      </c>
      <c r="BE6" s="3" t="str">
        <f>IFERROR(VLOOKUP(BD6,'Factory Log'!$J:$O,6,0),0)</f>
        <v>ABCDesigns</v>
      </c>
      <c r="BF6" s="3" t="str">
        <f>IFERROR(VLOOKUP(BD6,'Factory Log'!$J:$P,7,0),0)</f>
        <v>Unknown</v>
      </c>
      <c r="BG6" s="3" t="str">
        <f>IFERROR(VLOOKUP(BD6,'Factory Log'!$J:$Q,8,0),0)</f>
        <v>Banner - Event</v>
      </c>
      <c r="BH6" s="58">
        <f>SUMIFS('Factory Log'!$D:$D,'Factory Log'!$B:$B,Performance!BD$1,'Factory Log'!$J:$J,Performance!BD6,'Factory Log'!$C:$C,"Running")+SUMIFS('Factory Log'!$D:$D,'Factory Log'!$B:$B,Performance!BD$1,'Factory Log'!$J:$J,Performance!BD6,'Factory Log'!$C:$C,"Make Ready")+SUMIFS('Factory Log'!$D:$D,'Factory Log'!$B:$B,Performance!BD$1,'Factory Log'!$J:$J,Performance!BD6,'Factory Log'!$C:$C,"Roll Change")</f>
        <v>0.1499999999650754</v>
      </c>
      <c r="BI6" s="3">
        <f>SUMIFS('Factory Log'!$M:$M,'Factory Log'!$B:$B,Performance!BD$1,'Factory Log'!$J:$J,Performance!BD6,'Factory Log'!$C:$C,"Running")</f>
        <v>6</v>
      </c>
      <c r="BJ6" s="58" cm="1">
        <f t="array" ref="BJ6">IFERROR(INDEX('Factory Log'!$S:$S,MATCH(1,(Performance!BD$1='Factory Log'!$B:$B)*(Performance!BD6='Factory Log'!$A:$A),0)),0)</f>
        <v>1.92</v>
      </c>
      <c r="BK6" s="3">
        <f>IFERROR(VLOOKUP(BD6,'Factory Log'!$J:$R,9,0),0)</f>
        <v>4</v>
      </c>
      <c r="BL6" s="64">
        <f t="shared" si="10"/>
        <v>1</v>
      </c>
      <c r="BM6" s="58">
        <f t="shared" si="11"/>
        <v>1.92</v>
      </c>
      <c r="BO6" s="3">
        <v>349447.11</v>
      </c>
      <c r="BP6" s="3" t="str">
        <f>IFERROR(VLOOKUP(BO6,'Factory Log'!$J:$O,6,0),0)</f>
        <v>Augustus Martin</v>
      </c>
      <c r="BQ6" s="3" t="str">
        <f>IFERROR(VLOOKUP(BO6,'Factory Log'!$J:$P,7,0),0)</f>
        <v>Tesco</v>
      </c>
      <c r="BR6" s="3" t="str">
        <f>IFERROR(VLOOKUP(BO6,'Factory Log'!$J:$Q,8,0),0)</f>
        <v>Prems</v>
      </c>
      <c r="BS6" s="58">
        <f>SUMIFS('Factory Log'!$D:$D,'Factory Log'!$B:$B,Performance!BO$1,'Factory Log'!$J:$J,Performance!BO6,'Factory Log'!$C:$C,"Running")+SUMIFS('Factory Log'!$D:$D,'Factory Log'!$B:$B,Performance!BO$1,'Factory Log'!$J:$J,Performance!BO6,'Factory Log'!$C:$C,"Make Ready")+SUMIFS('Factory Log'!$D:$D,'Factory Log'!$B:$B,Performance!BO$1,'Factory Log'!$J:$J,Performance!BO6,'Factory Log'!$C:$C,"Roll Change")</f>
        <v>2.5666666664765216</v>
      </c>
      <c r="BT6" s="3">
        <f>SUMIFS('Factory Log'!$M:$M,'Factory Log'!$B:$B,Performance!BO$1,'Factory Log'!$J:$J,Performance!BO6,'Factory Log'!$C:$C,"Running")</f>
        <v>13</v>
      </c>
      <c r="BU6" s="58" cm="1">
        <f t="array" ref="BU6">IFERROR(INDEX('Factory Log'!$S:$S,MATCH(1,(Performance!BO$1='Factory Log'!$B:$B)*(Performance!BO6='Factory Log'!$A:$A),0)),0)</f>
        <v>3</v>
      </c>
      <c r="BV6" s="3">
        <f>IFERROR(VLOOKUP(BO6,'Factory Log'!$J:$R,9,0),0)</f>
        <v>12</v>
      </c>
      <c r="BW6" s="64">
        <f t="shared" si="12"/>
        <v>1</v>
      </c>
      <c r="BX6" s="58">
        <f t="shared" si="13"/>
        <v>3</v>
      </c>
      <c r="CA6" s="3">
        <f>IFERROR(VLOOKUP(BZ6,'Factory Log'!$J:$O,6,0),0)</f>
        <v>0</v>
      </c>
      <c r="CB6" s="3">
        <f>IFERROR(VLOOKUP(BZ6,'Factory Log'!$J:$P,7,0),0)</f>
        <v>0</v>
      </c>
      <c r="CC6" s="3">
        <f>IFERROR(VLOOKUP(BZ6,'Factory Log'!$J:$Q,8,0),0)</f>
        <v>0</v>
      </c>
      <c r="CD6" s="58">
        <f>SUMIFS('Factory Log'!$D:$D,'Factory Log'!$B:$B,Performance!BZ$1,'Factory Log'!$J:$J,Performance!BZ6,'Factory Log'!$C:$C,"Running")+SUMIFS('Factory Log'!$D:$D,'Factory Log'!$B:$B,Performance!BZ$1,'Factory Log'!$J:$J,Performance!BZ6,'Factory Log'!$C:$C,"Make Ready")+SUMIFS('Factory Log'!$D:$D,'Factory Log'!$B:$B,Performance!BZ$1,'Factory Log'!$J:$J,Performance!BZ6,'Factory Log'!$C:$C,"Roll Change")</f>
        <v>0</v>
      </c>
      <c r="CE6" s="3">
        <f>SUMIFS('Factory Log'!$M:$M,'Factory Log'!$B:$B,Performance!BZ$1,'Factory Log'!$J:$J,Performance!BZ6,'Factory Log'!$C:$C,"Running")</f>
        <v>0</v>
      </c>
      <c r="CF6" s="58" cm="1">
        <f t="array" ref="CF6">IFERROR(INDEX('Factory Log'!$S:$S,MATCH(1,(Performance!BZ$1='Factory Log'!$B:$B)*(Performance!BZ6='Factory Log'!$A:$A),0)),0)</f>
        <v>0</v>
      </c>
      <c r="CG6" s="3">
        <f>IFERROR(VLOOKUP(BZ6,'Factory Log'!$J:$R,9,0),0)</f>
        <v>0</v>
      </c>
      <c r="CH6" s="64">
        <f t="shared" si="14"/>
        <v>0</v>
      </c>
      <c r="CI6" s="58">
        <f t="shared" si="15"/>
        <v>0</v>
      </c>
      <c r="CK6" s="3">
        <v>349428</v>
      </c>
      <c r="CL6" s="3" t="str">
        <f>IFERROR(VLOOKUP(CK6,'Factory Log'!$J:$O,6,0),0)</f>
        <v>Tesco Stores (Hertfordshire)</v>
      </c>
      <c r="CM6" s="3" t="str">
        <f>IFERROR(VLOOKUP(CK6,'Factory Log'!$J:$P,7,0),0)</f>
        <v>Tesco</v>
      </c>
      <c r="CN6" s="3" t="str">
        <f>IFERROR(VLOOKUP(CK6,'Factory Log'!$J:$Q,8,0),0)</f>
        <v>Banner - Retail</v>
      </c>
      <c r="CO6" s="58">
        <f>SUMIFS('Factory Log'!$D:$D,'Factory Log'!$B:$B,Performance!CK$1,'Factory Log'!$J:$J,Performance!CK6,'Factory Log'!$C:$C,"Running")+SUMIFS('Factory Log'!$D:$D,'Factory Log'!$B:$B,Performance!CK$1,'Factory Log'!$J:$J,Performance!CK6,'Factory Log'!$C:$C,"Make Ready")+SUMIFS('Factory Log'!$D:$D,'Factory Log'!$B:$B,Performance!CK$1,'Factory Log'!$J:$J,Performance!CK6,'Factory Log'!$C:$C,"Roll Change")</f>
        <v>0.21666666667442769</v>
      </c>
      <c r="CP6" s="3">
        <f>SUMIFS('Factory Log'!$M:$M,'Factory Log'!$B:$B,Performance!CK$1,'Factory Log'!$J:$J,Performance!CK6,'Factory Log'!$C:$C,"Running")</f>
        <v>1</v>
      </c>
      <c r="CQ6" s="58" cm="1">
        <f t="array" ref="CQ6">IFERROR(INDEX('Factory Log'!$S:$S,MATCH(1,(Performance!CK$1='Factory Log'!$B:$B)*(Performance!CK6='Factory Log'!$A:$A),0)),0)</f>
        <v>0.28000000000000003</v>
      </c>
      <c r="CR6" s="3">
        <f>IFERROR(VLOOKUP(CK6,'Factory Log'!$J:$R,9,0),0)</f>
        <v>1</v>
      </c>
      <c r="CS6" s="64">
        <f t="shared" si="16"/>
        <v>1</v>
      </c>
      <c r="CT6" s="58">
        <f t="shared" si="17"/>
        <v>0.28000000000000003</v>
      </c>
      <c r="CV6" s="3">
        <v>349449</v>
      </c>
      <c r="CW6" s="3" t="str">
        <f>IFERROR(VLOOKUP(CV6,'Factory Log'!$J:$O,6,0),0)</f>
        <v>Communisis Print Management SE</v>
      </c>
      <c r="CX6" s="3" t="str">
        <f>IFERROR(VLOOKUP(CV6,'Factory Log'!$J:$P,7,0),0)</f>
        <v>Unknown</v>
      </c>
      <c r="CY6" s="3" t="str">
        <f>IFERROR(VLOOKUP(CV6,'Factory Log'!$J:$Q,8,0),0)</f>
        <v>Portable Displays/Structure</v>
      </c>
      <c r="CZ6" s="58">
        <f>SUMIFS('Factory Log'!$D:$D,'Factory Log'!$B:$B,Performance!CV$1,'Factory Log'!$J:$J,Performance!CV6,'Factory Log'!$C:$C,"Running")+SUMIFS('Factory Log'!$D:$D,'Factory Log'!$B:$B,Performance!CV$1,'Factory Log'!$J:$J,Performance!CV6,'Factory Log'!$C:$C,"Make Ready")+SUMIFS('Factory Log'!$D:$D,'Factory Log'!$B:$B,Performance!CV$1,'Factory Log'!$J:$J,Performance!CV6,'Factory Log'!$C:$C,"Roll Change")</f>
        <v>0.79999999998835847</v>
      </c>
      <c r="DA6" s="3">
        <f>SUMIFS('Factory Log'!$M:$M,'Factory Log'!$B:$B,Performance!CV$1,'Factory Log'!$J:$J,Performance!CV6,'Factory Log'!$C:$C,"Running")</f>
        <v>4</v>
      </c>
      <c r="DB6" s="58" cm="1">
        <f t="array" ref="DB6">IFERROR(INDEX('Factory Log'!$S:$S,MATCH(1,(Performance!CV$1='Factory Log'!$B:$B)*(Performance!CV6='Factory Log'!$A:$A),0)),0)</f>
        <v>1.1000000000000001</v>
      </c>
      <c r="DC6" s="3">
        <f>IFERROR(VLOOKUP(CV6,'Factory Log'!$J:$R,9,0),0)</f>
        <v>4</v>
      </c>
      <c r="DD6" s="64">
        <f t="shared" si="18"/>
        <v>1</v>
      </c>
      <c r="DE6" s="58">
        <f t="shared" si="19"/>
        <v>1.1000000000000001</v>
      </c>
      <c r="DG6" s="3">
        <v>349424</v>
      </c>
      <c r="DH6" s="3" t="str">
        <f>IFERROR(VLOOKUP(DG6,'Factory Log'!$J:$O,6,0),0)</f>
        <v>HH Associates - Co-op</v>
      </c>
      <c r="DI6" s="3" t="str">
        <f>IFERROR(VLOOKUP(DG6,'Factory Log'!$J:$P,7,0),0)</f>
        <v>Co-op</v>
      </c>
      <c r="DJ6" s="3" t="str">
        <f>IFERROR(VLOOKUP(DG6,'Factory Log'!$J:$Q,8,0),0)</f>
        <v>Portable Displays/Structure</v>
      </c>
      <c r="DK6" s="58">
        <f>SUMIFS('Factory Log'!$D:$D,'Factory Log'!$B:$B,Performance!DG$1,'Factory Log'!$J:$J,Performance!DG6,'Factory Log'!$C:$C,"Running")+SUMIFS('Factory Log'!$D:$D,'Factory Log'!$B:$B,Performance!DG$1,'Factory Log'!$J:$J,Performance!DG6,'Factory Log'!$C:$C,"Make Ready")+SUMIFS('Factory Log'!$D:$D,'Factory Log'!$B:$B,Performance!DG$1,'Factory Log'!$J:$J,Performance!DG6,'Factory Log'!$C:$C,"Roll Change")</f>
        <v>1.9500000000698492</v>
      </c>
      <c r="DL6" s="3">
        <f>SUMIFS('Factory Log'!$M:$M,'Factory Log'!$B:$B,Performance!DG$1,'Factory Log'!$J:$J,Performance!DG6,'Factory Log'!$C:$C,"Running")</f>
        <v>13</v>
      </c>
      <c r="DM6" s="58" cm="1">
        <f t="array" ref="DM6">IFERROR(INDEX('Factory Log'!$S:$S,MATCH(1,(Performance!DG$1='Factory Log'!$B:$B)*(Performance!DG6='Factory Log'!$A:$A),0)),0)</f>
        <v>1</v>
      </c>
      <c r="DN6" s="3">
        <f>IFERROR(VLOOKUP(DG6,'Factory Log'!$J:$R,9,0),0)</f>
        <v>13</v>
      </c>
      <c r="DO6" s="64">
        <f t="shared" si="20"/>
        <v>1</v>
      </c>
      <c r="DP6" s="58">
        <f t="shared" si="21"/>
        <v>1</v>
      </c>
      <c r="DS6" s="3">
        <f>IFERROR(VLOOKUP(DR6,'Factory Log'!$J:$O,6,0),0)</f>
        <v>0</v>
      </c>
      <c r="DT6" s="3">
        <f>IFERROR(VLOOKUP(DR6,'Factory Log'!$J:$P,7,0),0)</f>
        <v>0</v>
      </c>
      <c r="DU6" s="3">
        <f>IFERROR(VLOOKUP(DR6,'Factory Log'!$J:$Q,8,0),0)</f>
        <v>0</v>
      </c>
      <c r="DV6" s="58">
        <f>SUMIFS('Factory Log'!$D:$D,'Factory Log'!$B:$B,Performance!DR$1,'Factory Log'!$J:$J,Performance!DR6,'Factory Log'!$C:$C,"Running")+SUMIFS('Factory Log'!$D:$D,'Factory Log'!$B:$B,Performance!DR$1,'Factory Log'!$J:$J,Performance!DR6,'Factory Log'!$C:$C,"Make Ready")+SUMIFS('Factory Log'!$D:$D,'Factory Log'!$B:$B,Performance!DR$1,'Factory Log'!$J:$J,Performance!DR6,'Factory Log'!$C:$C,"Roll Change")</f>
        <v>0</v>
      </c>
      <c r="DW6" s="3">
        <f>SUMIFS('Factory Log'!$M:$M,'Factory Log'!$B:$B,Performance!DR$1,'Factory Log'!$J:$J,Performance!DR6,'Factory Log'!$C:$C,"Running")</f>
        <v>0</v>
      </c>
      <c r="DX6" s="58" cm="1">
        <f t="array" ref="DX6">IFERROR(INDEX('Factory Log'!$S:$S,MATCH(1,(Performance!DR$1='Factory Log'!$B:$B)*(Performance!DR6='Factory Log'!$A:$A),0)),0)</f>
        <v>0</v>
      </c>
      <c r="DY6" s="3">
        <f>IFERROR(VLOOKUP(DR6,'Factory Log'!$J:$R,9,0),0)</f>
        <v>0</v>
      </c>
      <c r="DZ6" s="64">
        <f t="shared" si="22"/>
        <v>0</v>
      </c>
      <c r="EA6" s="58">
        <f t="shared" si="23"/>
        <v>0</v>
      </c>
      <c r="ED6" s="3">
        <f>IFERROR(VLOOKUP(EC6,'Factory Log'!$J:$O,6,0),0)</f>
        <v>0</v>
      </c>
      <c r="EE6" s="3">
        <f>IFERROR(VLOOKUP(EC6,'Factory Log'!$J:$P,7,0),0)</f>
        <v>0</v>
      </c>
      <c r="EF6" s="3">
        <f>IFERROR(VLOOKUP(EC6,'Factory Log'!$J:$Q,8,0),0)</f>
        <v>0</v>
      </c>
      <c r="EG6" s="58">
        <f>SUMIFS('Factory Log'!$D:$D,'Factory Log'!$B:$B,Performance!EC$1,'Factory Log'!$J:$J,Performance!EC6,'Factory Log'!$C:$C,"Running")+SUMIFS('Factory Log'!$D:$D,'Factory Log'!$B:$B,Performance!EC$1,'Factory Log'!$J:$J,Performance!EC6,'Factory Log'!$C:$C,"Make Ready")+SUMIFS('Factory Log'!$D:$D,'Factory Log'!$B:$B,Performance!EC$1,'Factory Log'!$J:$J,Performance!EC6,'Factory Log'!$C:$C,"Roll Change")</f>
        <v>0</v>
      </c>
      <c r="EH6" s="3">
        <f>SUMIFS('Factory Log'!$M:$M,'Factory Log'!$B:$B,Performance!EC$1,'Factory Log'!$J:$J,Performance!EC6,'Factory Log'!$C:$C,"Running")</f>
        <v>0</v>
      </c>
      <c r="EI6" s="58" cm="1">
        <f t="array" ref="EI6">IFERROR(INDEX('Factory Log'!$S:$S,MATCH(1,(Performance!EC$1='Factory Log'!$B:$B)*(Performance!EC6='Factory Log'!$A:$A),0)),0)</f>
        <v>0</v>
      </c>
      <c r="EJ6" s="3">
        <f>IFERROR(VLOOKUP(EC6,'Factory Log'!$J:$R,9,0),0)</f>
        <v>0</v>
      </c>
      <c r="EK6" s="64">
        <f t="shared" si="24"/>
        <v>0</v>
      </c>
      <c r="EL6" s="58">
        <f t="shared" si="25"/>
        <v>0</v>
      </c>
      <c r="EN6" s="3">
        <v>349069.01</v>
      </c>
      <c r="EO6" s="3" t="str">
        <f>IFERROR(VLOOKUP(EN6,'Factory Log'!$J:$O,6,0),0)</f>
        <v>HH Associates - Asda</v>
      </c>
      <c r="EP6" s="3" t="str">
        <f>IFERROR(VLOOKUP(EN6,'Factory Log'!$J:$P,7,0),0)</f>
        <v>ASDA</v>
      </c>
      <c r="EQ6" s="3" t="str">
        <f>IFERROR(VLOOKUP(EN6,'Factory Log'!$J:$Q,8,0),0)</f>
        <v>Wrap</v>
      </c>
      <c r="ER6" s="58">
        <f>SUMIFS('Factory Log'!$D:$D,'Factory Log'!$B:$B,Performance!EN$1,'Factory Log'!$J:$J,Performance!EN6,'Factory Log'!$C:$C,"Running")+SUMIFS('Factory Log'!$D:$D,'Factory Log'!$B:$B,Performance!EN$1,'Factory Log'!$J:$J,Performance!EN6,'Factory Log'!$C:$C,"Make Ready")+SUMIFS('Factory Log'!$D:$D,'Factory Log'!$B:$B,Performance!EN$1,'Factory Log'!$J:$J,Performance!EN6,'Factory Log'!$C:$C,"Roll Change")</f>
        <v>14.533333333209157</v>
      </c>
      <c r="ES6" s="3">
        <f>SUMIFS('Factory Log'!$M:$M,'Factory Log'!$B:$B,Performance!EN$1,'Factory Log'!$J:$J,Performance!EN6,'Factory Log'!$C:$C,"Running")</f>
        <v>899</v>
      </c>
      <c r="ET6" s="58" cm="1">
        <f t="array" ref="ET6">IFERROR(INDEX('Factory Log'!$S:$S,MATCH(1,(Performance!EN$1='Factory Log'!$B:$B)*(Performance!EN6='Factory Log'!$A:$A),0)),0)</f>
        <v>102.83</v>
      </c>
      <c r="EU6" s="3">
        <f>IFERROR(VLOOKUP(EN6,'Factory Log'!$J:$R,9,0),0)</f>
        <v>12320</v>
      </c>
      <c r="EV6" s="64">
        <f t="shared" si="26"/>
        <v>7.2970779220779214E-2</v>
      </c>
      <c r="EW6" s="58">
        <f t="shared" si="27"/>
        <v>7.5035852272727261</v>
      </c>
      <c r="EY6" s="3">
        <v>349358.01</v>
      </c>
      <c r="EZ6" s="3" t="str">
        <f>IFERROR(VLOOKUP(EY6,'Factory Log'!$J:$O,6,0),0)</f>
        <v>HH Associates - Asda</v>
      </c>
      <c r="FA6" s="3" t="str">
        <f>IFERROR(VLOOKUP(EY6,'Factory Log'!$J:$P,7,0),0)</f>
        <v>George</v>
      </c>
      <c r="FB6" s="3" t="str">
        <f>IFERROR(VLOOKUP(EY6,'Factory Log'!$J:$Q,8,0),0)</f>
        <v>Lightbox Panel</v>
      </c>
      <c r="FC6" s="58">
        <f>SUMIFS('Factory Log'!$D:$D,'Factory Log'!$B:$B,Performance!EY$1,'Factory Log'!$J:$J,Performance!EY6,'Factory Log'!$C:$C,"Running")+SUMIFS('Factory Log'!$D:$D,'Factory Log'!$B:$B,Performance!EY$1,'Factory Log'!$J:$J,Performance!EY6,'Factory Log'!$C:$C,"Make Ready")+SUMIFS('Factory Log'!$D:$D,'Factory Log'!$B:$B,Performance!EY$1,'Factory Log'!$J:$J,Performance!EY6,'Factory Log'!$C:$C,"Roll Change")</f>
        <v>0.63333333330228925</v>
      </c>
      <c r="FD6" s="3">
        <f>SUMIFS('Factory Log'!$M:$M,'Factory Log'!$B:$B,Performance!EY$1,'Factory Log'!$J:$J,Performance!EY6,'Factory Log'!$C:$C,"Running")</f>
        <v>15</v>
      </c>
      <c r="FE6" s="58" cm="1">
        <f t="array" ref="FE6">IFERROR(INDEX('Factory Log'!$S:$S,MATCH(1,(Performance!EY$1='Factory Log'!$B:$B)*(Performance!EY6='Factory Log'!$A:$A),0)),0)</f>
        <v>0.23</v>
      </c>
      <c r="FF6" s="3">
        <f>IFERROR(VLOOKUP(EY6,'Factory Log'!$J:$R,9,0),0)</f>
        <v>15</v>
      </c>
      <c r="FG6" s="64">
        <f t="shared" si="28"/>
        <v>1</v>
      </c>
      <c r="FH6" s="58">
        <f t="shared" si="29"/>
        <v>0.23</v>
      </c>
    </row>
    <row r="7" spans="1:164" ht="16" customHeight="1" x14ac:dyDescent="0.2">
      <c r="B7" s="3">
        <f>IFERROR(VLOOKUP(A7,'Factory Log'!$J:$O,6,0),0)</f>
        <v>0</v>
      </c>
      <c r="C7" s="3">
        <f>IFERROR(VLOOKUP(A7,'Factory Log'!$J:$P,7,0),0)</f>
        <v>0</v>
      </c>
      <c r="D7" s="3">
        <f>IFERROR(VLOOKUP(A7,'Factory Log'!$J:$Q,8,0),0)</f>
        <v>0</v>
      </c>
      <c r="E7" s="58">
        <f>SUMIFS('Factory Log'!$D:$D,'Factory Log'!$B:$B,Performance!A$1,'Factory Log'!$J:$J,Performance!A7,'Factory Log'!$C:$C,"Running")+SUMIFS('Factory Log'!$D:$D,'Factory Log'!$B:$B,Performance!A$1,'Factory Log'!$J:$J,Performance!A7,'Factory Log'!$C:$C,"Make Ready")+SUMIFS('Factory Log'!$D:$D,'Factory Log'!$B:$B,Performance!A$1,'Factory Log'!$J:$J,Performance!A7,'Factory Log'!$C:$C,"Roll Change")</f>
        <v>0</v>
      </c>
      <c r="F7" s="3">
        <f>SUMIFS('Factory Log'!$M:$M,'Factory Log'!$B:$B,Performance!A$1,'Factory Log'!$J:$J,Performance!A7,'Factory Log'!$C:$C,"Running")</f>
        <v>0</v>
      </c>
      <c r="G7" s="58" cm="1">
        <f t="array" ref="G7">IFERROR(INDEX('Factory Log'!$S:$S,MATCH(1,(Performance!A$1='Factory Log'!$B:$B)*(Performance!A7='Factory Log'!$A:$A),0)),0)</f>
        <v>0</v>
      </c>
      <c r="H7" s="3">
        <f>IFERROR(VLOOKUP(A7,'Factory Log'!$J:$R,9,0),0)</f>
        <v>0</v>
      </c>
      <c r="I7" s="64">
        <f t="shared" si="1"/>
        <v>0</v>
      </c>
      <c r="J7" s="58">
        <f t="shared" si="0"/>
        <v>0</v>
      </c>
      <c r="M7" s="3">
        <f>IFERROR(VLOOKUP(L7,'Factory Log'!$J:$O,6,0),0)</f>
        <v>0</v>
      </c>
      <c r="N7" s="3">
        <f>IFERROR(VLOOKUP(L7,'Factory Log'!$J:$P,7,0),0)</f>
        <v>0</v>
      </c>
      <c r="O7" s="3">
        <f>IFERROR(VLOOKUP(L7,'Factory Log'!$J:$Q,8,0),0)</f>
        <v>0</v>
      </c>
      <c r="P7" s="58">
        <f>SUMIFS('Factory Log'!$D:$D,'Factory Log'!$B:$B,Performance!L$1,'Factory Log'!$J:$J,Performance!L7,'Factory Log'!$C:$C,"Running")+SUMIFS('Factory Log'!$D:$D,'Factory Log'!$B:$B,Performance!L$1,'Factory Log'!$J:$J,Performance!L7,'Factory Log'!$C:$C,"Make Ready")+SUMIFS('Factory Log'!$D:$D,'Factory Log'!$B:$B,Performance!L$1,'Factory Log'!$J:$J,Performance!L7,'Factory Log'!$C:$C,"Roll Change")</f>
        <v>0</v>
      </c>
      <c r="Q7" s="3">
        <f>SUMIFS('Factory Log'!$M:$M,'Factory Log'!$B:$B,Performance!L$1,'Factory Log'!$J:$J,Performance!L7,'Factory Log'!$C:$C,"Running")</f>
        <v>0</v>
      </c>
      <c r="R7" s="58" cm="1">
        <f t="array" ref="R7">IFERROR(INDEX('Factory Log'!$S:$S,MATCH(1,(Performance!L$1='Factory Log'!$B:$B)*(Performance!L7='Factory Log'!$A:$A),0)),0)</f>
        <v>0</v>
      </c>
      <c r="S7" s="3">
        <f>IFERROR(VLOOKUP(L7,'Factory Log'!$J:$R,9,0),0)</f>
        <v>0</v>
      </c>
      <c r="T7" s="64">
        <f t="shared" si="2"/>
        <v>0</v>
      </c>
      <c r="U7" s="58">
        <f t="shared" si="3"/>
        <v>0</v>
      </c>
      <c r="X7" s="3">
        <f>IFERROR(VLOOKUP(W7,'Factory Log'!$J:$O,6,0),0)</f>
        <v>0</v>
      </c>
      <c r="Y7" s="3">
        <f>IFERROR(VLOOKUP(W7,'Factory Log'!$J:$P,7,0),0)</f>
        <v>0</v>
      </c>
      <c r="Z7" s="3">
        <f>IFERROR(VLOOKUP(W7,'Factory Log'!$J:$Q,8,0),0)</f>
        <v>0</v>
      </c>
      <c r="AA7" s="58">
        <f>SUMIFS('Factory Log'!$D:$D,'Factory Log'!$B:$B,Performance!W$1,'Factory Log'!$J:$J,Performance!W7,'Factory Log'!$C:$C,"Running")+SUMIFS('Factory Log'!$D:$D,'Factory Log'!$B:$B,Performance!W$1,'Factory Log'!$J:$J,Performance!W7,'Factory Log'!$C:$C,"Make Ready")+SUMIFS('Factory Log'!$D:$D,'Factory Log'!$B:$B,Performance!W$1,'Factory Log'!$J:$J,Performance!W7,'Factory Log'!$C:$C,"Roll Change")</f>
        <v>0</v>
      </c>
      <c r="AB7" s="3">
        <f>SUMIFS('Factory Log'!$M:$M,'Factory Log'!$B:$B,Performance!W$1,'Factory Log'!$J:$J,Performance!W7,'Factory Log'!$C:$C,"Running")</f>
        <v>0</v>
      </c>
      <c r="AC7" s="58" cm="1">
        <f t="array" ref="AC7">IFERROR(INDEX('Factory Log'!$S:$S,MATCH(1,(Performance!W$1='Factory Log'!$B:$B)*(Performance!W7='Factory Log'!$A:$A),0)),0)</f>
        <v>0</v>
      </c>
      <c r="AD7" s="3">
        <f>IFERROR(VLOOKUP(W7,'Factory Log'!$J:$R,9,0),0)</f>
        <v>0</v>
      </c>
      <c r="AE7" s="64">
        <f t="shared" si="4"/>
        <v>0</v>
      </c>
      <c r="AF7" s="58">
        <f t="shared" si="5"/>
        <v>0</v>
      </c>
      <c r="AH7" s="3">
        <v>349431.02</v>
      </c>
      <c r="AI7" s="3" t="str">
        <f>IFERROR(VLOOKUP(AH7,'Factory Log'!$J:$O,6,0),0)</f>
        <v>Inspired Thinking Group (ITG) - Halfords</v>
      </c>
      <c r="AJ7" s="3" t="str">
        <f>IFERROR(VLOOKUP(AH7,'Factory Log'!$J:$P,7,0),0)</f>
        <v>Halfords</v>
      </c>
      <c r="AK7" s="3" t="str">
        <f>IFERROR(VLOOKUP(AH7,'Factory Log'!$J:$Q,8,0),0)</f>
        <v>General Point of Sale</v>
      </c>
      <c r="AL7" s="58">
        <f>SUMIFS('Factory Log'!$D:$D,'Factory Log'!$B:$B,Performance!AH$1,'Factory Log'!$J:$J,Performance!AH7,'Factory Log'!$C:$C,"Running")+SUMIFS('Factory Log'!$D:$D,'Factory Log'!$B:$B,Performance!AH$1,'Factory Log'!$J:$J,Performance!AH7,'Factory Log'!$C:$C,"Make Ready")+SUMIFS('Factory Log'!$D:$D,'Factory Log'!$B:$B,Performance!AH$1,'Factory Log'!$J:$J,Performance!AH7,'Factory Log'!$C:$C,"Roll Change")</f>
        <v>6.4333333333488554</v>
      </c>
      <c r="AM7" s="3">
        <f>SUMIFS('Factory Log'!$M:$M,'Factory Log'!$B:$B,Performance!AH$1,'Factory Log'!$J:$J,Performance!AH7,'Factory Log'!$C:$C,"Running")</f>
        <v>340</v>
      </c>
      <c r="AN7" s="58" cm="1">
        <f t="array" ref="AN7">IFERROR(INDEX('Factory Log'!$S:$S,MATCH(1,(Performance!AH$1='Factory Log'!$B:$B)*(Performance!AH7='Factory Log'!$A:$A),0)),0)</f>
        <v>6.07</v>
      </c>
      <c r="AO7" s="3">
        <f>IFERROR(VLOOKUP(AH7,'Factory Log'!$J:$R,9,0),0)</f>
        <v>387</v>
      </c>
      <c r="AP7" s="64">
        <f t="shared" si="6"/>
        <v>0.87855297157622736</v>
      </c>
      <c r="AQ7" s="58">
        <f t="shared" si="7"/>
        <v>5.3328165374676999</v>
      </c>
      <c r="AS7" s="3">
        <v>338733.02</v>
      </c>
      <c r="AT7" s="3" t="str">
        <f>IFERROR(VLOOKUP(AS7,'Factory Log'!$J:$O,6,0),0)</f>
        <v>Gardners</v>
      </c>
      <c r="AU7" s="3" t="str">
        <f>IFERROR(VLOOKUP(AS7,'Factory Log'!$J:$P,7,0),0)</f>
        <v>No Customer</v>
      </c>
      <c r="AV7" s="3" t="str">
        <f>IFERROR(VLOOKUP(AS7,'Factory Log'!$J:$Q,8,0),0)</f>
        <v>No Product</v>
      </c>
      <c r="AW7" s="58">
        <f>SUMIFS('Factory Log'!$D:$D,'Factory Log'!$B:$B,Performance!AS$1,'Factory Log'!$J:$J,Performance!AS7,'Factory Log'!$C:$C,"Running")+SUMIFS('Factory Log'!$D:$D,'Factory Log'!$B:$B,Performance!AS$1,'Factory Log'!$J:$J,Performance!AS7,'Factory Log'!$C:$C,"Make Ready")+SUMIFS('Factory Log'!$D:$D,'Factory Log'!$B:$B,Performance!AS$1,'Factory Log'!$J:$J,Performance!AS7,'Factory Log'!$C:$C,"Roll Change")</f>
        <v>0</v>
      </c>
      <c r="AX7" s="3">
        <f>SUMIFS('Factory Log'!$M:$M,'Factory Log'!$B:$B,Performance!AS$1,'Factory Log'!$J:$J,Performance!AS7,'Factory Log'!$C:$C,"Running")</f>
        <v>0</v>
      </c>
      <c r="AY7" s="58" cm="1">
        <f t="array" ref="AY7">IFERROR(INDEX('Factory Log'!$S:$S,MATCH(1,(Performance!AS$1='Factory Log'!$B:$B)*(Performance!AS7='Factory Log'!$A:$A),0)),0)</f>
        <v>0</v>
      </c>
      <c r="AZ7" s="3">
        <f>IFERROR(VLOOKUP(AS7,'Factory Log'!$J:$R,9,0),0)</f>
        <v>0</v>
      </c>
      <c r="BA7" s="64">
        <f t="shared" si="8"/>
        <v>0</v>
      </c>
      <c r="BB7" s="58">
        <f t="shared" si="9"/>
        <v>0</v>
      </c>
      <c r="BD7" s="3">
        <v>349423.01</v>
      </c>
      <c r="BE7" s="3" t="str">
        <f>IFERROR(VLOOKUP(BD7,'Factory Log'!$J:$O,6,0),0)</f>
        <v>ABCDesigns</v>
      </c>
      <c r="BF7" s="3" t="str">
        <f>IFERROR(VLOOKUP(BD7,'Factory Log'!$J:$P,7,0),0)</f>
        <v>Unknown</v>
      </c>
      <c r="BG7" s="3" t="str">
        <f>IFERROR(VLOOKUP(BD7,'Factory Log'!$J:$Q,8,0),0)</f>
        <v>Banner - Retail</v>
      </c>
      <c r="BH7" s="58">
        <f>SUMIFS('Factory Log'!$D:$D,'Factory Log'!$B:$B,Performance!BD$1,'Factory Log'!$J:$J,Performance!BD7,'Factory Log'!$C:$C,"Running")+SUMIFS('Factory Log'!$D:$D,'Factory Log'!$B:$B,Performance!BD$1,'Factory Log'!$J:$J,Performance!BD7,'Factory Log'!$C:$C,"Make Ready")+SUMIFS('Factory Log'!$D:$D,'Factory Log'!$B:$B,Performance!BD$1,'Factory Log'!$J:$J,Performance!BD7,'Factory Log'!$C:$C,"Roll Change")</f>
        <v>9.4166666668024845</v>
      </c>
      <c r="BI7" s="3">
        <f>SUMIFS('Factory Log'!$M:$M,'Factory Log'!$B:$B,Performance!BD$1,'Factory Log'!$J:$J,Performance!BD7,'Factory Log'!$C:$C,"Running")</f>
        <v>7</v>
      </c>
      <c r="BJ7" s="58" cm="1">
        <f t="array" ref="BJ7">IFERROR(INDEX('Factory Log'!$S:$S,MATCH(1,(Performance!BD$1='Factory Log'!$B:$B)*(Performance!BD7='Factory Log'!$A:$A),0)),0)</f>
        <v>4</v>
      </c>
      <c r="BK7" s="3">
        <f>IFERROR(VLOOKUP(BD7,'Factory Log'!$J:$R,9,0),0)</f>
        <v>7</v>
      </c>
      <c r="BL7" s="64">
        <f t="shared" si="10"/>
        <v>1</v>
      </c>
      <c r="BM7" s="58">
        <f t="shared" si="11"/>
        <v>4</v>
      </c>
      <c r="BP7" s="3">
        <f>IFERROR(VLOOKUP(BO7,'Factory Log'!$J:$O,6,0),0)</f>
        <v>0</v>
      </c>
      <c r="BQ7" s="3">
        <f>IFERROR(VLOOKUP(BO7,'Factory Log'!$J:$P,7,0),0)</f>
        <v>0</v>
      </c>
      <c r="BR7" s="3">
        <f>IFERROR(VLOOKUP(BO7,'Factory Log'!$J:$Q,8,0),0)</f>
        <v>0</v>
      </c>
      <c r="BS7" s="58">
        <f>SUMIFS('Factory Log'!$D:$D,'Factory Log'!$B:$B,Performance!BO$1,'Factory Log'!$J:$J,Performance!BO7,'Factory Log'!$C:$C,"Running")+SUMIFS('Factory Log'!$D:$D,'Factory Log'!$B:$B,Performance!BO$1,'Factory Log'!$J:$J,Performance!BO7,'Factory Log'!$C:$C,"Make Ready")+SUMIFS('Factory Log'!$D:$D,'Factory Log'!$B:$B,Performance!BO$1,'Factory Log'!$J:$J,Performance!BO7,'Factory Log'!$C:$C,"Roll Change")</f>
        <v>0</v>
      </c>
      <c r="BT7" s="3">
        <f>SUMIFS('Factory Log'!$M:$M,'Factory Log'!$B:$B,Performance!BO$1,'Factory Log'!$J:$J,Performance!BO7,'Factory Log'!$C:$C,"Running")</f>
        <v>0</v>
      </c>
      <c r="BU7" s="58" cm="1">
        <f t="array" ref="BU7">IFERROR(INDEX('Factory Log'!$S:$S,MATCH(1,(Performance!BO$1='Factory Log'!$B:$B)*(Performance!BO7='Factory Log'!$A:$A),0)),0)</f>
        <v>0</v>
      </c>
      <c r="BV7" s="3">
        <f>IFERROR(VLOOKUP(BO7,'Factory Log'!$J:$R,9,0),0)</f>
        <v>0</v>
      </c>
      <c r="BW7" s="64">
        <f t="shared" si="12"/>
        <v>0</v>
      </c>
      <c r="BX7" s="58">
        <f t="shared" si="13"/>
        <v>0</v>
      </c>
      <c r="CA7" s="3">
        <f>IFERROR(VLOOKUP(BZ7,'Factory Log'!$J:$O,6,0),0)</f>
        <v>0</v>
      </c>
      <c r="CB7" s="3">
        <f>IFERROR(VLOOKUP(BZ7,'Factory Log'!$J:$P,7,0),0)</f>
        <v>0</v>
      </c>
      <c r="CC7" s="3">
        <f>IFERROR(VLOOKUP(BZ7,'Factory Log'!$J:$Q,8,0),0)</f>
        <v>0</v>
      </c>
      <c r="CD7" s="58">
        <f>SUMIFS('Factory Log'!$D:$D,'Factory Log'!$B:$B,Performance!BZ$1,'Factory Log'!$J:$J,Performance!BZ7,'Factory Log'!$C:$C,"Running")+SUMIFS('Factory Log'!$D:$D,'Factory Log'!$B:$B,Performance!BZ$1,'Factory Log'!$J:$J,Performance!BZ7,'Factory Log'!$C:$C,"Make Ready")+SUMIFS('Factory Log'!$D:$D,'Factory Log'!$B:$B,Performance!BZ$1,'Factory Log'!$J:$J,Performance!BZ7,'Factory Log'!$C:$C,"Roll Change")</f>
        <v>0</v>
      </c>
      <c r="CE7" s="3">
        <f>SUMIFS('Factory Log'!$M:$M,'Factory Log'!$B:$B,Performance!BZ$1,'Factory Log'!$J:$J,Performance!BZ7,'Factory Log'!$C:$C,"Running")</f>
        <v>0</v>
      </c>
      <c r="CF7" s="58" cm="1">
        <f t="array" ref="CF7">IFERROR(INDEX('Factory Log'!$S:$S,MATCH(1,(Performance!BZ$1='Factory Log'!$B:$B)*(Performance!BZ7='Factory Log'!$A:$A),0)),0)</f>
        <v>0</v>
      </c>
      <c r="CG7" s="3">
        <f>IFERROR(VLOOKUP(BZ7,'Factory Log'!$J:$R,9,0),0)</f>
        <v>0</v>
      </c>
      <c r="CH7" s="64">
        <f t="shared" si="14"/>
        <v>0</v>
      </c>
      <c r="CI7" s="58">
        <f t="shared" si="15"/>
        <v>0</v>
      </c>
      <c r="CK7" s="3">
        <v>349435</v>
      </c>
      <c r="CL7" s="3" t="str">
        <f>IFERROR(VLOOKUP(CK7,'Factory Log'!$J:$O,6,0),0)</f>
        <v>Tesco Stores (Hertfordshire)</v>
      </c>
      <c r="CM7" s="3" t="str">
        <f>IFERROR(VLOOKUP(CK7,'Factory Log'!$J:$P,7,0),0)</f>
        <v>Tesco</v>
      </c>
      <c r="CN7" s="3" t="str">
        <f>IFERROR(VLOOKUP(CK7,'Factory Log'!$J:$Q,8,0),0)</f>
        <v>Banner - Retail</v>
      </c>
      <c r="CO7" s="58">
        <f>SUMIFS('Factory Log'!$D:$D,'Factory Log'!$B:$B,Performance!CK$1,'Factory Log'!$J:$J,Performance!CK7,'Factory Log'!$C:$C,"Running")+SUMIFS('Factory Log'!$D:$D,'Factory Log'!$B:$B,Performance!CK$1,'Factory Log'!$J:$J,Performance!CK7,'Factory Log'!$C:$C,"Make Ready")+SUMIFS('Factory Log'!$D:$D,'Factory Log'!$B:$B,Performance!CK$1,'Factory Log'!$J:$J,Performance!CK7,'Factory Log'!$C:$C,"Roll Change")</f>
        <v>0.75</v>
      </c>
      <c r="CP7" s="3">
        <f>SUMIFS('Factory Log'!$M:$M,'Factory Log'!$B:$B,Performance!CK$1,'Factory Log'!$J:$J,Performance!CK7,'Factory Log'!$C:$C,"Running")</f>
        <v>4</v>
      </c>
      <c r="CQ7" s="58" cm="1">
        <f t="array" ref="CQ7">IFERROR(INDEX('Factory Log'!$S:$S,MATCH(1,(Performance!CK$1='Factory Log'!$B:$B)*(Performance!CK7='Factory Log'!$A:$A),0)),0)</f>
        <v>0.5</v>
      </c>
      <c r="CR7" s="3">
        <f>IFERROR(VLOOKUP(CK7,'Factory Log'!$J:$R,9,0),0)</f>
        <v>4</v>
      </c>
      <c r="CS7" s="64">
        <f t="shared" si="16"/>
        <v>1</v>
      </c>
      <c r="CT7" s="58">
        <f t="shared" si="17"/>
        <v>0.5</v>
      </c>
      <c r="CW7" s="3">
        <f>IFERROR(VLOOKUP(CV7,'Factory Log'!$J:$O,6,0),0)</f>
        <v>0</v>
      </c>
      <c r="CX7" s="3">
        <f>IFERROR(VLOOKUP(CV7,'Factory Log'!$J:$P,7,0),0)</f>
        <v>0</v>
      </c>
      <c r="CY7" s="3">
        <f>IFERROR(VLOOKUP(CV7,'Factory Log'!$J:$Q,8,0),0)</f>
        <v>0</v>
      </c>
      <c r="CZ7" s="58">
        <f>SUMIFS('Factory Log'!$D:$D,'Factory Log'!$B:$B,Performance!CV$1,'Factory Log'!$J:$J,Performance!CV7,'Factory Log'!$C:$C,"Running")+SUMIFS('Factory Log'!$D:$D,'Factory Log'!$B:$B,Performance!CV$1,'Factory Log'!$J:$J,Performance!CV7,'Factory Log'!$C:$C,"Make Ready")+SUMIFS('Factory Log'!$D:$D,'Factory Log'!$B:$B,Performance!CV$1,'Factory Log'!$J:$J,Performance!CV7,'Factory Log'!$C:$C,"Roll Change")</f>
        <v>0</v>
      </c>
      <c r="DA7" s="3">
        <f>SUMIFS('Factory Log'!$M:$M,'Factory Log'!$B:$B,Performance!CV$1,'Factory Log'!$J:$J,Performance!CV7,'Factory Log'!$C:$C,"Running")</f>
        <v>0</v>
      </c>
      <c r="DB7" s="58" cm="1">
        <f t="array" ref="DB7">IFERROR(INDEX('Factory Log'!$S:$S,MATCH(1,(Performance!CV$1='Factory Log'!$B:$B)*(Performance!CV7='Factory Log'!$A:$A),0)),0)</f>
        <v>0</v>
      </c>
      <c r="DC7" s="3">
        <f>IFERROR(VLOOKUP(CV7,'Factory Log'!$J:$R,9,0),0)</f>
        <v>0</v>
      </c>
      <c r="DD7" s="64">
        <f t="shared" si="18"/>
        <v>0</v>
      </c>
      <c r="DE7" s="58">
        <f t="shared" si="19"/>
        <v>0</v>
      </c>
      <c r="DG7" s="3">
        <v>349441</v>
      </c>
      <c r="DH7" s="3" t="str">
        <f>IFERROR(VLOOKUP(DG7,'Factory Log'!$J:$O,6,0),0)</f>
        <v>HH Associates - Co-op</v>
      </c>
      <c r="DI7" s="3" t="str">
        <f>IFERROR(VLOOKUP(DG7,'Factory Log'!$J:$P,7,0),0)</f>
        <v>Co-op</v>
      </c>
      <c r="DJ7" s="3" t="str">
        <f>IFERROR(VLOOKUP(DG7,'Factory Log'!$J:$Q,8,0),0)</f>
        <v>Portable Displays/Structure</v>
      </c>
      <c r="DK7" s="58">
        <f>SUMIFS('Factory Log'!$D:$D,'Factory Log'!$B:$B,Performance!DG$1,'Factory Log'!$J:$J,Performance!DG7,'Factory Log'!$C:$C,"Running")+SUMIFS('Factory Log'!$D:$D,'Factory Log'!$B:$B,Performance!DG$1,'Factory Log'!$J:$J,Performance!DG7,'Factory Log'!$C:$C,"Make Ready")+SUMIFS('Factory Log'!$D:$D,'Factory Log'!$B:$B,Performance!DG$1,'Factory Log'!$J:$J,Performance!DG7,'Factory Log'!$C:$C,"Roll Change")</f>
        <v>0.56666666676755995</v>
      </c>
      <c r="DL7" s="3">
        <f>SUMIFS('Factory Log'!$M:$M,'Factory Log'!$B:$B,Performance!DG$1,'Factory Log'!$J:$J,Performance!DG7,'Factory Log'!$C:$C,"Running")</f>
        <v>2</v>
      </c>
      <c r="DM7" s="58" cm="1">
        <f t="array" ref="DM7">IFERROR(INDEX('Factory Log'!$S:$S,MATCH(1,(Performance!DG$1='Factory Log'!$B:$B)*(Performance!DG7='Factory Log'!$A:$A),0)),0)</f>
        <v>0.5</v>
      </c>
      <c r="DN7" s="3">
        <f>IFERROR(VLOOKUP(DG7,'Factory Log'!$J:$R,9,0),0)</f>
        <v>2</v>
      </c>
      <c r="DO7" s="64">
        <f t="shared" si="20"/>
        <v>1</v>
      </c>
      <c r="DP7" s="58">
        <f t="shared" si="21"/>
        <v>0.5</v>
      </c>
      <c r="DS7" s="3">
        <f>IFERROR(VLOOKUP(DR7,'Factory Log'!$J:$O,6,0),0)</f>
        <v>0</v>
      </c>
      <c r="DT7" s="3">
        <f>IFERROR(VLOOKUP(DR7,'Factory Log'!$J:$P,7,0),0)</f>
        <v>0</v>
      </c>
      <c r="DU7" s="3">
        <f>IFERROR(VLOOKUP(DR7,'Factory Log'!$J:$Q,8,0),0)</f>
        <v>0</v>
      </c>
      <c r="DV7" s="58">
        <f>SUMIFS('Factory Log'!$D:$D,'Factory Log'!$B:$B,Performance!DR$1,'Factory Log'!$J:$J,Performance!DR7,'Factory Log'!$C:$C,"Running")+SUMIFS('Factory Log'!$D:$D,'Factory Log'!$B:$B,Performance!DR$1,'Factory Log'!$J:$J,Performance!DR7,'Factory Log'!$C:$C,"Make Ready")+SUMIFS('Factory Log'!$D:$D,'Factory Log'!$B:$B,Performance!DR$1,'Factory Log'!$J:$J,Performance!DR7,'Factory Log'!$C:$C,"Roll Change")</f>
        <v>0</v>
      </c>
      <c r="DW7" s="3">
        <f>SUMIFS('Factory Log'!$M:$M,'Factory Log'!$B:$B,Performance!DR$1,'Factory Log'!$J:$J,Performance!DR7,'Factory Log'!$C:$C,"Running")</f>
        <v>0</v>
      </c>
      <c r="DX7" s="58" cm="1">
        <f t="array" ref="DX7">IFERROR(INDEX('Factory Log'!$S:$S,MATCH(1,(Performance!DR$1='Factory Log'!$B:$B)*(Performance!DR7='Factory Log'!$A:$A),0)),0)</f>
        <v>0</v>
      </c>
      <c r="DY7" s="3">
        <f>IFERROR(VLOOKUP(DR7,'Factory Log'!$J:$R,9,0),0)</f>
        <v>0</v>
      </c>
      <c r="DZ7" s="64">
        <f t="shared" si="22"/>
        <v>0</v>
      </c>
      <c r="EA7" s="58">
        <f t="shared" si="23"/>
        <v>0</v>
      </c>
      <c r="ED7" s="3">
        <f>IFERROR(VLOOKUP(EC7,'Factory Log'!$J:$O,6,0),0)</f>
        <v>0</v>
      </c>
      <c r="EE7" s="3">
        <f>IFERROR(VLOOKUP(EC7,'Factory Log'!$J:$P,7,0),0)</f>
        <v>0</v>
      </c>
      <c r="EF7" s="3">
        <f>IFERROR(VLOOKUP(EC7,'Factory Log'!$J:$Q,8,0),0)</f>
        <v>0</v>
      </c>
      <c r="EG7" s="58">
        <f>SUMIFS('Factory Log'!$D:$D,'Factory Log'!$B:$B,Performance!EC$1,'Factory Log'!$J:$J,Performance!EC7,'Factory Log'!$C:$C,"Running")+SUMIFS('Factory Log'!$D:$D,'Factory Log'!$B:$B,Performance!EC$1,'Factory Log'!$J:$J,Performance!EC7,'Factory Log'!$C:$C,"Make Ready")+SUMIFS('Factory Log'!$D:$D,'Factory Log'!$B:$B,Performance!EC$1,'Factory Log'!$J:$J,Performance!EC7,'Factory Log'!$C:$C,"Roll Change")</f>
        <v>0</v>
      </c>
      <c r="EH7" s="3">
        <f>SUMIFS('Factory Log'!$M:$M,'Factory Log'!$B:$B,Performance!EC$1,'Factory Log'!$J:$J,Performance!EC7,'Factory Log'!$C:$C,"Running")</f>
        <v>0</v>
      </c>
      <c r="EI7" s="58" cm="1">
        <f t="array" ref="EI7">IFERROR(INDEX('Factory Log'!$S:$S,MATCH(1,(Performance!EC$1='Factory Log'!$B:$B)*(Performance!EC7='Factory Log'!$A:$A),0)),0)</f>
        <v>0</v>
      </c>
      <c r="EJ7" s="3">
        <f>IFERROR(VLOOKUP(EC7,'Factory Log'!$J:$R,9,0),0)</f>
        <v>0</v>
      </c>
      <c r="EK7" s="64">
        <f t="shared" si="24"/>
        <v>0</v>
      </c>
      <c r="EL7" s="58">
        <f t="shared" si="25"/>
        <v>0</v>
      </c>
      <c r="EO7" s="3">
        <f>IFERROR(VLOOKUP(EN7,'Factory Log'!$J:$O,6,0),0)</f>
        <v>0</v>
      </c>
      <c r="EP7" s="3">
        <f>IFERROR(VLOOKUP(EN7,'Factory Log'!$J:$P,7,0),0)</f>
        <v>0</v>
      </c>
      <c r="EQ7" s="3">
        <f>IFERROR(VLOOKUP(EN7,'Factory Log'!$J:$Q,8,0),0)</f>
        <v>0</v>
      </c>
      <c r="ER7" s="58">
        <f>SUMIFS('Factory Log'!$D:$D,'Factory Log'!$B:$B,Performance!EN$1,'Factory Log'!$J:$J,Performance!EN7,'Factory Log'!$C:$C,"Running")+SUMIFS('Factory Log'!$D:$D,'Factory Log'!$B:$B,Performance!EN$1,'Factory Log'!$J:$J,Performance!EN7,'Factory Log'!$C:$C,"Make Ready")+SUMIFS('Factory Log'!$D:$D,'Factory Log'!$B:$B,Performance!EN$1,'Factory Log'!$J:$J,Performance!EN7,'Factory Log'!$C:$C,"Roll Change")</f>
        <v>0</v>
      </c>
      <c r="ES7" s="3">
        <f>SUMIFS('Factory Log'!$M:$M,'Factory Log'!$B:$B,Performance!EN$1,'Factory Log'!$J:$J,Performance!EN7,'Factory Log'!$C:$C,"Running")</f>
        <v>0</v>
      </c>
      <c r="ET7" s="58" cm="1">
        <f t="array" ref="ET7">IFERROR(INDEX('Factory Log'!$S:$S,MATCH(1,(Performance!EN$1='Factory Log'!$B:$B)*(Performance!EN7='Factory Log'!$A:$A),0)),0)</f>
        <v>0</v>
      </c>
      <c r="EU7" s="3">
        <f>IFERROR(VLOOKUP(EN7,'Factory Log'!$J:$R,9,0),0)</f>
        <v>0</v>
      </c>
      <c r="EV7" s="64">
        <f t="shared" si="26"/>
        <v>0</v>
      </c>
      <c r="EW7" s="58">
        <f t="shared" si="27"/>
        <v>0</v>
      </c>
      <c r="EY7" s="3">
        <v>349410.01</v>
      </c>
      <c r="EZ7" s="3" t="str">
        <f>IFERROR(VLOOKUP(EY7,'Factory Log'!$J:$O,6,0),0)</f>
        <v>HH Associates - Asda</v>
      </c>
      <c r="FA7" s="3" t="str">
        <f>IFERROR(VLOOKUP(EY7,'Factory Log'!$J:$P,7,0),0)</f>
        <v>George</v>
      </c>
      <c r="FB7" s="3" t="str">
        <f>IFERROR(VLOOKUP(EY7,'Factory Log'!$J:$Q,8,0),0)</f>
        <v>Lightbox Panel</v>
      </c>
      <c r="FC7" s="58">
        <f>SUMIFS('Factory Log'!$D:$D,'Factory Log'!$B:$B,Performance!EY$1,'Factory Log'!$J:$J,Performance!EY7,'Factory Log'!$C:$C,"Running")+SUMIFS('Factory Log'!$D:$D,'Factory Log'!$B:$B,Performance!EY$1,'Factory Log'!$J:$J,Performance!EY7,'Factory Log'!$C:$C,"Make Ready")+SUMIFS('Factory Log'!$D:$D,'Factory Log'!$B:$B,Performance!EY$1,'Factory Log'!$J:$J,Performance!EY7,'Factory Log'!$C:$C,"Roll Change")</f>
        <v>9.9999999976716936E-2</v>
      </c>
      <c r="FD7" s="3">
        <f>SUMIFS('Factory Log'!$M:$M,'Factory Log'!$B:$B,Performance!EY$1,'Factory Log'!$J:$J,Performance!EY7,'Factory Log'!$C:$C,"Running")</f>
        <v>1</v>
      </c>
      <c r="FE7" s="58" cm="1">
        <f t="array" ref="FE7">IFERROR(INDEX('Factory Log'!$S:$S,MATCH(1,(Performance!EY$1='Factory Log'!$B:$B)*(Performance!EY7='Factory Log'!$A:$A),0)),0)</f>
        <v>0.5</v>
      </c>
      <c r="FF7" s="3">
        <f>IFERROR(VLOOKUP(EY7,'Factory Log'!$J:$R,9,0),0)</f>
        <v>1</v>
      </c>
      <c r="FG7" s="64">
        <f t="shared" si="28"/>
        <v>1</v>
      </c>
      <c r="FH7" s="58">
        <f t="shared" si="29"/>
        <v>0.5</v>
      </c>
    </row>
    <row r="8" spans="1:164" ht="16" customHeight="1" x14ac:dyDescent="0.2">
      <c r="B8" s="3">
        <f>IFERROR(VLOOKUP(A8,'Factory Log'!$J:$O,6,0),0)</f>
        <v>0</v>
      </c>
      <c r="C8" s="3">
        <f>IFERROR(VLOOKUP(A8,'Factory Log'!$J:$P,7,0),0)</f>
        <v>0</v>
      </c>
      <c r="D8" s="3">
        <f>IFERROR(VLOOKUP(A8,'Factory Log'!$J:$Q,8,0),0)</f>
        <v>0</v>
      </c>
      <c r="E8" s="58">
        <f>SUMIFS('Factory Log'!$D:$D,'Factory Log'!$B:$B,Performance!A$1,'Factory Log'!$J:$J,Performance!A8,'Factory Log'!$C:$C,"Running")+SUMIFS('Factory Log'!$D:$D,'Factory Log'!$B:$B,Performance!A$1,'Factory Log'!$J:$J,Performance!A8,'Factory Log'!$C:$C,"Make Ready")+SUMIFS('Factory Log'!$D:$D,'Factory Log'!$B:$B,Performance!A$1,'Factory Log'!$J:$J,Performance!A8,'Factory Log'!$C:$C,"Roll Change")</f>
        <v>0</v>
      </c>
      <c r="F8" s="3">
        <f>SUMIFS('Factory Log'!$M:$M,'Factory Log'!$B:$B,Performance!A$1,'Factory Log'!$J:$J,Performance!A8,'Factory Log'!$C:$C,"Running")</f>
        <v>0</v>
      </c>
      <c r="G8" s="58" cm="1">
        <f t="array" ref="G8">IFERROR(INDEX('Factory Log'!$S:$S,MATCH(1,(Performance!A$1='Factory Log'!$B:$B)*(Performance!A8='Factory Log'!$A:$A),0)),0)</f>
        <v>0</v>
      </c>
      <c r="H8" s="3">
        <f>IFERROR(VLOOKUP(A8,'Factory Log'!$J:$R,9,0),0)</f>
        <v>0</v>
      </c>
      <c r="I8" s="64">
        <f t="shared" si="1"/>
        <v>0</v>
      </c>
      <c r="J8" s="58">
        <f t="shared" si="0"/>
        <v>0</v>
      </c>
      <c r="M8" s="3">
        <f>IFERROR(VLOOKUP(L8,'Factory Log'!$J:$O,6,0),0)</f>
        <v>0</v>
      </c>
      <c r="N8" s="3">
        <f>IFERROR(VLOOKUP(L8,'Factory Log'!$J:$P,7,0),0)</f>
        <v>0</v>
      </c>
      <c r="O8" s="3">
        <f>IFERROR(VLOOKUP(L8,'Factory Log'!$J:$Q,8,0),0)</f>
        <v>0</v>
      </c>
      <c r="P8" s="58">
        <f>SUMIFS('Factory Log'!$D:$D,'Factory Log'!$B:$B,Performance!L$1,'Factory Log'!$J:$J,Performance!L8,'Factory Log'!$C:$C,"Running")+SUMIFS('Factory Log'!$D:$D,'Factory Log'!$B:$B,Performance!L$1,'Factory Log'!$J:$J,Performance!L8,'Factory Log'!$C:$C,"Make Ready")+SUMIFS('Factory Log'!$D:$D,'Factory Log'!$B:$B,Performance!L$1,'Factory Log'!$J:$J,Performance!L8,'Factory Log'!$C:$C,"Roll Change")</f>
        <v>0</v>
      </c>
      <c r="Q8" s="3">
        <f>SUMIFS('Factory Log'!$M:$M,'Factory Log'!$B:$B,Performance!L$1,'Factory Log'!$J:$J,Performance!L8,'Factory Log'!$C:$C,"Running")</f>
        <v>0</v>
      </c>
      <c r="R8" s="58" cm="1">
        <f t="array" ref="R8">IFERROR(INDEX('Factory Log'!$S:$S,MATCH(1,(Performance!L$1='Factory Log'!$B:$B)*(Performance!L8='Factory Log'!$A:$A),0)),0)</f>
        <v>0</v>
      </c>
      <c r="S8" s="3">
        <f>IFERROR(VLOOKUP(L8,'Factory Log'!$J:$R,9,0),0)</f>
        <v>0</v>
      </c>
      <c r="T8" s="64">
        <f t="shared" si="2"/>
        <v>0</v>
      </c>
      <c r="U8" s="58">
        <f t="shared" si="3"/>
        <v>0</v>
      </c>
      <c r="X8" s="3">
        <f>IFERROR(VLOOKUP(W8,'Factory Log'!$J:$O,6,0),0)</f>
        <v>0</v>
      </c>
      <c r="Y8" s="3">
        <f>IFERROR(VLOOKUP(W8,'Factory Log'!$J:$P,7,0),0)</f>
        <v>0</v>
      </c>
      <c r="Z8" s="3">
        <f>IFERROR(VLOOKUP(W8,'Factory Log'!$J:$Q,8,0),0)</f>
        <v>0</v>
      </c>
      <c r="AA8" s="58">
        <f>SUMIFS('Factory Log'!$D:$D,'Factory Log'!$B:$B,Performance!W$1,'Factory Log'!$J:$J,Performance!W8,'Factory Log'!$C:$C,"Running")+SUMIFS('Factory Log'!$D:$D,'Factory Log'!$B:$B,Performance!W$1,'Factory Log'!$J:$J,Performance!W8,'Factory Log'!$C:$C,"Make Ready")+SUMIFS('Factory Log'!$D:$D,'Factory Log'!$B:$B,Performance!W$1,'Factory Log'!$J:$J,Performance!W8,'Factory Log'!$C:$C,"Roll Change")</f>
        <v>0</v>
      </c>
      <c r="AB8" s="3">
        <f>SUMIFS('Factory Log'!$M:$M,'Factory Log'!$B:$B,Performance!W$1,'Factory Log'!$J:$J,Performance!W8,'Factory Log'!$C:$C,"Running")</f>
        <v>0</v>
      </c>
      <c r="AC8" s="58" cm="1">
        <f t="array" ref="AC8">IFERROR(INDEX('Factory Log'!$S:$S,MATCH(1,(Performance!W$1='Factory Log'!$B:$B)*(Performance!W8='Factory Log'!$A:$A),0)),0)</f>
        <v>0</v>
      </c>
      <c r="AD8" s="3">
        <f>IFERROR(VLOOKUP(W8,'Factory Log'!$J:$R,9,0),0)</f>
        <v>0</v>
      </c>
      <c r="AE8" s="64">
        <f t="shared" si="4"/>
        <v>0</v>
      </c>
      <c r="AF8" s="58">
        <f t="shared" si="5"/>
        <v>0</v>
      </c>
      <c r="AI8" s="3">
        <f>IFERROR(VLOOKUP(AH8,'Factory Log'!$J:$O,6,0),0)</f>
        <v>0</v>
      </c>
      <c r="AJ8" s="3">
        <f>IFERROR(VLOOKUP(AH8,'Factory Log'!$J:$P,7,0),0)</f>
        <v>0</v>
      </c>
      <c r="AK8" s="3">
        <f>IFERROR(VLOOKUP(AH8,'Factory Log'!$J:$Q,8,0),0)</f>
        <v>0</v>
      </c>
      <c r="AL8" s="58">
        <f>SUMIFS('Factory Log'!$D:$D,'Factory Log'!$B:$B,Performance!AH$1,'Factory Log'!$J:$J,Performance!AH8,'Factory Log'!$C:$C,"Running")+SUMIFS('Factory Log'!$D:$D,'Factory Log'!$B:$B,Performance!AH$1,'Factory Log'!$J:$J,Performance!AH8,'Factory Log'!$C:$C,"Make Ready")+SUMIFS('Factory Log'!$D:$D,'Factory Log'!$B:$B,Performance!AH$1,'Factory Log'!$J:$J,Performance!AH8,'Factory Log'!$C:$C,"Roll Change")</f>
        <v>0</v>
      </c>
      <c r="AM8" s="3">
        <f>SUMIFS('Factory Log'!$M:$M,'Factory Log'!$B:$B,Performance!AH$1,'Factory Log'!$J:$J,Performance!AH8,'Factory Log'!$C:$C,"Running")</f>
        <v>0</v>
      </c>
      <c r="AN8" s="58" cm="1">
        <f t="array" ref="AN8">IFERROR(INDEX('Factory Log'!$S:$S,MATCH(1,(Performance!AH$1='Factory Log'!$B:$B)*(Performance!AH8='Factory Log'!$A:$A),0)),0)</f>
        <v>0</v>
      </c>
      <c r="AO8" s="3">
        <f>IFERROR(VLOOKUP(AH8,'Factory Log'!$J:$R,9,0),0)</f>
        <v>0</v>
      </c>
      <c r="AP8" s="64">
        <f t="shared" si="6"/>
        <v>0</v>
      </c>
      <c r="AQ8" s="58">
        <f t="shared" si="7"/>
        <v>0</v>
      </c>
      <c r="AT8" s="3">
        <f>IFERROR(VLOOKUP(AS8,'Factory Log'!$J:$O,6,0),0)</f>
        <v>0</v>
      </c>
      <c r="AU8" s="3">
        <f>IFERROR(VLOOKUP(AS8,'Factory Log'!$J:$P,7,0),0)</f>
        <v>0</v>
      </c>
      <c r="AV8" s="3">
        <f>IFERROR(VLOOKUP(AS8,'Factory Log'!$J:$Q,8,0),0)</f>
        <v>0</v>
      </c>
      <c r="AW8" s="58">
        <f>SUMIFS('Factory Log'!$D:$D,'Factory Log'!$B:$B,Performance!AS$1,'Factory Log'!$J:$J,Performance!AS8,'Factory Log'!$C:$C,"Running")+SUMIFS('Factory Log'!$D:$D,'Factory Log'!$B:$B,Performance!AS$1,'Factory Log'!$J:$J,Performance!AS8,'Factory Log'!$C:$C,"Make Ready")+SUMIFS('Factory Log'!$D:$D,'Factory Log'!$B:$B,Performance!AS$1,'Factory Log'!$J:$J,Performance!AS8,'Factory Log'!$C:$C,"Roll Change")</f>
        <v>0</v>
      </c>
      <c r="AX8" s="3">
        <f>SUMIFS('Factory Log'!$M:$M,'Factory Log'!$B:$B,Performance!AS$1,'Factory Log'!$J:$J,Performance!AS8,'Factory Log'!$C:$C,"Running")</f>
        <v>0</v>
      </c>
      <c r="AY8" s="58" cm="1">
        <f t="array" ref="AY8">IFERROR(INDEX('Factory Log'!$S:$S,MATCH(1,(Performance!AS$1='Factory Log'!$B:$B)*(Performance!AS8='Factory Log'!$A:$A),0)),0)</f>
        <v>0</v>
      </c>
      <c r="AZ8" s="3">
        <f>IFERROR(VLOOKUP(AS8,'Factory Log'!$J:$R,9,0),0)</f>
        <v>0</v>
      </c>
      <c r="BA8" s="64">
        <f t="shared" si="8"/>
        <v>0</v>
      </c>
      <c r="BB8" s="58">
        <f t="shared" si="9"/>
        <v>0</v>
      </c>
      <c r="BD8" s="3">
        <v>349423.02</v>
      </c>
      <c r="BE8" s="3" t="str">
        <f>IFERROR(VLOOKUP(BD8,'Factory Log'!$J:$O,6,0),0)</f>
        <v>ABCDesigns</v>
      </c>
      <c r="BF8" s="3" t="str">
        <f>IFERROR(VLOOKUP(BD8,'Factory Log'!$J:$P,7,0),0)</f>
        <v>Unknown</v>
      </c>
      <c r="BG8" s="3" t="str">
        <f>IFERROR(VLOOKUP(BD8,'Factory Log'!$J:$Q,8,0),0)</f>
        <v>Banner - Retail</v>
      </c>
      <c r="BH8" s="58">
        <f>SUMIFS('Factory Log'!$D:$D,'Factory Log'!$B:$B,Performance!BD$1,'Factory Log'!$J:$J,Performance!BD8,'Factory Log'!$C:$C,"Running")+SUMIFS('Factory Log'!$D:$D,'Factory Log'!$B:$B,Performance!BD$1,'Factory Log'!$J:$J,Performance!BD8,'Factory Log'!$C:$C,"Make Ready")+SUMIFS('Factory Log'!$D:$D,'Factory Log'!$B:$B,Performance!BD$1,'Factory Log'!$J:$J,Performance!BD8,'Factory Log'!$C:$C,"Roll Change")</f>
        <v>0.51666666677920148</v>
      </c>
      <c r="BI8" s="3">
        <f>SUMIFS('Factory Log'!$M:$M,'Factory Log'!$B:$B,Performance!BD$1,'Factory Log'!$J:$J,Performance!BD8,'Factory Log'!$C:$C,"Running")</f>
        <v>4</v>
      </c>
      <c r="BJ8" s="58" cm="1">
        <f t="array" ref="BJ8">IFERROR(INDEX('Factory Log'!$S:$S,MATCH(1,(Performance!BD$1='Factory Log'!$B:$B)*(Performance!BD8='Factory Log'!$A:$A),0)),0)</f>
        <v>0.52</v>
      </c>
      <c r="BK8" s="3">
        <f>IFERROR(VLOOKUP(BD8,'Factory Log'!$J:$R,9,0),0)</f>
        <v>2</v>
      </c>
      <c r="BL8" s="64">
        <f t="shared" si="10"/>
        <v>1</v>
      </c>
      <c r="BM8" s="58">
        <f t="shared" si="11"/>
        <v>0.52</v>
      </c>
      <c r="BP8" s="3">
        <f>IFERROR(VLOOKUP(BO8,'Factory Log'!$J:$O,6,0),0)</f>
        <v>0</v>
      </c>
      <c r="BQ8" s="3">
        <f>IFERROR(VLOOKUP(BO8,'Factory Log'!$J:$P,7,0),0)</f>
        <v>0</v>
      </c>
      <c r="BR8" s="3">
        <f>IFERROR(VLOOKUP(BO8,'Factory Log'!$J:$Q,8,0),0)</f>
        <v>0</v>
      </c>
      <c r="BS8" s="58">
        <f>SUMIFS('Factory Log'!$D:$D,'Factory Log'!$B:$B,Performance!BO$1,'Factory Log'!$J:$J,Performance!BO8,'Factory Log'!$C:$C,"Running")+SUMIFS('Factory Log'!$D:$D,'Factory Log'!$B:$B,Performance!BO$1,'Factory Log'!$J:$J,Performance!BO8,'Factory Log'!$C:$C,"Make Ready")+SUMIFS('Factory Log'!$D:$D,'Factory Log'!$B:$B,Performance!BO$1,'Factory Log'!$J:$J,Performance!BO8,'Factory Log'!$C:$C,"Roll Change")</f>
        <v>0</v>
      </c>
      <c r="BT8" s="3">
        <f>SUMIFS('Factory Log'!$M:$M,'Factory Log'!$B:$B,Performance!BO$1,'Factory Log'!$J:$J,Performance!BO8,'Factory Log'!$C:$C,"Running")</f>
        <v>0</v>
      </c>
      <c r="BU8" s="58" cm="1">
        <f t="array" ref="BU8">IFERROR(INDEX('Factory Log'!$S:$S,MATCH(1,(Performance!BO$1='Factory Log'!$B:$B)*(Performance!BO8='Factory Log'!$A:$A),0)),0)</f>
        <v>0</v>
      </c>
      <c r="BV8" s="3">
        <f>IFERROR(VLOOKUP(BO8,'Factory Log'!$J:$R,9,0),0)</f>
        <v>0</v>
      </c>
      <c r="BW8" s="64">
        <f t="shared" si="12"/>
        <v>0</v>
      </c>
      <c r="BX8" s="58">
        <f t="shared" si="13"/>
        <v>0</v>
      </c>
      <c r="CA8" s="3">
        <f>IFERROR(VLOOKUP(BZ8,'Factory Log'!$J:$O,6,0),0)</f>
        <v>0</v>
      </c>
      <c r="CB8" s="3">
        <f>IFERROR(VLOOKUP(BZ8,'Factory Log'!$J:$P,7,0),0)</f>
        <v>0</v>
      </c>
      <c r="CC8" s="3">
        <f>IFERROR(VLOOKUP(BZ8,'Factory Log'!$J:$Q,8,0),0)</f>
        <v>0</v>
      </c>
      <c r="CD8" s="58">
        <f>SUMIFS('Factory Log'!$D:$D,'Factory Log'!$B:$B,Performance!BZ$1,'Factory Log'!$J:$J,Performance!BZ8,'Factory Log'!$C:$C,"Running")+SUMIFS('Factory Log'!$D:$D,'Factory Log'!$B:$B,Performance!BZ$1,'Factory Log'!$J:$J,Performance!BZ8,'Factory Log'!$C:$C,"Make Ready")+SUMIFS('Factory Log'!$D:$D,'Factory Log'!$B:$B,Performance!BZ$1,'Factory Log'!$J:$J,Performance!BZ8,'Factory Log'!$C:$C,"Roll Change")</f>
        <v>0</v>
      </c>
      <c r="CE8" s="3">
        <f>SUMIFS('Factory Log'!$M:$M,'Factory Log'!$B:$B,Performance!BZ$1,'Factory Log'!$J:$J,Performance!BZ8,'Factory Log'!$C:$C,"Running")</f>
        <v>0</v>
      </c>
      <c r="CF8" s="58" cm="1">
        <f t="array" ref="CF8">IFERROR(INDEX('Factory Log'!$S:$S,MATCH(1,(Performance!BZ$1='Factory Log'!$B:$B)*(Performance!BZ8='Factory Log'!$A:$A),0)),0)</f>
        <v>0</v>
      </c>
      <c r="CG8" s="3">
        <f>IFERROR(VLOOKUP(BZ8,'Factory Log'!$J:$R,9,0),0)</f>
        <v>0</v>
      </c>
      <c r="CH8" s="64">
        <f t="shared" si="14"/>
        <v>0</v>
      </c>
      <c r="CI8" s="58">
        <f t="shared" si="15"/>
        <v>0</v>
      </c>
      <c r="CK8" s="3">
        <v>349445.01</v>
      </c>
      <c r="CL8" s="3" t="str">
        <f>IFERROR(VLOOKUP(CK8,'Factory Log'!$J:$O,6,0),0)</f>
        <v>Inspired Thinking Group (ITG) - KFC</v>
      </c>
      <c r="CM8" s="3" t="str">
        <f>IFERROR(VLOOKUP(CK8,'Factory Log'!$J:$P,7,0),0)</f>
        <v>KFC</v>
      </c>
      <c r="CN8" s="3" t="str">
        <f>IFERROR(VLOOKUP(CK8,'Factory Log'!$J:$Q,8,0),0)</f>
        <v>Banner - Retail</v>
      </c>
      <c r="CO8" s="58">
        <f>SUMIFS('Factory Log'!$D:$D,'Factory Log'!$B:$B,Performance!CK$1,'Factory Log'!$J:$J,Performance!CK8,'Factory Log'!$C:$C,"Running")+SUMIFS('Factory Log'!$D:$D,'Factory Log'!$B:$B,Performance!CK$1,'Factory Log'!$J:$J,Performance!CK8,'Factory Log'!$C:$C,"Make Ready")+SUMIFS('Factory Log'!$D:$D,'Factory Log'!$B:$B,Performance!CK$1,'Factory Log'!$J:$J,Performance!CK8,'Factory Log'!$C:$C,"Roll Change")</f>
        <v>0.18333333323244005</v>
      </c>
      <c r="CP8" s="3">
        <f>SUMIFS('Factory Log'!$M:$M,'Factory Log'!$B:$B,Performance!CK$1,'Factory Log'!$J:$J,Performance!CK8,'Factory Log'!$C:$C,"Running")</f>
        <v>1</v>
      </c>
      <c r="CQ8" s="58" cm="1">
        <f t="array" ref="CQ8">IFERROR(INDEX('Factory Log'!$S:$S,MATCH(1,(Performance!CK$1='Factory Log'!$B:$B)*(Performance!CK8='Factory Log'!$A:$A),0)),0)</f>
        <v>0.28000000000000003</v>
      </c>
      <c r="CR8" s="3">
        <f>IFERROR(VLOOKUP(CK8,'Factory Log'!$J:$R,9,0),0)</f>
        <v>1</v>
      </c>
      <c r="CS8" s="64">
        <f t="shared" si="16"/>
        <v>1</v>
      </c>
      <c r="CT8" s="58">
        <f t="shared" si="17"/>
        <v>0.28000000000000003</v>
      </c>
      <c r="CW8" s="3">
        <f>IFERROR(VLOOKUP(CV8,'Factory Log'!$J:$O,6,0),0)</f>
        <v>0</v>
      </c>
      <c r="CX8" s="3">
        <f>IFERROR(VLOOKUP(CV8,'Factory Log'!$J:$P,7,0),0)</f>
        <v>0</v>
      </c>
      <c r="CY8" s="3">
        <f>IFERROR(VLOOKUP(CV8,'Factory Log'!$J:$Q,8,0),0)</f>
        <v>0</v>
      </c>
      <c r="CZ8" s="58">
        <f>SUMIFS('Factory Log'!$D:$D,'Factory Log'!$B:$B,Performance!CV$1,'Factory Log'!$J:$J,Performance!CV8,'Factory Log'!$C:$C,"Running")+SUMIFS('Factory Log'!$D:$D,'Factory Log'!$B:$B,Performance!CV$1,'Factory Log'!$J:$J,Performance!CV8,'Factory Log'!$C:$C,"Make Ready")+SUMIFS('Factory Log'!$D:$D,'Factory Log'!$B:$B,Performance!CV$1,'Factory Log'!$J:$J,Performance!CV8,'Factory Log'!$C:$C,"Roll Change")</f>
        <v>0</v>
      </c>
      <c r="DA8" s="3">
        <f>SUMIFS('Factory Log'!$M:$M,'Factory Log'!$B:$B,Performance!CV$1,'Factory Log'!$J:$J,Performance!CV8,'Factory Log'!$C:$C,"Running")</f>
        <v>0</v>
      </c>
      <c r="DB8" s="58" cm="1">
        <f t="array" ref="DB8">IFERROR(INDEX('Factory Log'!$S:$S,MATCH(1,(Performance!CV$1='Factory Log'!$B:$B)*(Performance!CV8='Factory Log'!$A:$A),0)),0)</f>
        <v>0</v>
      </c>
      <c r="DC8" s="3">
        <f>IFERROR(VLOOKUP(CV8,'Factory Log'!$J:$R,9,0),0)</f>
        <v>0</v>
      </c>
      <c r="DD8" s="64">
        <f t="shared" si="18"/>
        <v>0</v>
      </c>
      <c r="DE8" s="58">
        <f t="shared" si="19"/>
        <v>0</v>
      </c>
      <c r="DH8" s="3">
        <f>IFERROR(VLOOKUP(DG8,'Factory Log'!$J:$O,6,0),0)</f>
        <v>0</v>
      </c>
      <c r="DI8" s="3">
        <f>IFERROR(VLOOKUP(DG8,'Factory Log'!$J:$P,7,0),0)</f>
        <v>0</v>
      </c>
      <c r="DJ8" s="3">
        <f>IFERROR(VLOOKUP(DG8,'Factory Log'!$J:$Q,8,0),0)</f>
        <v>0</v>
      </c>
      <c r="DK8" s="58">
        <f>SUMIFS('Factory Log'!$D:$D,'Factory Log'!$B:$B,Performance!DG$1,'Factory Log'!$J:$J,Performance!DG8,'Factory Log'!$C:$C,"Running")+SUMIFS('Factory Log'!$D:$D,'Factory Log'!$B:$B,Performance!DG$1,'Factory Log'!$J:$J,Performance!DG8,'Factory Log'!$C:$C,"Make Ready")+SUMIFS('Factory Log'!$D:$D,'Factory Log'!$B:$B,Performance!DG$1,'Factory Log'!$J:$J,Performance!DG8,'Factory Log'!$C:$C,"Roll Change")</f>
        <v>0</v>
      </c>
      <c r="DL8" s="3">
        <f>SUMIFS('Factory Log'!$M:$M,'Factory Log'!$B:$B,Performance!DG$1,'Factory Log'!$J:$J,Performance!DG8,'Factory Log'!$C:$C,"Running")</f>
        <v>0</v>
      </c>
      <c r="DM8" s="58" cm="1">
        <f t="array" ref="DM8">IFERROR(INDEX('Factory Log'!$S:$S,MATCH(1,(Performance!DG$1='Factory Log'!$B:$B)*(Performance!DG8='Factory Log'!$A:$A),0)),0)</f>
        <v>0</v>
      </c>
      <c r="DN8" s="3">
        <f>IFERROR(VLOOKUP(DG8,'Factory Log'!$J:$R,9,0),0)</f>
        <v>0</v>
      </c>
      <c r="DO8" s="64">
        <f t="shared" si="20"/>
        <v>0</v>
      </c>
      <c r="DP8" s="58">
        <f t="shared" si="21"/>
        <v>0</v>
      </c>
      <c r="DS8" s="3">
        <f>IFERROR(VLOOKUP(DR8,'Factory Log'!$J:$O,6,0),0)</f>
        <v>0</v>
      </c>
      <c r="DT8" s="3">
        <f>IFERROR(VLOOKUP(DR8,'Factory Log'!$J:$P,7,0),0)</f>
        <v>0</v>
      </c>
      <c r="DU8" s="3">
        <f>IFERROR(VLOOKUP(DR8,'Factory Log'!$J:$Q,8,0),0)</f>
        <v>0</v>
      </c>
      <c r="DV8" s="58">
        <f>SUMIFS('Factory Log'!$D:$D,'Factory Log'!$B:$B,Performance!DR$1,'Factory Log'!$J:$J,Performance!DR8,'Factory Log'!$C:$C,"Running")+SUMIFS('Factory Log'!$D:$D,'Factory Log'!$B:$B,Performance!DR$1,'Factory Log'!$J:$J,Performance!DR8,'Factory Log'!$C:$C,"Make Ready")+SUMIFS('Factory Log'!$D:$D,'Factory Log'!$B:$B,Performance!DR$1,'Factory Log'!$J:$J,Performance!DR8,'Factory Log'!$C:$C,"Roll Change")</f>
        <v>0</v>
      </c>
      <c r="DW8" s="3">
        <f>SUMIFS('Factory Log'!$M:$M,'Factory Log'!$B:$B,Performance!DR$1,'Factory Log'!$J:$J,Performance!DR8,'Factory Log'!$C:$C,"Running")</f>
        <v>0</v>
      </c>
      <c r="DX8" s="58" cm="1">
        <f t="array" ref="DX8">IFERROR(INDEX('Factory Log'!$S:$S,MATCH(1,(Performance!DR$1='Factory Log'!$B:$B)*(Performance!DR8='Factory Log'!$A:$A),0)),0)</f>
        <v>0</v>
      </c>
      <c r="DY8" s="3">
        <f>IFERROR(VLOOKUP(DR8,'Factory Log'!$J:$R,9,0),0)</f>
        <v>0</v>
      </c>
      <c r="DZ8" s="64">
        <f t="shared" si="22"/>
        <v>0</v>
      </c>
      <c r="EA8" s="58">
        <f t="shared" si="23"/>
        <v>0</v>
      </c>
      <c r="ED8" s="3">
        <f>IFERROR(VLOOKUP(EC8,'Factory Log'!$J:$O,6,0),0)</f>
        <v>0</v>
      </c>
      <c r="EE8" s="3">
        <f>IFERROR(VLOOKUP(EC8,'Factory Log'!$J:$P,7,0),0)</f>
        <v>0</v>
      </c>
      <c r="EF8" s="3">
        <f>IFERROR(VLOOKUP(EC8,'Factory Log'!$J:$Q,8,0),0)</f>
        <v>0</v>
      </c>
      <c r="EG8" s="58">
        <f>SUMIFS('Factory Log'!$D:$D,'Factory Log'!$B:$B,Performance!EC$1,'Factory Log'!$J:$J,Performance!EC8,'Factory Log'!$C:$C,"Running")+SUMIFS('Factory Log'!$D:$D,'Factory Log'!$B:$B,Performance!EC$1,'Factory Log'!$J:$J,Performance!EC8,'Factory Log'!$C:$C,"Make Ready")+SUMIFS('Factory Log'!$D:$D,'Factory Log'!$B:$B,Performance!EC$1,'Factory Log'!$J:$J,Performance!EC8,'Factory Log'!$C:$C,"Roll Change")</f>
        <v>0</v>
      </c>
      <c r="EH8" s="3">
        <f>SUMIFS('Factory Log'!$M:$M,'Factory Log'!$B:$B,Performance!EC$1,'Factory Log'!$J:$J,Performance!EC8,'Factory Log'!$C:$C,"Running")</f>
        <v>0</v>
      </c>
      <c r="EI8" s="58" cm="1">
        <f t="array" ref="EI8">IFERROR(INDEX('Factory Log'!$S:$S,MATCH(1,(Performance!EC$1='Factory Log'!$B:$B)*(Performance!EC8='Factory Log'!$A:$A),0)),0)</f>
        <v>0</v>
      </c>
      <c r="EJ8" s="3">
        <f>IFERROR(VLOOKUP(EC8,'Factory Log'!$J:$R,9,0),0)</f>
        <v>0</v>
      </c>
      <c r="EK8" s="64">
        <f t="shared" si="24"/>
        <v>0</v>
      </c>
      <c r="EL8" s="58">
        <f t="shared" si="25"/>
        <v>0</v>
      </c>
      <c r="EO8" s="3">
        <f>IFERROR(VLOOKUP(EN8,'Factory Log'!$J:$O,6,0),0)</f>
        <v>0</v>
      </c>
      <c r="EP8" s="3">
        <f>IFERROR(VLOOKUP(EN8,'Factory Log'!$J:$P,7,0),0)</f>
        <v>0</v>
      </c>
      <c r="EQ8" s="3">
        <f>IFERROR(VLOOKUP(EN8,'Factory Log'!$J:$Q,8,0),0)</f>
        <v>0</v>
      </c>
      <c r="ER8" s="58">
        <f>SUMIFS('Factory Log'!$D:$D,'Factory Log'!$B:$B,Performance!EN$1,'Factory Log'!$J:$J,Performance!EN8,'Factory Log'!$C:$C,"Running")+SUMIFS('Factory Log'!$D:$D,'Factory Log'!$B:$B,Performance!EN$1,'Factory Log'!$J:$J,Performance!EN8,'Factory Log'!$C:$C,"Make Ready")+SUMIFS('Factory Log'!$D:$D,'Factory Log'!$B:$B,Performance!EN$1,'Factory Log'!$J:$J,Performance!EN8,'Factory Log'!$C:$C,"Roll Change")</f>
        <v>0</v>
      </c>
      <c r="ES8" s="3">
        <f>SUMIFS('Factory Log'!$M:$M,'Factory Log'!$B:$B,Performance!EN$1,'Factory Log'!$J:$J,Performance!EN8,'Factory Log'!$C:$C,"Running")</f>
        <v>0</v>
      </c>
      <c r="ET8" s="58" cm="1">
        <f t="array" ref="ET8">IFERROR(INDEX('Factory Log'!$S:$S,MATCH(1,(Performance!EN$1='Factory Log'!$B:$B)*(Performance!EN8='Factory Log'!$A:$A),0)),0)</f>
        <v>0</v>
      </c>
      <c r="EU8" s="3">
        <f>IFERROR(VLOOKUP(EN8,'Factory Log'!$J:$R,9,0),0)</f>
        <v>0</v>
      </c>
      <c r="EV8" s="64">
        <f t="shared" si="26"/>
        <v>0</v>
      </c>
      <c r="EW8" s="58">
        <f t="shared" si="27"/>
        <v>0</v>
      </c>
      <c r="EY8" s="3">
        <v>349410.02</v>
      </c>
      <c r="EZ8" s="3" t="str">
        <f>IFERROR(VLOOKUP(EY8,'Factory Log'!$J:$O,6,0),0)</f>
        <v>HH Associates - Asda</v>
      </c>
      <c r="FA8" s="3" t="str">
        <f>IFERROR(VLOOKUP(EY8,'Factory Log'!$J:$P,7,0),0)</f>
        <v>George</v>
      </c>
      <c r="FB8" s="3" t="str">
        <f>IFERROR(VLOOKUP(EY8,'Factory Log'!$J:$Q,8,0),0)</f>
        <v>Lightbox Panel</v>
      </c>
      <c r="FC8" s="58">
        <f>SUMIFS('Factory Log'!$D:$D,'Factory Log'!$B:$B,Performance!EY$1,'Factory Log'!$J:$J,Performance!EY8,'Factory Log'!$C:$C,"Running")+SUMIFS('Factory Log'!$D:$D,'Factory Log'!$B:$B,Performance!EY$1,'Factory Log'!$J:$J,Performance!EY8,'Factory Log'!$C:$C,"Make Ready")+SUMIFS('Factory Log'!$D:$D,'Factory Log'!$B:$B,Performance!EY$1,'Factory Log'!$J:$J,Performance!EY8,'Factory Log'!$C:$C,"Roll Change")</f>
        <v>0.10000000015133992</v>
      </c>
      <c r="FD8" s="3">
        <f>SUMIFS('Factory Log'!$M:$M,'Factory Log'!$B:$B,Performance!EY$1,'Factory Log'!$J:$J,Performance!EY8,'Factory Log'!$C:$C,"Running")</f>
        <v>1</v>
      </c>
      <c r="FE8" s="58" cm="1">
        <f t="array" ref="FE8">IFERROR(INDEX('Factory Log'!$S:$S,MATCH(1,(Performance!EY$1='Factory Log'!$B:$B)*(Performance!EY8='Factory Log'!$A:$A),0)),0)</f>
        <v>0.5</v>
      </c>
      <c r="FF8" s="3">
        <f>IFERROR(VLOOKUP(EY8,'Factory Log'!$J:$R,9,0),0)</f>
        <v>1</v>
      </c>
      <c r="FG8" s="64">
        <f t="shared" si="28"/>
        <v>1</v>
      </c>
      <c r="FH8" s="58">
        <f t="shared" si="29"/>
        <v>0.5</v>
      </c>
    </row>
    <row r="9" spans="1:164" ht="16" customHeight="1" x14ac:dyDescent="0.2">
      <c r="B9" s="3">
        <f>IFERROR(VLOOKUP(A9,'Factory Log'!$J:$O,6,0),0)</f>
        <v>0</v>
      </c>
      <c r="C9" s="3">
        <f>IFERROR(VLOOKUP(A9,'Factory Log'!$J:$P,7,0),0)</f>
        <v>0</v>
      </c>
      <c r="D9" s="3">
        <f>IFERROR(VLOOKUP(A9,'Factory Log'!$J:$Q,8,0),0)</f>
        <v>0</v>
      </c>
      <c r="E9" s="58">
        <f>SUMIFS('Factory Log'!$D:$D,'Factory Log'!$B:$B,Performance!A$1,'Factory Log'!$J:$J,Performance!A9,'Factory Log'!$C:$C,"Running")+SUMIFS('Factory Log'!$D:$D,'Factory Log'!$B:$B,Performance!A$1,'Factory Log'!$J:$J,Performance!A9,'Factory Log'!$C:$C,"Make Ready")+SUMIFS('Factory Log'!$D:$D,'Factory Log'!$B:$B,Performance!A$1,'Factory Log'!$J:$J,Performance!A9,'Factory Log'!$C:$C,"Roll Change")</f>
        <v>0</v>
      </c>
      <c r="F9" s="3">
        <f>SUMIFS('Factory Log'!$M:$M,'Factory Log'!$B:$B,Performance!A$1,'Factory Log'!$J:$J,Performance!A9,'Factory Log'!$C:$C,"Running")</f>
        <v>0</v>
      </c>
      <c r="G9" s="58" cm="1">
        <f t="array" ref="G9">IFERROR(INDEX('Factory Log'!$S:$S,MATCH(1,(Performance!A$1='Factory Log'!$B:$B)*(Performance!A9='Factory Log'!$A:$A),0)),0)</f>
        <v>0</v>
      </c>
      <c r="H9" s="3">
        <f>IFERROR(VLOOKUP(A9,'Factory Log'!$J:$R,9,0),0)</f>
        <v>0</v>
      </c>
      <c r="I9" s="64">
        <f t="shared" si="1"/>
        <v>0</v>
      </c>
      <c r="J9" s="58">
        <f t="shared" si="0"/>
        <v>0</v>
      </c>
      <c r="L9" s="58"/>
      <c r="M9" s="3">
        <f>IFERROR(VLOOKUP(L9,'Factory Log'!$J:$O,6,0),0)</f>
        <v>0</v>
      </c>
      <c r="N9" s="3">
        <f>IFERROR(VLOOKUP(L9,'Factory Log'!$J:$P,7,0),0)</f>
        <v>0</v>
      </c>
      <c r="O9" s="3">
        <f>IFERROR(VLOOKUP(L9,'Factory Log'!$J:$Q,8,0),0)</f>
        <v>0</v>
      </c>
      <c r="P9" s="58">
        <f>SUMIFS('Factory Log'!$D:$D,'Factory Log'!$B:$B,Performance!L$1,'Factory Log'!$J:$J,Performance!L9,'Factory Log'!$C:$C,"Running")+SUMIFS('Factory Log'!$D:$D,'Factory Log'!$B:$B,Performance!L$1,'Factory Log'!$J:$J,Performance!L9,'Factory Log'!$C:$C,"Make Ready")+SUMIFS('Factory Log'!$D:$D,'Factory Log'!$B:$B,Performance!L$1,'Factory Log'!$J:$J,Performance!L9,'Factory Log'!$C:$C,"Roll Change")</f>
        <v>0</v>
      </c>
      <c r="Q9" s="3">
        <f>SUMIFS('Factory Log'!$M:$M,'Factory Log'!$B:$B,Performance!L$1,'Factory Log'!$J:$J,Performance!L9,'Factory Log'!$C:$C,"Running")</f>
        <v>0</v>
      </c>
      <c r="R9" s="58" cm="1">
        <f t="array" ref="R9">IFERROR(INDEX('Factory Log'!$S:$S,MATCH(1,(Performance!L$1='Factory Log'!$B:$B)*(Performance!L9='Factory Log'!$A:$A),0)),0)</f>
        <v>0</v>
      </c>
      <c r="S9" s="3">
        <f>IFERROR(VLOOKUP(L9,'Factory Log'!$J:$R,9,0),0)</f>
        <v>0</v>
      </c>
      <c r="T9" s="64">
        <f t="shared" si="2"/>
        <v>0</v>
      </c>
      <c r="U9" s="58">
        <f t="shared" si="3"/>
        <v>0</v>
      </c>
      <c r="X9" s="3">
        <f>IFERROR(VLOOKUP(W9,'Factory Log'!$J:$O,6,0),0)</f>
        <v>0</v>
      </c>
      <c r="Y9" s="3">
        <f>IFERROR(VLOOKUP(W9,'Factory Log'!$J:$P,7,0),0)</f>
        <v>0</v>
      </c>
      <c r="Z9" s="3">
        <f>IFERROR(VLOOKUP(W9,'Factory Log'!$J:$Q,8,0),0)</f>
        <v>0</v>
      </c>
      <c r="AA9" s="58">
        <f>SUMIFS('Factory Log'!$D:$D,'Factory Log'!$B:$B,Performance!W$1,'Factory Log'!$J:$J,Performance!W9,'Factory Log'!$C:$C,"Running")+SUMIFS('Factory Log'!$D:$D,'Factory Log'!$B:$B,Performance!W$1,'Factory Log'!$J:$J,Performance!W9,'Factory Log'!$C:$C,"Make Ready")+SUMIFS('Factory Log'!$D:$D,'Factory Log'!$B:$B,Performance!W$1,'Factory Log'!$J:$J,Performance!W9,'Factory Log'!$C:$C,"Roll Change")</f>
        <v>0</v>
      </c>
      <c r="AB9" s="3">
        <f>SUMIFS('Factory Log'!$M:$M,'Factory Log'!$B:$B,Performance!W$1,'Factory Log'!$J:$J,Performance!W9,'Factory Log'!$C:$C,"Running")</f>
        <v>0</v>
      </c>
      <c r="AC9" s="58" cm="1">
        <f t="array" ref="AC9">IFERROR(INDEX('Factory Log'!$S:$S,MATCH(1,(Performance!W$1='Factory Log'!$B:$B)*(Performance!W9='Factory Log'!$A:$A),0)),0)</f>
        <v>0</v>
      </c>
      <c r="AD9" s="3">
        <f>IFERROR(VLOOKUP(W9,'Factory Log'!$J:$R,9,0),0)</f>
        <v>0</v>
      </c>
      <c r="AE9" s="64">
        <f t="shared" si="4"/>
        <v>0</v>
      </c>
      <c r="AF9" s="58">
        <f t="shared" si="5"/>
        <v>0</v>
      </c>
      <c r="AI9" s="3">
        <f>IFERROR(VLOOKUP(AH9,'Factory Log'!$J:$O,6,0),0)</f>
        <v>0</v>
      </c>
      <c r="AJ9" s="3">
        <f>IFERROR(VLOOKUP(AH9,'Factory Log'!$J:$P,7,0),0)</f>
        <v>0</v>
      </c>
      <c r="AK9" s="3">
        <f>IFERROR(VLOOKUP(AH9,'Factory Log'!$J:$Q,8,0),0)</f>
        <v>0</v>
      </c>
      <c r="AL9" s="58">
        <f>SUMIFS('Factory Log'!$D:$D,'Factory Log'!$B:$B,Performance!AH$1,'Factory Log'!$J:$J,Performance!AH9,'Factory Log'!$C:$C,"Running")+SUMIFS('Factory Log'!$D:$D,'Factory Log'!$B:$B,Performance!AH$1,'Factory Log'!$J:$J,Performance!AH9,'Factory Log'!$C:$C,"Make Ready")+SUMIFS('Factory Log'!$D:$D,'Factory Log'!$B:$B,Performance!AH$1,'Factory Log'!$J:$J,Performance!AH9,'Factory Log'!$C:$C,"Roll Change")</f>
        <v>0</v>
      </c>
      <c r="AM9" s="3">
        <f>SUMIFS('Factory Log'!$M:$M,'Factory Log'!$B:$B,Performance!AH$1,'Factory Log'!$J:$J,Performance!AH9,'Factory Log'!$C:$C,"Running")</f>
        <v>0</v>
      </c>
      <c r="AN9" s="58" cm="1">
        <f t="array" ref="AN9">IFERROR(INDEX('Factory Log'!$S:$S,MATCH(1,(Performance!AH$1='Factory Log'!$B:$B)*(Performance!AH9='Factory Log'!$A:$A),0)),0)</f>
        <v>0</v>
      </c>
      <c r="AO9" s="3">
        <f>IFERROR(VLOOKUP(AH9,'Factory Log'!$J:$R,9,0),0)</f>
        <v>0</v>
      </c>
      <c r="AP9" s="64">
        <f t="shared" si="6"/>
        <v>0</v>
      </c>
      <c r="AQ9" s="58">
        <f t="shared" si="7"/>
        <v>0</v>
      </c>
      <c r="AT9" s="3">
        <f>IFERROR(VLOOKUP(AS9,'Factory Log'!$J:$O,6,0),0)</f>
        <v>0</v>
      </c>
      <c r="AU9" s="3">
        <f>IFERROR(VLOOKUP(AS9,'Factory Log'!$J:$P,7,0),0)</f>
        <v>0</v>
      </c>
      <c r="AV9" s="3">
        <f>IFERROR(VLOOKUP(AS9,'Factory Log'!$J:$Q,8,0),0)</f>
        <v>0</v>
      </c>
      <c r="AW9" s="58">
        <f>SUMIFS('Factory Log'!$D:$D,'Factory Log'!$B:$B,Performance!AS$1,'Factory Log'!$J:$J,Performance!AS9,'Factory Log'!$C:$C,"Running")+SUMIFS('Factory Log'!$D:$D,'Factory Log'!$B:$B,Performance!AS$1,'Factory Log'!$J:$J,Performance!AS9,'Factory Log'!$C:$C,"Make Ready")+SUMIFS('Factory Log'!$D:$D,'Factory Log'!$B:$B,Performance!AS$1,'Factory Log'!$J:$J,Performance!AS9,'Factory Log'!$C:$C,"Roll Change")</f>
        <v>0</v>
      </c>
      <c r="AX9" s="3">
        <f>SUMIFS('Factory Log'!$M:$M,'Factory Log'!$B:$B,Performance!AS$1,'Factory Log'!$J:$J,Performance!AS9,'Factory Log'!$C:$C,"Running")</f>
        <v>0</v>
      </c>
      <c r="AY9" s="58" cm="1">
        <f t="array" ref="AY9">IFERROR(INDEX('Factory Log'!$S:$S,MATCH(1,(Performance!AS$1='Factory Log'!$B:$B)*(Performance!AS9='Factory Log'!$A:$A),0)),0)</f>
        <v>0</v>
      </c>
      <c r="AZ9" s="3">
        <f>IFERROR(VLOOKUP(AS9,'Factory Log'!$J:$R,9,0),0)</f>
        <v>0</v>
      </c>
      <c r="BA9" s="64">
        <f t="shared" si="8"/>
        <v>0</v>
      </c>
      <c r="BB9" s="58">
        <f t="shared" si="9"/>
        <v>0</v>
      </c>
      <c r="BD9" s="3">
        <v>349437</v>
      </c>
      <c r="BE9" s="3" t="str">
        <f>IFERROR(VLOOKUP(BD9,'Factory Log'!$J:$O,6,0),0)</f>
        <v>Tesco Stores (Hertfordshire)</v>
      </c>
      <c r="BF9" s="3" t="str">
        <f>IFERROR(VLOOKUP(BD9,'Factory Log'!$J:$P,7,0),0)</f>
        <v>Tesco</v>
      </c>
      <c r="BG9" s="3" t="str">
        <f>IFERROR(VLOOKUP(BD9,'Factory Log'!$J:$Q,8,0),0)</f>
        <v>Banner - Retail</v>
      </c>
      <c r="BH9" s="58">
        <f>SUMIFS('Factory Log'!$D:$D,'Factory Log'!$B:$B,Performance!BD$1,'Factory Log'!$J:$J,Performance!BD9,'Factory Log'!$C:$C,"Running")+SUMIFS('Factory Log'!$D:$D,'Factory Log'!$B:$B,Performance!BD$1,'Factory Log'!$J:$J,Performance!BD9,'Factory Log'!$C:$C,"Make Ready")+SUMIFS('Factory Log'!$D:$D,'Factory Log'!$B:$B,Performance!BD$1,'Factory Log'!$J:$J,Performance!BD9,'Factory Log'!$C:$C,"Roll Change")</f>
        <v>0</v>
      </c>
      <c r="BI9" s="3">
        <f>SUMIFS('Factory Log'!$M:$M,'Factory Log'!$B:$B,Performance!BD$1,'Factory Log'!$J:$J,Performance!BD9,'Factory Log'!$C:$C,"Running")</f>
        <v>0</v>
      </c>
      <c r="BJ9" s="58" cm="1">
        <f t="array" ref="BJ9">IFERROR(INDEX('Factory Log'!$S:$S,MATCH(1,(Performance!BD$1='Factory Log'!$B:$B)*(Performance!BD9='Factory Log'!$A:$A),0)),0)</f>
        <v>7.2</v>
      </c>
      <c r="BK9" s="3">
        <f>IFERROR(VLOOKUP(BD9,'Factory Log'!$J:$R,9,0),0)</f>
        <v>20</v>
      </c>
      <c r="BL9" s="64">
        <f t="shared" si="10"/>
        <v>0</v>
      </c>
      <c r="BM9" s="58">
        <f t="shared" si="11"/>
        <v>0</v>
      </c>
      <c r="BP9" s="3">
        <f>IFERROR(VLOOKUP(BO9,'Factory Log'!$J:$O,6,0),0)</f>
        <v>0</v>
      </c>
      <c r="BQ9" s="3">
        <f>IFERROR(VLOOKUP(BO9,'Factory Log'!$J:$P,7,0),0)</f>
        <v>0</v>
      </c>
      <c r="BR9" s="3">
        <f>IFERROR(VLOOKUP(BO9,'Factory Log'!$J:$Q,8,0),0)</f>
        <v>0</v>
      </c>
      <c r="BS9" s="58">
        <f>SUMIFS('Factory Log'!$D:$D,'Factory Log'!$B:$B,Performance!BO$1,'Factory Log'!$J:$J,Performance!BO9,'Factory Log'!$C:$C,"Running")+SUMIFS('Factory Log'!$D:$D,'Factory Log'!$B:$B,Performance!BO$1,'Factory Log'!$J:$J,Performance!BO9,'Factory Log'!$C:$C,"Make Ready")+SUMIFS('Factory Log'!$D:$D,'Factory Log'!$B:$B,Performance!BO$1,'Factory Log'!$J:$J,Performance!BO9,'Factory Log'!$C:$C,"Roll Change")</f>
        <v>0</v>
      </c>
      <c r="BT9" s="3">
        <f>SUMIFS('Factory Log'!$M:$M,'Factory Log'!$B:$B,Performance!BO$1,'Factory Log'!$J:$J,Performance!BO9,'Factory Log'!$C:$C,"Running")</f>
        <v>0</v>
      </c>
      <c r="BU9" s="58" cm="1">
        <f t="array" ref="BU9">IFERROR(INDEX('Factory Log'!$S:$S,MATCH(1,(Performance!BO$1='Factory Log'!$B:$B)*(Performance!BO9='Factory Log'!$A:$A),0)),0)</f>
        <v>0</v>
      </c>
      <c r="BV9" s="3">
        <f>IFERROR(VLOOKUP(BO9,'Factory Log'!$J:$R,9,0),0)</f>
        <v>0</v>
      </c>
      <c r="BW9" s="64">
        <f t="shared" si="12"/>
        <v>0</v>
      </c>
      <c r="BX9" s="58">
        <f t="shared" si="13"/>
        <v>0</v>
      </c>
      <c r="CA9" s="3">
        <f>IFERROR(VLOOKUP(BZ9,'Factory Log'!$J:$O,6,0),0)</f>
        <v>0</v>
      </c>
      <c r="CB9" s="3">
        <f>IFERROR(VLOOKUP(BZ9,'Factory Log'!$J:$P,7,0),0)</f>
        <v>0</v>
      </c>
      <c r="CC9" s="3">
        <f>IFERROR(VLOOKUP(BZ9,'Factory Log'!$J:$Q,8,0),0)</f>
        <v>0</v>
      </c>
      <c r="CD9" s="58">
        <f>SUMIFS('Factory Log'!$D:$D,'Factory Log'!$B:$B,Performance!BZ$1,'Factory Log'!$J:$J,Performance!BZ9,'Factory Log'!$C:$C,"Running")+SUMIFS('Factory Log'!$D:$D,'Factory Log'!$B:$B,Performance!BZ$1,'Factory Log'!$J:$J,Performance!BZ9,'Factory Log'!$C:$C,"Make Ready")+SUMIFS('Factory Log'!$D:$D,'Factory Log'!$B:$B,Performance!BZ$1,'Factory Log'!$J:$J,Performance!BZ9,'Factory Log'!$C:$C,"Roll Change")</f>
        <v>0</v>
      </c>
      <c r="CE9" s="3">
        <f>SUMIFS('Factory Log'!$M:$M,'Factory Log'!$B:$B,Performance!BZ$1,'Factory Log'!$J:$J,Performance!BZ9,'Factory Log'!$C:$C,"Running")</f>
        <v>0</v>
      </c>
      <c r="CF9" s="58" cm="1">
        <f t="array" ref="CF9">IFERROR(INDEX('Factory Log'!$S:$S,MATCH(1,(Performance!BZ$1='Factory Log'!$B:$B)*(Performance!BZ9='Factory Log'!$A:$A),0)),0)</f>
        <v>0</v>
      </c>
      <c r="CG9" s="3">
        <f>IFERROR(VLOOKUP(BZ9,'Factory Log'!$J:$R,9,0),0)</f>
        <v>0</v>
      </c>
      <c r="CH9" s="64">
        <f t="shared" si="14"/>
        <v>0</v>
      </c>
      <c r="CI9" s="58">
        <f t="shared" si="15"/>
        <v>0</v>
      </c>
      <c r="CK9" s="3">
        <v>349445.02</v>
      </c>
      <c r="CL9" s="3" t="str">
        <f>IFERROR(VLOOKUP(CK9,'Factory Log'!$J:$O,6,0),0)</f>
        <v>Inspired Thinking Group (ITG) - KFC</v>
      </c>
      <c r="CM9" s="3" t="str">
        <f>IFERROR(VLOOKUP(CK9,'Factory Log'!$J:$P,7,0),0)</f>
        <v>KFC</v>
      </c>
      <c r="CN9" s="3" t="str">
        <f>IFERROR(VLOOKUP(CK9,'Factory Log'!$J:$Q,8,0),0)</f>
        <v>Banner - Retail</v>
      </c>
      <c r="CO9" s="58">
        <f>SUMIFS('Factory Log'!$D:$D,'Factory Log'!$B:$B,Performance!CK$1,'Factory Log'!$J:$J,Performance!CK9,'Factory Log'!$C:$C,"Running")+SUMIFS('Factory Log'!$D:$D,'Factory Log'!$B:$B,Performance!CK$1,'Factory Log'!$J:$J,Performance!CK9,'Factory Log'!$C:$C,"Make Ready")+SUMIFS('Factory Log'!$D:$D,'Factory Log'!$B:$B,Performance!CK$1,'Factory Log'!$J:$J,Performance!CK9,'Factory Log'!$C:$C,"Roll Change")</f>
        <v>0.19999999995343387</v>
      </c>
      <c r="CP9" s="3">
        <f>SUMIFS('Factory Log'!$M:$M,'Factory Log'!$B:$B,Performance!CK$1,'Factory Log'!$J:$J,Performance!CK9,'Factory Log'!$C:$C,"Running")</f>
        <v>1</v>
      </c>
      <c r="CQ9" s="58" cm="1">
        <f t="array" ref="CQ9">IFERROR(INDEX('Factory Log'!$S:$S,MATCH(1,(Performance!CK$1='Factory Log'!$B:$B)*(Performance!CK9='Factory Log'!$A:$A),0)),0)</f>
        <v>0.32</v>
      </c>
      <c r="CR9" s="3">
        <f>IFERROR(VLOOKUP(CK9,'Factory Log'!$J:$R,9,0),0)</f>
        <v>1</v>
      </c>
      <c r="CS9" s="64">
        <f t="shared" si="16"/>
        <v>1</v>
      </c>
      <c r="CT9" s="58">
        <f t="shared" si="17"/>
        <v>0.32</v>
      </c>
      <c r="CW9" s="3">
        <f>IFERROR(VLOOKUP(CV9,'Factory Log'!$J:$O,6,0),0)</f>
        <v>0</v>
      </c>
      <c r="CX9" s="3">
        <f>IFERROR(VLOOKUP(CV9,'Factory Log'!$J:$P,7,0),0)</f>
        <v>0</v>
      </c>
      <c r="CY9" s="3">
        <f>IFERROR(VLOOKUP(CV9,'Factory Log'!$J:$Q,8,0),0)</f>
        <v>0</v>
      </c>
      <c r="CZ9" s="58">
        <f>SUMIFS('Factory Log'!$D:$D,'Factory Log'!$B:$B,Performance!CV$1,'Factory Log'!$J:$J,Performance!CV9,'Factory Log'!$C:$C,"Running")+SUMIFS('Factory Log'!$D:$D,'Factory Log'!$B:$B,Performance!CV$1,'Factory Log'!$J:$J,Performance!CV9,'Factory Log'!$C:$C,"Make Ready")+SUMIFS('Factory Log'!$D:$D,'Factory Log'!$B:$B,Performance!CV$1,'Factory Log'!$J:$J,Performance!CV9,'Factory Log'!$C:$C,"Roll Change")</f>
        <v>0</v>
      </c>
      <c r="DA9" s="3">
        <f>SUMIFS('Factory Log'!$M:$M,'Factory Log'!$B:$B,Performance!CV$1,'Factory Log'!$J:$J,Performance!CV9,'Factory Log'!$C:$C,"Running")</f>
        <v>0</v>
      </c>
      <c r="DB9" s="58" cm="1">
        <f t="array" ref="DB9">IFERROR(INDEX('Factory Log'!$S:$S,MATCH(1,(Performance!CV$1='Factory Log'!$B:$B)*(Performance!CV9='Factory Log'!$A:$A),0)),0)</f>
        <v>0</v>
      </c>
      <c r="DC9" s="3">
        <f>IFERROR(VLOOKUP(CV9,'Factory Log'!$J:$R,9,0),0)</f>
        <v>0</v>
      </c>
      <c r="DD9" s="64">
        <f t="shared" si="18"/>
        <v>0</v>
      </c>
      <c r="DE9" s="58">
        <f t="shared" si="19"/>
        <v>0</v>
      </c>
      <c r="DH9" s="3">
        <f>IFERROR(VLOOKUP(DG9,'Factory Log'!$J:$O,6,0),0)</f>
        <v>0</v>
      </c>
      <c r="DI9" s="3">
        <f>IFERROR(VLOOKUP(DG9,'Factory Log'!$J:$P,7,0),0)</f>
        <v>0</v>
      </c>
      <c r="DJ9" s="3">
        <f>IFERROR(VLOOKUP(DG9,'Factory Log'!$J:$Q,8,0),0)</f>
        <v>0</v>
      </c>
      <c r="DK9" s="58">
        <f>SUMIFS('Factory Log'!$D:$D,'Factory Log'!$B:$B,Performance!DG$1,'Factory Log'!$J:$J,Performance!DG9,'Factory Log'!$C:$C,"Running")+SUMIFS('Factory Log'!$D:$D,'Factory Log'!$B:$B,Performance!DG$1,'Factory Log'!$J:$J,Performance!DG9,'Factory Log'!$C:$C,"Make Ready")+SUMIFS('Factory Log'!$D:$D,'Factory Log'!$B:$B,Performance!DG$1,'Factory Log'!$J:$J,Performance!DG9,'Factory Log'!$C:$C,"Roll Change")</f>
        <v>0</v>
      </c>
      <c r="DL9" s="3">
        <f>SUMIFS('Factory Log'!$M:$M,'Factory Log'!$B:$B,Performance!DG$1,'Factory Log'!$J:$J,Performance!DG9,'Factory Log'!$C:$C,"Running")</f>
        <v>0</v>
      </c>
      <c r="DM9" s="58" cm="1">
        <f t="array" ref="DM9">IFERROR(INDEX('Factory Log'!$S:$S,MATCH(1,(Performance!DG$1='Factory Log'!$B:$B)*(Performance!DG9='Factory Log'!$A:$A),0)),0)</f>
        <v>0</v>
      </c>
      <c r="DN9" s="3">
        <f>IFERROR(VLOOKUP(DG9,'Factory Log'!$J:$R,9,0),0)</f>
        <v>0</v>
      </c>
      <c r="DO9" s="64">
        <f t="shared" si="20"/>
        <v>0</v>
      </c>
      <c r="DP9" s="58">
        <f t="shared" si="21"/>
        <v>0</v>
      </c>
      <c r="DS9" s="3">
        <f>IFERROR(VLOOKUP(DR9,'Factory Log'!$J:$O,6,0),0)</f>
        <v>0</v>
      </c>
      <c r="DT9" s="3">
        <f>IFERROR(VLOOKUP(DR9,'Factory Log'!$J:$P,7,0),0)</f>
        <v>0</v>
      </c>
      <c r="DU9" s="3">
        <f>IFERROR(VLOOKUP(DR9,'Factory Log'!$J:$Q,8,0),0)</f>
        <v>0</v>
      </c>
      <c r="DV9" s="58">
        <f>SUMIFS('Factory Log'!$D:$D,'Factory Log'!$B:$B,Performance!DR$1,'Factory Log'!$J:$J,Performance!DR9,'Factory Log'!$C:$C,"Running")+SUMIFS('Factory Log'!$D:$D,'Factory Log'!$B:$B,Performance!DR$1,'Factory Log'!$J:$J,Performance!DR9,'Factory Log'!$C:$C,"Make Ready")+SUMIFS('Factory Log'!$D:$D,'Factory Log'!$B:$B,Performance!DR$1,'Factory Log'!$J:$J,Performance!DR9,'Factory Log'!$C:$C,"Roll Change")</f>
        <v>0</v>
      </c>
      <c r="DW9" s="3">
        <f>SUMIFS('Factory Log'!$M:$M,'Factory Log'!$B:$B,Performance!DR$1,'Factory Log'!$J:$J,Performance!DR9,'Factory Log'!$C:$C,"Running")</f>
        <v>0</v>
      </c>
      <c r="DX9" s="58" cm="1">
        <f t="array" ref="DX9">IFERROR(INDEX('Factory Log'!$S:$S,MATCH(1,(Performance!DR$1='Factory Log'!$B:$B)*(Performance!DR9='Factory Log'!$A:$A),0)),0)</f>
        <v>0</v>
      </c>
      <c r="DY9" s="3">
        <f>IFERROR(VLOOKUP(DR9,'Factory Log'!$J:$R,9,0),0)</f>
        <v>0</v>
      </c>
      <c r="DZ9" s="64">
        <f t="shared" si="22"/>
        <v>0</v>
      </c>
      <c r="EA9" s="58">
        <f t="shared" si="23"/>
        <v>0</v>
      </c>
      <c r="ED9" s="3">
        <f>IFERROR(VLOOKUP(EC9,'Factory Log'!$J:$O,6,0),0)</f>
        <v>0</v>
      </c>
      <c r="EE9" s="3">
        <f>IFERROR(VLOOKUP(EC9,'Factory Log'!$J:$P,7,0),0)</f>
        <v>0</v>
      </c>
      <c r="EF9" s="3">
        <f>IFERROR(VLOOKUP(EC9,'Factory Log'!$J:$Q,8,0),0)</f>
        <v>0</v>
      </c>
      <c r="EG9" s="58">
        <f>SUMIFS('Factory Log'!$D:$D,'Factory Log'!$B:$B,Performance!EC$1,'Factory Log'!$J:$J,Performance!EC9,'Factory Log'!$C:$C,"Running")+SUMIFS('Factory Log'!$D:$D,'Factory Log'!$B:$B,Performance!EC$1,'Factory Log'!$J:$J,Performance!EC9,'Factory Log'!$C:$C,"Make Ready")+SUMIFS('Factory Log'!$D:$D,'Factory Log'!$B:$B,Performance!EC$1,'Factory Log'!$J:$J,Performance!EC9,'Factory Log'!$C:$C,"Roll Change")</f>
        <v>0</v>
      </c>
      <c r="EH9" s="3">
        <f>SUMIFS('Factory Log'!$M:$M,'Factory Log'!$B:$B,Performance!EC$1,'Factory Log'!$J:$J,Performance!EC9,'Factory Log'!$C:$C,"Running")</f>
        <v>0</v>
      </c>
      <c r="EI9" s="58" cm="1">
        <f t="array" ref="EI9">IFERROR(INDEX('Factory Log'!$S:$S,MATCH(1,(Performance!EC$1='Factory Log'!$B:$B)*(Performance!EC9='Factory Log'!$A:$A),0)),0)</f>
        <v>0</v>
      </c>
      <c r="EJ9" s="3">
        <f>IFERROR(VLOOKUP(EC9,'Factory Log'!$J:$R,9,0),0)</f>
        <v>0</v>
      </c>
      <c r="EK9" s="64">
        <f t="shared" si="24"/>
        <v>0</v>
      </c>
      <c r="EL9" s="58">
        <f t="shared" si="25"/>
        <v>0</v>
      </c>
      <c r="EO9" s="3">
        <f>IFERROR(VLOOKUP(EN9,'Factory Log'!$J:$O,6,0),0)</f>
        <v>0</v>
      </c>
      <c r="EP9" s="3">
        <f>IFERROR(VLOOKUP(EN9,'Factory Log'!$J:$P,7,0),0)</f>
        <v>0</v>
      </c>
      <c r="EQ9" s="3">
        <f>IFERROR(VLOOKUP(EN9,'Factory Log'!$J:$Q,8,0),0)</f>
        <v>0</v>
      </c>
      <c r="ER9" s="58">
        <f>SUMIFS('Factory Log'!$D:$D,'Factory Log'!$B:$B,Performance!EN$1,'Factory Log'!$J:$J,Performance!EN9,'Factory Log'!$C:$C,"Running")+SUMIFS('Factory Log'!$D:$D,'Factory Log'!$B:$B,Performance!EN$1,'Factory Log'!$J:$J,Performance!EN9,'Factory Log'!$C:$C,"Make Ready")+SUMIFS('Factory Log'!$D:$D,'Factory Log'!$B:$B,Performance!EN$1,'Factory Log'!$J:$J,Performance!EN9,'Factory Log'!$C:$C,"Roll Change")</f>
        <v>0</v>
      </c>
      <c r="ES9" s="3">
        <f>SUMIFS('Factory Log'!$M:$M,'Factory Log'!$B:$B,Performance!EN$1,'Factory Log'!$J:$J,Performance!EN9,'Factory Log'!$C:$C,"Running")</f>
        <v>0</v>
      </c>
      <c r="ET9" s="58" cm="1">
        <f t="array" ref="ET9">IFERROR(INDEX('Factory Log'!$S:$S,MATCH(1,(Performance!EN$1='Factory Log'!$B:$B)*(Performance!EN9='Factory Log'!$A:$A),0)),0)</f>
        <v>0</v>
      </c>
      <c r="EU9" s="3">
        <f>IFERROR(VLOOKUP(EN9,'Factory Log'!$J:$R,9,0),0)</f>
        <v>0</v>
      </c>
      <c r="EV9" s="64">
        <f t="shared" si="26"/>
        <v>0</v>
      </c>
      <c r="EW9" s="58">
        <f t="shared" si="27"/>
        <v>0</v>
      </c>
      <c r="EY9" s="3">
        <v>349410.03</v>
      </c>
      <c r="EZ9" s="3" t="str">
        <f>IFERROR(VLOOKUP(EY9,'Factory Log'!$J:$O,6,0),0)</f>
        <v>HH Associates - Asda</v>
      </c>
      <c r="FA9" s="3" t="str">
        <f>IFERROR(VLOOKUP(EY9,'Factory Log'!$J:$P,7,0),0)</f>
        <v>George</v>
      </c>
      <c r="FB9" s="3" t="str">
        <f>IFERROR(VLOOKUP(EY9,'Factory Log'!$J:$Q,8,0),0)</f>
        <v>Lightbox Panel</v>
      </c>
      <c r="FC9" s="58">
        <f>SUMIFS('Factory Log'!$D:$D,'Factory Log'!$B:$B,Performance!EY$1,'Factory Log'!$J:$J,Performance!EY9,'Factory Log'!$C:$C,"Running")+SUMIFS('Factory Log'!$D:$D,'Factory Log'!$B:$B,Performance!EY$1,'Factory Log'!$J:$J,Performance!EY9,'Factory Log'!$C:$C,"Make Ready")+SUMIFS('Factory Log'!$D:$D,'Factory Log'!$B:$B,Performance!EY$1,'Factory Log'!$J:$J,Performance!EY9,'Factory Log'!$C:$C,"Roll Change")</f>
        <v>8.3333333255723119E-2</v>
      </c>
      <c r="FD9" s="3">
        <f>SUMIFS('Factory Log'!$M:$M,'Factory Log'!$B:$B,Performance!EY$1,'Factory Log'!$J:$J,Performance!EY9,'Factory Log'!$C:$C,"Running")</f>
        <v>2</v>
      </c>
      <c r="FE9" s="58" cm="1">
        <f t="array" ref="FE9">IFERROR(INDEX('Factory Log'!$S:$S,MATCH(1,(Performance!EY$1='Factory Log'!$B:$B)*(Performance!EY9='Factory Log'!$A:$A),0)),0)</f>
        <v>0.5</v>
      </c>
      <c r="FF9" s="3">
        <f>IFERROR(VLOOKUP(EY9,'Factory Log'!$J:$R,9,0),0)</f>
        <v>2</v>
      </c>
      <c r="FG9" s="64">
        <f t="shared" si="28"/>
        <v>1</v>
      </c>
      <c r="FH9" s="58">
        <f t="shared" si="29"/>
        <v>0.5</v>
      </c>
    </row>
    <row r="10" spans="1:164" ht="16" customHeight="1" x14ac:dyDescent="0.2">
      <c r="B10" s="3">
        <f>IFERROR(VLOOKUP(A10,'Factory Log'!$J:$O,6,0),0)</f>
        <v>0</v>
      </c>
      <c r="C10" s="3">
        <f>IFERROR(VLOOKUP(A10,'Factory Log'!$J:$P,7,0),0)</f>
        <v>0</v>
      </c>
      <c r="D10" s="3">
        <f>IFERROR(VLOOKUP(A10,'Factory Log'!$J:$Q,8,0),0)</f>
        <v>0</v>
      </c>
      <c r="E10" s="58">
        <f>SUMIFS('Factory Log'!$D:$D,'Factory Log'!$B:$B,Performance!A$1,'Factory Log'!$J:$J,Performance!A10,'Factory Log'!$C:$C,"Running")+SUMIFS('Factory Log'!$D:$D,'Factory Log'!$B:$B,Performance!A$1,'Factory Log'!$J:$J,Performance!A10,'Factory Log'!$C:$C,"Make Ready")+SUMIFS('Factory Log'!$D:$D,'Factory Log'!$B:$B,Performance!A$1,'Factory Log'!$J:$J,Performance!A10,'Factory Log'!$C:$C,"Roll Change")</f>
        <v>0</v>
      </c>
      <c r="F10" s="3">
        <f>SUMIFS('Factory Log'!$M:$M,'Factory Log'!$B:$B,Performance!A$1,'Factory Log'!$J:$J,Performance!A10,'Factory Log'!$C:$C,"Running")</f>
        <v>0</v>
      </c>
      <c r="G10" s="58" cm="1">
        <f t="array" ref="G10">IFERROR(INDEX('Factory Log'!$S:$S,MATCH(1,(Performance!A$1='Factory Log'!$B:$B)*(Performance!A10='Factory Log'!$A:$A),0)),0)</f>
        <v>0</v>
      </c>
      <c r="H10" s="3">
        <f>IFERROR(VLOOKUP(A10,'Factory Log'!$J:$R,9,0),0)</f>
        <v>0</v>
      </c>
      <c r="I10" s="64">
        <f t="shared" si="1"/>
        <v>0</v>
      </c>
      <c r="J10" s="58">
        <f t="shared" si="0"/>
        <v>0</v>
      </c>
      <c r="M10" s="3">
        <f>IFERROR(VLOOKUP(L10,'Factory Log'!$J:$O,6,0),0)</f>
        <v>0</v>
      </c>
      <c r="N10" s="3">
        <f>IFERROR(VLOOKUP(L10,'Factory Log'!$J:$P,7,0),0)</f>
        <v>0</v>
      </c>
      <c r="O10" s="3">
        <f>IFERROR(VLOOKUP(L10,'Factory Log'!$J:$Q,8,0),0)</f>
        <v>0</v>
      </c>
      <c r="P10" s="58">
        <f>SUMIFS('Factory Log'!$D:$D,'Factory Log'!$B:$B,Performance!L$1,'Factory Log'!$J:$J,Performance!L10,'Factory Log'!$C:$C,"Running")+SUMIFS('Factory Log'!$D:$D,'Factory Log'!$B:$B,Performance!L$1,'Factory Log'!$J:$J,Performance!L10,'Factory Log'!$C:$C,"Make Ready")+SUMIFS('Factory Log'!$D:$D,'Factory Log'!$B:$B,Performance!L$1,'Factory Log'!$J:$J,Performance!L10,'Factory Log'!$C:$C,"Roll Change")</f>
        <v>0</v>
      </c>
      <c r="Q10" s="3">
        <f>SUMIFS('Factory Log'!$M:$M,'Factory Log'!$B:$B,Performance!L$1,'Factory Log'!$J:$J,Performance!L10,'Factory Log'!$C:$C,"Running")</f>
        <v>0</v>
      </c>
      <c r="R10" s="58" cm="1">
        <f t="array" ref="R10">IFERROR(INDEX('Factory Log'!$S:$S,MATCH(1,(Performance!L$1='Factory Log'!$B:$B)*(Performance!L10='Factory Log'!$A:$A),0)),0)</f>
        <v>0</v>
      </c>
      <c r="S10" s="3">
        <f>IFERROR(VLOOKUP(L10,'Factory Log'!$J:$R,9,0),0)</f>
        <v>0</v>
      </c>
      <c r="T10" s="64">
        <f t="shared" si="2"/>
        <v>0</v>
      </c>
      <c r="U10" s="58">
        <f t="shared" si="3"/>
        <v>0</v>
      </c>
      <c r="X10" s="3">
        <f>IFERROR(VLOOKUP(W10,'Factory Log'!$J:$O,6,0),0)</f>
        <v>0</v>
      </c>
      <c r="Y10" s="3">
        <f>IFERROR(VLOOKUP(W10,'Factory Log'!$J:$P,7,0),0)</f>
        <v>0</v>
      </c>
      <c r="Z10" s="3">
        <f>IFERROR(VLOOKUP(W10,'Factory Log'!$J:$Q,8,0),0)</f>
        <v>0</v>
      </c>
      <c r="AA10" s="58">
        <f>SUMIFS('Factory Log'!$D:$D,'Factory Log'!$B:$B,Performance!W$1,'Factory Log'!$J:$J,Performance!W10,'Factory Log'!$C:$C,"Running")+SUMIFS('Factory Log'!$D:$D,'Factory Log'!$B:$B,Performance!W$1,'Factory Log'!$J:$J,Performance!W10,'Factory Log'!$C:$C,"Make Ready")+SUMIFS('Factory Log'!$D:$D,'Factory Log'!$B:$B,Performance!W$1,'Factory Log'!$J:$J,Performance!W10,'Factory Log'!$C:$C,"Roll Change")</f>
        <v>0</v>
      </c>
      <c r="AB10" s="3">
        <f>SUMIFS('Factory Log'!$M:$M,'Factory Log'!$B:$B,Performance!W$1,'Factory Log'!$J:$J,Performance!W10,'Factory Log'!$C:$C,"Running")</f>
        <v>0</v>
      </c>
      <c r="AC10" s="58" cm="1">
        <f t="array" ref="AC10">IFERROR(INDEX('Factory Log'!$S:$S,MATCH(1,(Performance!W$1='Factory Log'!$B:$B)*(Performance!W10='Factory Log'!$A:$A),0)),0)</f>
        <v>0</v>
      </c>
      <c r="AD10" s="3">
        <f>IFERROR(VLOOKUP(W10,'Factory Log'!$J:$R,9,0),0)</f>
        <v>0</v>
      </c>
      <c r="AE10" s="64">
        <f t="shared" si="4"/>
        <v>0</v>
      </c>
      <c r="AF10" s="58">
        <f t="shared" si="5"/>
        <v>0</v>
      </c>
      <c r="AI10" s="3">
        <f>IFERROR(VLOOKUP(AH10,'Factory Log'!$J:$O,6,0),0)</f>
        <v>0</v>
      </c>
      <c r="AJ10" s="3">
        <f>IFERROR(VLOOKUP(AH10,'Factory Log'!$J:$P,7,0),0)</f>
        <v>0</v>
      </c>
      <c r="AK10" s="3">
        <f>IFERROR(VLOOKUP(AH10,'Factory Log'!$J:$Q,8,0),0)</f>
        <v>0</v>
      </c>
      <c r="AL10" s="58">
        <f>SUMIFS('Factory Log'!$D:$D,'Factory Log'!$B:$B,Performance!AH$1,'Factory Log'!$J:$J,Performance!AH10,'Factory Log'!$C:$C,"Running")+SUMIFS('Factory Log'!$D:$D,'Factory Log'!$B:$B,Performance!AH$1,'Factory Log'!$J:$J,Performance!AH10,'Factory Log'!$C:$C,"Make Ready")+SUMIFS('Factory Log'!$D:$D,'Factory Log'!$B:$B,Performance!AH$1,'Factory Log'!$J:$J,Performance!AH10,'Factory Log'!$C:$C,"Roll Change")</f>
        <v>0</v>
      </c>
      <c r="AM10" s="3">
        <f>SUMIFS('Factory Log'!$M:$M,'Factory Log'!$B:$B,Performance!AH$1,'Factory Log'!$J:$J,Performance!AH10,'Factory Log'!$C:$C,"Running")</f>
        <v>0</v>
      </c>
      <c r="AN10" s="58" cm="1">
        <f t="array" ref="AN10">IFERROR(INDEX('Factory Log'!$S:$S,MATCH(1,(Performance!AH$1='Factory Log'!$B:$B)*(Performance!AH10='Factory Log'!$A:$A),0)),0)</f>
        <v>0</v>
      </c>
      <c r="AO10" s="3">
        <f>IFERROR(VLOOKUP(AH10,'Factory Log'!$J:$R,9,0),0)</f>
        <v>0</v>
      </c>
      <c r="AP10" s="64">
        <f t="shared" si="6"/>
        <v>0</v>
      </c>
      <c r="AQ10" s="58">
        <f t="shared" si="7"/>
        <v>0</v>
      </c>
      <c r="AT10" s="3">
        <f>IFERROR(VLOOKUP(AS10,'Factory Log'!$J:$O,6,0),0)</f>
        <v>0</v>
      </c>
      <c r="AU10" s="3">
        <f>IFERROR(VLOOKUP(AS10,'Factory Log'!$J:$P,7,0),0)</f>
        <v>0</v>
      </c>
      <c r="AV10" s="3">
        <f>IFERROR(VLOOKUP(AS10,'Factory Log'!$J:$Q,8,0),0)</f>
        <v>0</v>
      </c>
      <c r="AW10" s="58">
        <f>SUMIFS('Factory Log'!$D:$D,'Factory Log'!$B:$B,Performance!AS$1,'Factory Log'!$J:$J,Performance!AS10,'Factory Log'!$C:$C,"Running")+SUMIFS('Factory Log'!$D:$D,'Factory Log'!$B:$B,Performance!AS$1,'Factory Log'!$J:$J,Performance!AS10,'Factory Log'!$C:$C,"Make Ready")+SUMIFS('Factory Log'!$D:$D,'Factory Log'!$B:$B,Performance!AS$1,'Factory Log'!$J:$J,Performance!AS10,'Factory Log'!$C:$C,"Roll Change")</f>
        <v>0</v>
      </c>
      <c r="AX10" s="3">
        <f>SUMIFS('Factory Log'!$M:$M,'Factory Log'!$B:$B,Performance!AS$1,'Factory Log'!$J:$J,Performance!AS10,'Factory Log'!$C:$C,"Running")</f>
        <v>0</v>
      </c>
      <c r="AY10" s="58" cm="1">
        <f t="array" ref="AY10">IFERROR(INDEX('Factory Log'!$S:$S,MATCH(1,(Performance!AS$1='Factory Log'!$B:$B)*(Performance!AS10='Factory Log'!$A:$A),0)),0)</f>
        <v>0</v>
      </c>
      <c r="AZ10" s="3">
        <f>IFERROR(VLOOKUP(AS10,'Factory Log'!$J:$R,9,0),0)</f>
        <v>0</v>
      </c>
      <c r="BA10" s="64">
        <f t="shared" si="8"/>
        <v>0</v>
      </c>
      <c r="BB10" s="58">
        <f t="shared" si="9"/>
        <v>0</v>
      </c>
      <c r="BE10" s="3">
        <f>IFERROR(VLOOKUP(BD10,'Factory Log'!$J:$O,6,0),0)</f>
        <v>0</v>
      </c>
      <c r="BF10" s="3">
        <f>IFERROR(VLOOKUP(BD10,'Factory Log'!$J:$P,7,0),0)</f>
        <v>0</v>
      </c>
      <c r="BG10" s="3">
        <f>IFERROR(VLOOKUP(BD10,'Factory Log'!$J:$Q,8,0),0)</f>
        <v>0</v>
      </c>
      <c r="BH10" s="58">
        <f>SUMIFS('Factory Log'!$D:$D,'Factory Log'!$B:$B,Performance!BD$1,'Factory Log'!$J:$J,Performance!BD10,'Factory Log'!$C:$C,"Running")+SUMIFS('Factory Log'!$D:$D,'Factory Log'!$B:$B,Performance!BD$1,'Factory Log'!$J:$J,Performance!BD10,'Factory Log'!$C:$C,"Make Ready")+SUMIFS('Factory Log'!$D:$D,'Factory Log'!$B:$B,Performance!BD$1,'Factory Log'!$J:$J,Performance!BD10,'Factory Log'!$C:$C,"Roll Change")</f>
        <v>0</v>
      </c>
      <c r="BI10" s="3">
        <f>SUMIFS('Factory Log'!$M:$M,'Factory Log'!$B:$B,Performance!BD$1,'Factory Log'!$J:$J,Performance!BD10,'Factory Log'!$C:$C,"Running")</f>
        <v>0</v>
      </c>
      <c r="BJ10" s="58" cm="1">
        <f t="array" ref="BJ10">IFERROR(INDEX('Factory Log'!$S:$S,MATCH(1,(Performance!BD$1='Factory Log'!$B:$B)*(Performance!BD10='Factory Log'!$A:$A),0)),0)</f>
        <v>0</v>
      </c>
      <c r="BK10" s="3">
        <f>IFERROR(VLOOKUP(BD10,'Factory Log'!$J:$R,9,0),0)</f>
        <v>0</v>
      </c>
      <c r="BL10" s="64">
        <f t="shared" si="10"/>
        <v>0</v>
      </c>
      <c r="BM10" s="58">
        <f t="shared" si="11"/>
        <v>0</v>
      </c>
      <c r="BP10" s="3">
        <f>IFERROR(VLOOKUP(BO10,'Factory Log'!$J:$O,6,0),0)</f>
        <v>0</v>
      </c>
      <c r="BQ10" s="3">
        <f>IFERROR(VLOOKUP(BO10,'Factory Log'!$J:$P,7,0),0)</f>
        <v>0</v>
      </c>
      <c r="BR10" s="3">
        <f>IFERROR(VLOOKUP(BO10,'Factory Log'!$J:$Q,8,0),0)</f>
        <v>0</v>
      </c>
      <c r="BS10" s="58">
        <f>SUMIFS('Factory Log'!$D:$D,'Factory Log'!$B:$B,Performance!BO$1,'Factory Log'!$J:$J,Performance!BO10,'Factory Log'!$C:$C,"Running")+SUMIFS('Factory Log'!$D:$D,'Factory Log'!$B:$B,Performance!BO$1,'Factory Log'!$J:$J,Performance!BO10,'Factory Log'!$C:$C,"Make Ready")+SUMIFS('Factory Log'!$D:$D,'Factory Log'!$B:$B,Performance!BO$1,'Factory Log'!$J:$J,Performance!BO10,'Factory Log'!$C:$C,"Roll Change")</f>
        <v>0</v>
      </c>
      <c r="BT10" s="3">
        <f>SUMIFS('Factory Log'!$M:$M,'Factory Log'!$B:$B,Performance!BO$1,'Factory Log'!$J:$J,Performance!BO10,'Factory Log'!$C:$C,"Running")</f>
        <v>0</v>
      </c>
      <c r="BU10" s="58" cm="1">
        <f t="array" ref="BU10">IFERROR(INDEX('Factory Log'!$S:$S,MATCH(1,(Performance!BO$1='Factory Log'!$B:$B)*(Performance!BO10='Factory Log'!$A:$A),0)),0)</f>
        <v>0</v>
      </c>
      <c r="BV10" s="3">
        <f>IFERROR(VLOOKUP(BO10,'Factory Log'!$J:$R,9,0),0)</f>
        <v>0</v>
      </c>
      <c r="BW10" s="64">
        <f t="shared" si="12"/>
        <v>0</v>
      </c>
      <c r="BX10" s="58">
        <f t="shared" si="13"/>
        <v>0</v>
      </c>
      <c r="CA10" s="3">
        <f>IFERROR(VLOOKUP(BZ10,'Factory Log'!$J:$O,6,0),0)</f>
        <v>0</v>
      </c>
      <c r="CB10" s="3">
        <f>IFERROR(VLOOKUP(BZ10,'Factory Log'!$J:$P,7,0),0)</f>
        <v>0</v>
      </c>
      <c r="CC10" s="3">
        <f>IFERROR(VLOOKUP(BZ10,'Factory Log'!$J:$Q,8,0),0)</f>
        <v>0</v>
      </c>
      <c r="CD10" s="58">
        <f>SUMIFS('Factory Log'!$D:$D,'Factory Log'!$B:$B,Performance!BZ$1,'Factory Log'!$J:$J,Performance!BZ10,'Factory Log'!$C:$C,"Running")+SUMIFS('Factory Log'!$D:$D,'Factory Log'!$B:$B,Performance!BZ$1,'Factory Log'!$J:$J,Performance!BZ10,'Factory Log'!$C:$C,"Make Ready")+SUMIFS('Factory Log'!$D:$D,'Factory Log'!$B:$B,Performance!BZ$1,'Factory Log'!$J:$J,Performance!BZ10,'Factory Log'!$C:$C,"Roll Change")</f>
        <v>0</v>
      </c>
      <c r="CE10" s="3">
        <f>SUMIFS('Factory Log'!$M:$M,'Factory Log'!$B:$B,Performance!BZ$1,'Factory Log'!$J:$J,Performance!BZ10,'Factory Log'!$C:$C,"Running")</f>
        <v>0</v>
      </c>
      <c r="CF10" s="58" cm="1">
        <f t="array" ref="CF10">IFERROR(INDEX('Factory Log'!$S:$S,MATCH(1,(Performance!BZ$1='Factory Log'!$B:$B)*(Performance!BZ10='Factory Log'!$A:$A),0)),0)</f>
        <v>0</v>
      </c>
      <c r="CG10" s="3">
        <f>IFERROR(VLOOKUP(BZ10,'Factory Log'!$J:$R,9,0),0)</f>
        <v>0</v>
      </c>
      <c r="CH10" s="64">
        <f t="shared" si="14"/>
        <v>0</v>
      </c>
      <c r="CI10" s="58">
        <f t="shared" si="15"/>
        <v>0</v>
      </c>
      <c r="CK10" s="3">
        <v>349401.05</v>
      </c>
      <c r="CL10" s="3" t="str">
        <f>IFERROR(VLOOKUP(CK10,'Factory Log'!$J:$O,6,0),0)</f>
        <v>Inspired Thinking Group (ITG) - Whitbread</v>
      </c>
      <c r="CM10" s="3" t="str">
        <f>IFERROR(VLOOKUP(CK10,'Factory Log'!$J:$P,7,0),0)</f>
        <v>Whitbread</v>
      </c>
      <c r="CN10" s="3" t="str">
        <f>IFERROR(VLOOKUP(CK10,'Factory Log'!$J:$Q,8,0),0)</f>
        <v>Banner - Retail</v>
      </c>
      <c r="CO10" s="58">
        <f>SUMIFS('Factory Log'!$D:$D,'Factory Log'!$B:$B,Performance!CK$1,'Factory Log'!$J:$J,Performance!CK10,'Factory Log'!$C:$C,"Running")+SUMIFS('Factory Log'!$D:$D,'Factory Log'!$B:$B,Performance!CK$1,'Factory Log'!$J:$J,Performance!CK10,'Factory Log'!$C:$C,"Make Ready")+SUMIFS('Factory Log'!$D:$D,'Factory Log'!$B:$B,Performance!CK$1,'Factory Log'!$J:$J,Performance!CK10,'Factory Log'!$C:$C,"Roll Change")</f>
        <v>1.3333333333139308</v>
      </c>
      <c r="CP10" s="3">
        <f>SUMIFS('Factory Log'!$M:$M,'Factory Log'!$B:$B,Performance!CK$1,'Factory Log'!$J:$J,Performance!CK10,'Factory Log'!$C:$C,"Running")</f>
        <v>5</v>
      </c>
      <c r="CQ10" s="58" cm="1">
        <f t="array" ref="CQ10">IFERROR(INDEX('Factory Log'!$S:$S,MATCH(1,(Performance!CK$1='Factory Log'!$B:$B)*(Performance!CK10='Factory Log'!$A:$A),0)),0)</f>
        <v>0.37</v>
      </c>
      <c r="CR10" s="3">
        <f>IFERROR(VLOOKUP(CK10,'Factory Log'!$J:$R,9,0),0)</f>
        <v>5</v>
      </c>
      <c r="CS10" s="64">
        <f t="shared" si="16"/>
        <v>1</v>
      </c>
      <c r="CT10" s="58">
        <f t="shared" si="17"/>
        <v>0.37</v>
      </c>
      <c r="CW10" s="3">
        <f>IFERROR(VLOOKUP(CV10,'Factory Log'!$J:$O,6,0),0)</f>
        <v>0</v>
      </c>
      <c r="CX10" s="3">
        <f>IFERROR(VLOOKUP(CV10,'Factory Log'!$J:$P,7,0),0)</f>
        <v>0</v>
      </c>
      <c r="CY10" s="3">
        <f>IFERROR(VLOOKUP(CV10,'Factory Log'!$J:$Q,8,0),0)</f>
        <v>0</v>
      </c>
      <c r="CZ10" s="58">
        <f>SUMIFS('Factory Log'!$D:$D,'Factory Log'!$B:$B,Performance!CV$1,'Factory Log'!$J:$J,Performance!CV10,'Factory Log'!$C:$C,"Running")+SUMIFS('Factory Log'!$D:$D,'Factory Log'!$B:$B,Performance!CV$1,'Factory Log'!$J:$J,Performance!CV10,'Factory Log'!$C:$C,"Make Ready")+SUMIFS('Factory Log'!$D:$D,'Factory Log'!$B:$B,Performance!CV$1,'Factory Log'!$J:$J,Performance!CV10,'Factory Log'!$C:$C,"Roll Change")</f>
        <v>0</v>
      </c>
      <c r="DA10" s="3">
        <f>SUMIFS('Factory Log'!$M:$M,'Factory Log'!$B:$B,Performance!CV$1,'Factory Log'!$J:$J,Performance!CV10,'Factory Log'!$C:$C,"Running")</f>
        <v>0</v>
      </c>
      <c r="DB10" s="58" cm="1">
        <f t="array" ref="DB10">IFERROR(INDEX('Factory Log'!$S:$S,MATCH(1,(Performance!CV$1='Factory Log'!$B:$B)*(Performance!CV10='Factory Log'!$A:$A),0)),0)</f>
        <v>0</v>
      </c>
      <c r="DC10" s="3">
        <f>IFERROR(VLOOKUP(CV10,'Factory Log'!$J:$R,9,0),0)</f>
        <v>0</v>
      </c>
      <c r="DD10" s="64">
        <f t="shared" si="18"/>
        <v>0</v>
      </c>
      <c r="DE10" s="58">
        <f t="shared" si="19"/>
        <v>0</v>
      </c>
      <c r="DH10" s="3">
        <f>IFERROR(VLOOKUP(DG10,'Factory Log'!$J:$O,6,0),0)</f>
        <v>0</v>
      </c>
      <c r="DI10" s="3">
        <f>IFERROR(VLOOKUP(DG10,'Factory Log'!$J:$P,7,0),0)</f>
        <v>0</v>
      </c>
      <c r="DJ10" s="3">
        <f>IFERROR(VLOOKUP(DG10,'Factory Log'!$J:$Q,8,0),0)</f>
        <v>0</v>
      </c>
      <c r="DK10" s="58">
        <f>SUMIFS('Factory Log'!$D:$D,'Factory Log'!$B:$B,Performance!DG$1,'Factory Log'!$J:$J,Performance!DG10,'Factory Log'!$C:$C,"Running")+SUMIFS('Factory Log'!$D:$D,'Factory Log'!$B:$B,Performance!DG$1,'Factory Log'!$J:$J,Performance!DG10,'Factory Log'!$C:$C,"Make Ready")+SUMIFS('Factory Log'!$D:$D,'Factory Log'!$B:$B,Performance!DG$1,'Factory Log'!$J:$J,Performance!DG10,'Factory Log'!$C:$C,"Roll Change")</f>
        <v>0</v>
      </c>
      <c r="DL10" s="3">
        <f>SUMIFS('Factory Log'!$M:$M,'Factory Log'!$B:$B,Performance!DG$1,'Factory Log'!$J:$J,Performance!DG10,'Factory Log'!$C:$C,"Running")</f>
        <v>0</v>
      </c>
      <c r="DM10" s="58" cm="1">
        <f t="array" ref="DM10">IFERROR(INDEX('Factory Log'!$S:$S,MATCH(1,(Performance!DG$1='Factory Log'!$B:$B)*(Performance!DG10='Factory Log'!$A:$A),0)),0)</f>
        <v>0</v>
      </c>
      <c r="DN10" s="3">
        <f>IFERROR(VLOOKUP(DG10,'Factory Log'!$J:$R,9,0),0)</f>
        <v>0</v>
      </c>
      <c r="DO10" s="64">
        <f t="shared" si="20"/>
        <v>0</v>
      </c>
      <c r="DP10" s="58">
        <f t="shared" si="21"/>
        <v>0</v>
      </c>
      <c r="DS10" s="3">
        <f>IFERROR(VLOOKUP(DR10,'Factory Log'!$J:$O,6,0),0)</f>
        <v>0</v>
      </c>
      <c r="DT10" s="3">
        <f>IFERROR(VLOOKUP(DR10,'Factory Log'!$J:$P,7,0),0)</f>
        <v>0</v>
      </c>
      <c r="DU10" s="3">
        <f>IFERROR(VLOOKUP(DR10,'Factory Log'!$J:$Q,8,0),0)</f>
        <v>0</v>
      </c>
      <c r="DV10" s="58">
        <f>SUMIFS('Factory Log'!$D:$D,'Factory Log'!$B:$B,Performance!DR$1,'Factory Log'!$J:$J,Performance!DR10,'Factory Log'!$C:$C,"Running")+SUMIFS('Factory Log'!$D:$D,'Factory Log'!$B:$B,Performance!DR$1,'Factory Log'!$J:$J,Performance!DR10,'Factory Log'!$C:$C,"Make Ready")+SUMIFS('Factory Log'!$D:$D,'Factory Log'!$B:$B,Performance!DR$1,'Factory Log'!$J:$J,Performance!DR10,'Factory Log'!$C:$C,"Roll Change")</f>
        <v>0</v>
      </c>
      <c r="DW10" s="3">
        <f>SUMIFS('Factory Log'!$M:$M,'Factory Log'!$B:$B,Performance!DR$1,'Factory Log'!$J:$J,Performance!DR10,'Factory Log'!$C:$C,"Running")</f>
        <v>0</v>
      </c>
      <c r="DX10" s="58" cm="1">
        <f t="array" ref="DX10">IFERROR(INDEX('Factory Log'!$S:$S,MATCH(1,(Performance!DR$1='Factory Log'!$B:$B)*(Performance!DR10='Factory Log'!$A:$A),0)),0)</f>
        <v>0</v>
      </c>
      <c r="DY10" s="3">
        <f>IFERROR(VLOOKUP(DR10,'Factory Log'!$J:$R,9,0),0)</f>
        <v>0</v>
      </c>
      <c r="DZ10" s="64">
        <f t="shared" si="22"/>
        <v>0</v>
      </c>
      <c r="EA10" s="58">
        <f t="shared" si="23"/>
        <v>0</v>
      </c>
      <c r="ED10" s="3">
        <f>IFERROR(VLOOKUP(EC10,'Factory Log'!$J:$O,6,0),0)</f>
        <v>0</v>
      </c>
      <c r="EE10" s="3">
        <f>IFERROR(VLOOKUP(EC10,'Factory Log'!$J:$P,7,0),0)</f>
        <v>0</v>
      </c>
      <c r="EF10" s="3">
        <f>IFERROR(VLOOKUP(EC10,'Factory Log'!$J:$Q,8,0),0)</f>
        <v>0</v>
      </c>
      <c r="EG10" s="58">
        <f>SUMIFS('Factory Log'!$D:$D,'Factory Log'!$B:$B,Performance!EC$1,'Factory Log'!$J:$J,Performance!EC10,'Factory Log'!$C:$C,"Running")+SUMIFS('Factory Log'!$D:$D,'Factory Log'!$B:$B,Performance!EC$1,'Factory Log'!$J:$J,Performance!EC10,'Factory Log'!$C:$C,"Make Ready")+SUMIFS('Factory Log'!$D:$D,'Factory Log'!$B:$B,Performance!EC$1,'Factory Log'!$J:$J,Performance!EC10,'Factory Log'!$C:$C,"Roll Change")</f>
        <v>0</v>
      </c>
      <c r="EH10" s="3">
        <f>SUMIFS('Factory Log'!$M:$M,'Factory Log'!$B:$B,Performance!EC$1,'Factory Log'!$J:$J,Performance!EC10,'Factory Log'!$C:$C,"Running")</f>
        <v>0</v>
      </c>
      <c r="EI10" s="58" cm="1">
        <f t="array" ref="EI10">IFERROR(INDEX('Factory Log'!$S:$S,MATCH(1,(Performance!EC$1='Factory Log'!$B:$B)*(Performance!EC10='Factory Log'!$A:$A),0)),0)</f>
        <v>0</v>
      </c>
      <c r="EJ10" s="3">
        <f>IFERROR(VLOOKUP(EC10,'Factory Log'!$J:$R,9,0),0)</f>
        <v>0</v>
      </c>
      <c r="EK10" s="64">
        <f t="shared" si="24"/>
        <v>0</v>
      </c>
      <c r="EL10" s="58">
        <f t="shared" si="25"/>
        <v>0</v>
      </c>
      <c r="EO10" s="3">
        <f>IFERROR(VLOOKUP(EN10,'Factory Log'!$J:$O,6,0),0)</f>
        <v>0</v>
      </c>
      <c r="EP10" s="3">
        <f>IFERROR(VLOOKUP(EN10,'Factory Log'!$J:$P,7,0),0)</f>
        <v>0</v>
      </c>
      <c r="EQ10" s="3">
        <f>IFERROR(VLOOKUP(EN10,'Factory Log'!$J:$Q,8,0),0)</f>
        <v>0</v>
      </c>
      <c r="ER10" s="58">
        <f>SUMIFS('Factory Log'!$D:$D,'Factory Log'!$B:$B,Performance!EN$1,'Factory Log'!$J:$J,Performance!EN10,'Factory Log'!$C:$C,"Running")+SUMIFS('Factory Log'!$D:$D,'Factory Log'!$B:$B,Performance!EN$1,'Factory Log'!$J:$J,Performance!EN10,'Factory Log'!$C:$C,"Make Ready")+SUMIFS('Factory Log'!$D:$D,'Factory Log'!$B:$B,Performance!EN$1,'Factory Log'!$J:$J,Performance!EN10,'Factory Log'!$C:$C,"Roll Change")</f>
        <v>0</v>
      </c>
      <c r="ES10" s="3">
        <f>SUMIFS('Factory Log'!$M:$M,'Factory Log'!$B:$B,Performance!EN$1,'Factory Log'!$J:$J,Performance!EN10,'Factory Log'!$C:$C,"Running")</f>
        <v>0</v>
      </c>
      <c r="ET10" s="58" cm="1">
        <f t="array" ref="ET10">IFERROR(INDEX('Factory Log'!$S:$S,MATCH(1,(Performance!EN$1='Factory Log'!$B:$B)*(Performance!EN10='Factory Log'!$A:$A),0)),0)</f>
        <v>0</v>
      </c>
      <c r="EU10" s="3">
        <f>IFERROR(VLOOKUP(EN10,'Factory Log'!$J:$R,9,0),0)</f>
        <v>0</v>
      </c>
      <c r="EV10" s="64">
        <f t="shared" si="26"/>
        <v>0</v>
      </c>
      <c r="EW10" s="58">
        <f t="shared" si="27"/>
        <v>0</v>
      </c>
      <c r="EY10" s="3">
        <v>349458</v>
      </c>
      <c r="EZ10" s="3" t="str">
        <f>IFERROR(VLOOKUP(EY10,'Factory Log'!$J:$O,6,0),0)</f>
        <v>HH Associates - Asda</v>
      </c>
      <c r="FA10" s="3" t="str">
        <f>IFERROR(VLOOKUP(EY10,'Factory Log'!$J:$P,7,0),0)</f>
        <v>ASDA</v>
      </c>
      <c r="FB10" s="3" t="str">
        <f>IFERROR(VLOOKUP(EY10,'Factory Log'!$J:$Q,8,0),0)</f>
        <v>Banner - Retail</v>
      </c>
      <c r="FC10" s="58">
        <f>SUMIFS('Factory Log'!$D:$D,'Factory Log'!$B:$B,Performance!EY$1,'Factory Log'!$J:$J,Performance!EY10,'Factory Log'!$C:$C,"Running")+SUMIFS('Factory Log'!$D:$D,'Factory Log'!$B:$B,Performance!EY$1,'Factory Log'!$J:$J,Performance!EY10,'Factory Log'!$C:$C,"Make Ready")+SUMIFS('Factory Log'!$D:$D,'Factory Log'!$B:$B,Performance!EY$1,'Factory Log'!$J:$J,Performance!EY10,'Factory Log'!$C:$C,"Roll Change")</f>
        <v>8.3333333255723119E-2</v>
      </c>
      <c r="FD10" s="3">
        <f>SUMIFS('Factory Log'!$M:$M,'Factory Log'!$B:$B,Performance!EY$1,'Factory Log'!$J:$J,Performance!EY10,'Factory Log'!$C:$C,"Running")</f>
        <v>1</v>
      </c>
      <c r="FE10" s="58" cm="1">
        <f t="array" ref="FE10">IFERROR(INDEX('Factory Log'!$S:$S,MATCH(1,(Performance!EY$1='Factory Log'!$B:$B)*(Performance!EY10='Factory Log'!$A:$A),0)),0)</f>
        <v>0.85</v>
      </c>
      <c r="FF10" s="3">
        <f>IFERROR(VLOOKUP(EY10,'Factory Log'!$J:$R,9,0),0)</f>
        <v>1</v>
      </c>
      <c r="FG10" s="64">
        <f t="shared" si="28"/>
        <v>1</v>
      </c>
      <c r="FH10" s="58">
        <f t="shared" si="29"/>
        <v>0.85</v>
      </c>
    </row>
    <row r="11" spans="1:164" ht="16" customHeight="1" x14ac:dyDescent="0.2">
      <c r="B11" s="3">
        <f>IFERROR(VLOOKUP(A11,'Factory Log'!$J:$O,6,0),0)</f>
        <v>0</v>
      </c>
      <c r="C11" s="3">
        <f>IFERROR(VLOOKUP(A11,'Factory Log'!$J:$P,7,0),0)</f>
        <v>0</v>
      </c>
      <c r="D11" s="3">
        <f>IFERROR(VLOOKUP(A11,'Factory Log'!$J:$Q,8,0),0)</f>
        <v>0</v>
      </c>
      <c r="E11" s="58">
        <f>SUMIFS('Factory Log'!$D:$D,'Factory Log'!$B:$B,Performance!A$1,'Factory Log'!$J:$J,Performance!A11,'Factory Log'!$C:$C,"Running")+SUMIFS('Factory Log'!$D:$D,'Factory Log'!$B:$B,Performance!A$1,'Factory Log'!$J:$J,Performance!A11,'Factory Log'!$C:$C,"Make Ready")+SUMIFS('Factory Log'!$D:$D,'Factory Log'!$B:$B,Performance!A$1,'Factory Log'!$J:$J,Performance!A11,'Factory Log'!$C:$C,"Roll Change")</f>
        <v>0</v>
      </c>
      <c r="F11" s="3">
        <f>SUMIFS('Factory Log'!$M:$M,'Factory Log'!$B:$B,Performance!A$1,'Factory Log'!$J:$J,Performance!A11,'Factory Log'!$C:$C,"Running")</f>
        <v>0</v>
      </c>
      <c r="G11" s="58" cm="1">
        <f t="array" ref="G11">IFERROR(INDEX('Factory Log'!$S:$S,MATCH(1,(Performance!A$1='Factory Log'!$B:$B)*(Performance!A11='Factory Log'!$A:$A),0)),0)</f>
        <v>0</v>
      </c>
      <c r="H11" s="3">
        <f>IFERROR(VLOOKUP(A11,'Factory Log'!$J:$R,9,0),0)</f>
        <v>0</v>
      </c>
      <c r="I11" s="64">
        <f t="shared" si="1"/>
        <v>0</v>
      </c>
      <c r="J11" s="58">
        <f t="shared" si="0"/>
        <v>0</v>
      </c>
      <c r="M11" s="3">
        <f>IFERROR(VLOOKUP(L11,'Factory Log'!$J:$O,6,0),0)</f>
        <v>0</v>
      </c>
      <c r="N11" s="3">
        <f>IFERROR(VLOOKUP(L11,'Factory Log'!$J:$P,7,0),0)</f>
        <v>0</v>
      </c>
      <c r="O11" s="3">
        <f>IFERROR(VLOOKUP(L11,'Factory Log'!$J:$Q,8,0),0)</f>
        <v>0</v>
      </c>
      <c r="P11" s="58">
        <f>SUMIFS('Factory Log'!$D:$D,'Factory Log'!$B:$B,Performance!L$1,'Factory Log'!$J:$J,Performance!L11,'Factory Log'!$C:$C,"Running")+SUMIFS('Factory Log'!$D:$D,'Factory Log'!$B:$B,Performance!L$1,'Factory Log'!$J:$J,Performance!L11,'Factory Log'!$C:$C,"Make Ready")+SUMIFS('Factory Log'!$D:$D,'Factory Log'!$B:$B,Performance!L$1,'Factory Log'!$J:$J,Performance!L11,'Factory Log'!$C:$C,"Roll Change")</f>
        <v>0</v>
      </c>
      <c r="Q11" s="3">
        <f>SUMIFS('Factory Log'!$M:$M,'Factory Log'!$B:$B,Performance!L$1,'Factory Log'!$J:$J,Performance!L11,'Factory Log'!$C:$C,"Running")</f>
        <v>0</v>
      </c>
      <c r="R11" s="58" cm="1">
        <f t="array" ref="R11">IFERROR(INDEX('Factory Log'!$S:$S,MATCH(1,(Performance!L$1='Factory Log'!$B:$B)*(Performance!L11='Factory Log'!$A:$A),0)),0)</f>
        <v>0</v>
      </c>
      <c r="S11" s="3">
        <f>IFERROR(VLOOKUP(L11,'Factory Log'!$J:$R,9,0),0)</f>
        <v>0</v>
      </c>
      <c r="T11" s="64">
        <f t="shared" si="2"/>
        <v>0</v>
      </c>
      <c r="U11" s="58">
        <f t="shared" si="3"/>
        <v>0</v>
      </c>
      <c r="X11" s="3">
        <f>IFERROR(VLOOKUP(W11,'Factory Log'!$J:$O,6,0),0)</f>
        <v>0</v>
      </c>
      <c r="Y11" s="3">
        <f>IFERROR(VLOOKUP(W11,'Factory Log'!$J:$P,7,0),0)</f>
        <v>0</v>
      </c>
      <c r="Z11" s="3">
        <f>IFERROR(VLOOKUP(W11,'Factory Log'!$J:$Q,8,0),0)</f>
        <v>0</v>
      </c>
      <c r="AA11" s="58">
        <f>SUMIFS('Factory Log'!$D:$D,'Factory Log'!$B:$B,Performance!W$1,'Factory Log'!$J:$J,Performance!W11,'Factory Log'!$C:$C,"Running")+SUMIFS('Factory Log'!$D:$D,'Factory Log'!$B:$B,Performance!W$1,'Factory Log'!$J:$J,Performance!W11,'Factory Log'!$C:$C,"Make Ready")+SUMIFS('Factory Log'!$D:$D,'Factory Log'!$B:$B,Performance!W$1,'Factory Log'!$J:$J,Performance!W11,'Factory Log'!$C:$C,"Roll Change")</f>
        <v>0</v>
      </c>
      <c r="AB11" s="3">
        <f>SUMIFS('Factory Log'!$M:$M,'Factory Log'!$B:$B,Performance!W$1,'Factory Log'!$J:$J,Performance!W11,'Factory Log'!$C:$C,"Running")</f>
        <v>0</v>
      </c>
      <c r="AC11" s="58" cm="1">
        <f t="array" ref="AC11">IFERROR(INDEX('Factory Log'!$S:$S,MATCH(1,(Performance!W$1='Factory Log'!$B:$B)*(Performance!W11='Factory Log'!$A:$A),0)),0)</f>
        <v>0</v>
      </c>
      <c r="AD11" s="3">
        <f>IFERROR(VLOOKUP(W11,'Factory Log'!$J:$R,9,0),0)</f>
        <v>0</v>
      </c>
      <c r="AE11" s="64">
        <f t="shared" si="4"/>
        <v>0</v>
      </c>
      <c r="AF11" s="58">
        <f t="shared" si="5"/>
        <v>0</v>
      </c>
      <c r="AI11" s="3">
        <f>IFERROR(VLOOKUP(AH11,'Factory Log'!$J:$O,6,0),0)</f>
        <v>0</v>
      </c>
      <c r="AJ11" s="3">
        <f>IFERROR(VLOOKUP(AH11,'Factory Log'!$J:$P,7,0),0)</f>
        <v>0</v>
      </c>
      <c r="AK11" s="3">
        <f>IFERROR(VLOOKUP(AH11,'Factory Log'!$J:$Q,8,0),0)</f>
        <v>0</v>
      </c>
      <c r="AL11" s="58">
        <f>SUMIFS('Factory Log'!$D:$D,'Factory Log'!$B:$B,Performance!AH$1,'Factory Log'!$J:$J,Performance!AH11,'Factory Log'!$C:$C,"Running")+SUMIFS('Factory Log'!$D:$D,'Factory Log'!$B:$B,Performance!AH$1,'Factory Log'!$J:$J,Performance!AH11,'Factory Log'!$C:$C,"Make Ready")+SUMIFS('Factory Log'!$D:$D,'Factory Log'!$B:$B,Performance!AH$1,'Factory Log'!$J:$J,Performance!AH11,'Factory Log'!$C:$C,"Roll Change")</f>
        <v>0</v>
      </c>
      <c r="AM11" s="3">
        <f>SUMIFS('Factory Log'!$M:$M,'Factory Log'!$B:$B,Performance!AH$1,'Factory Log'!$J:$J,Performance!AH11,'Factory Log'!$C:$C,"Running")</f>
        <v>0</v>
      </c>
      <c r="AN11" s="58" cm="1">
        <f t="array" ref="AN11">IFERROR(INDEX('Factory Log'!$S:$S,MATCH(1,(Performance!AH$1='Factory Log'!$B:$B)*(Performance!AH11='Factory Log'!$A:$A),0)),0)</f>
        <v>0</v>
      </c>
      <c r="AO11" s="3">
        <f>IFERROR(VLOOKUP(AH11,'Factory Log'!$J:$R,9,0),0)</f>
        <v>0</v>
      </c>
      <c r="AP11" s="64">
        <f t="shared" si="6"/>
        <v>0</v>
      </c>
      <c r="AQ11" s="58">
        <f t="shared" si="7"/>
        <v>0</v>
      </c>
      <c r="AT11" s="3">
        <f>IFERROR(VLOOKUP(AS11,'Factory Log'!$J:$O,6,0),0)</f>
        <v>0</v>
      </c>
      <c r="AU11" s="3">
        <f>IFERROR(VLOOKUP(AS11,'Factory Log'!$J:$P,7,0),0)</f>
        <v>0</v>
      </c>
      <c r="AV11" s="3">
        <f>IFERROR(VLOOKUP(AS11,'Factory Log'!$J:$Q,8,0),0)</f>
        <v>0</v>
      </c>
      <c r="AW11" s="58">
        <f>SUMIFS('Factory Log'!$D:$D,'Factory Log'!$B:$B,Performance!AS$1,'Factory Log'!$J:$J,Performance!AS11,'Factory Log'!$C:$C,"Running")+SUMIFS('Factory Log'!$D:$D,'Factory Log'!$B:$B,Performance!AS$1,'Factory Log'!$J:$J,Performance!AS11,'Factory Log'!$C:$C,"Make Ready")+SUMIFS('Factory Log'!$D:$D,'Factory Log'!$B:$B,Performance!AS$1,'Factory Log'!$J:$J,Performance!AS11,'Factory Log'!$C:$C,"Roll Change")</f>
        <v>0</v>
      </c>
      <c r="AX11" s="3">
        <f>SUMIFS('Factory Log'!$M:$M,'Factory Log'!$B:$B,Performance!AS$1,'Factory Log'!$J:$J,Performance!AS11,'Factory Log'!$C:$C,"Running")</f>
        <v>0</v>
      </c>
      <c r="AY11" s="58" cm="1">
        <f t="array" ref="AY11">IFERROR(INDEX('Factory Log'!$S:$S,MATCH(1,(Performance!AS$1='Factory Log'!$B:$B)*(Performance!AS11='Factory Log'!$A:$A),0)),0)</f>
        <v>0</v>
      </c>
      <c r="AZ11" s="3">
        <f>IFERROR(VLOOKUP(AS11,'Factory Log'!$J:$R,9,0),0)</f>
        <v>0</v>
      </c>
      <c r="BA11" s="64">
        <f t="shared" si="8"/>
        <v>0</v>
      </c>
      <c r="BB11" s="58">
        <f t="shared" si="9"/>
        <v>0</v>
      </c>
      <c r="BE11" s="3">
        <f>IFERROR(VLOOKUP(BD11,'Factory Log'!$J:$O,6,0),0)</f>
        <v>0</v>
      </c>
      <c r="BF11" s="3">
        <f>IFERROR(VLOOKUP(BD11,'Factory Log'!$J:$P,7,0),0)</f>
        <v>0</v>
      </c>
      <c r="BG11" s="3">
        <f>IFERROR(VLOOKUP(BD11,'Factory Log'!$J:$Q,8,0),0)</f>
        <v>0</v>
      </c>
      <c r="BH11" s="58">
        <f>SUMIFS('Factory Log'!$D:$D,'Factory Log'!$B:$B,Performance!BD$1,'Factory Log'!$J:$J,Performance!BD11,'Factory Log'!$C:$C,"Running")+SUMIFS('Factory Log'!$D:$D,'Factory Log'!$B:$B,Performance!BD$1,'Factory Log'!$J:$J,Performance!BD11,'Factory Log'!$C:$C,"Make Ready")+SUMIFS('Factory Log'!$D:$D,'Factory Log'!$B:$B,Performance!BD$1,'Factory Log'!$J:$J,Performance!BD11,'Factory Log'!$C:$C,"Roll Change")</f>
        <v>0</v>
      </c>
      <c r="BI11" s="3">
        <f>SUMIFS('Factory Log'!$M:$M,'Factory Log'!$B:$B,Performance!BD$1,'Factory Log'!$J:$J,Performance!BD11,'Factory Log'!$C:$C,"Running")</f>
        <v>0</v>
      </c>
      <c r="BJ11" s="58" cm="1">
        <f t="array" ref="BJ11">IFERROR(INDEX('Factory Log'!$S:$S,MATCH(1,(Performance!BD$1='Factory Log'!$B:$B)*(Performance!BD11='Factory Log'!$A:$A),0)),0)</f>
        <v>0</v>
      </c>
      <c r="BK11" s="3">
        <f>IFERROR(VLOOKUP(BD11,'Factory Log'!$J:$R,9,0),0)</f>
        <v>0</v>
      </c>
      <c r="BL11" s="64">
        <f t="shared" si="10"/>
        <v>0</v>
      </c>
      <c r="BM11" s="58">
        <f t="shared" si="11"/>
        <v>0</v>
      </c>
      <c r="BP11" s="3">
        <f>IFERROR(VLOOKUP(BO11,'Factory Log'!$J:$O,6,0),0)</f>
        <v>0</v>
      </c>
      <c r="BQ11" s="3">
        <f>IFERROR(VLOOKUP(BO11,'Factory Log'!$J:$P,7,0),0)</f>
        <v>0</v>
      </c>
      <c r="BR11" s="3">
        <f>IFERROR(VLOOKUP(BO11,'Factory Log'!$J:$Q,8,0),0)</f>
        <v>0</v>
      </c>
      <c r="BS11" s="58">
        <f>SUMIFS('Factory Log'!$D:$D,'Factory Log'!$B:$B,Performance!BO$1,'Factory Log'!$J:$J,Performance!BO11,'Factory Log'!$C:$C,"Running")+SUMIFS('Factory Log'!$D:$D,'Factory Log'!$B:$B,Performance!BO$1,'Factory Log'!$J:$J,Performance!BO11,'Factory Log'!$C:$C,"Make Ready")+SUMIFS('Factory Log'!$D:$D,'Factory Log'!$B:$B,Performance!BO$1,'Factory Log'!$J:$J,Performance!BO11,'Factory Log'!$C:$C,"Roll Change")</f>
        <v>0</v>
      </c>
      <c r="BT11" s="3">
        <f>SUMIFS('Factory Log'!$M:$M,'Factory Log'!$B:$B,Performance!BO$1,'Factory Log'!$J:$J,Performance!BO11,'Factory Log'!$C:$C,"Running")</f>
        <v>0</v>
      </c>
      <c r="BU11" s="58" cm="1">
        <f t="array" ref="BU11">IFERROR(INDEX('Factory Log'!$S:$S,MATCH(1,(Performance!BO$1='Factory Log'!$B:$B)*(Performance!BO11='Factory Log'!$A:$A),0)),0)</f>
        <v>0</v>
      </c>
      <c r="BV11" s="3">
        <f>IFERROR(VLOOKUP(BO11,'Factory Log'!$J:$R,9,0),0)</f>
        <v>0</v>
      </c>
      <c r="BW11" s="64">
        <f t="shared" si="12"/>
        <v>0</v>
      </c>
      <c r="BX11" s="58">
        <f t="shared" si="13"/>
        <v>0</v>
      </c>
      <c r="CA11" s="3">
        <f>IFERROR(VLOOKUP(BZ11,'Factory Log'!$J:$O,6,0),0)</f>
        <v>0</v>
      </c>
      <c r="CB11" s="3">
        <f>IFERROR(VLOOKUP(BZ11,'Factory Log'!$J:$P,7,0),0)</f>
        <v>0</v>
      </c>
      <c r="CC11" s="3">
        <f>IFERROR(VLOOKUP(BZ11,'Factory Log'!$J:$Q,8,0),0)</f>
        <v>0</v>
      </c>
      <c r="CD11" s="58">
        <f>SUMIFS('Factory Log'!$D:$D,'Factory Log'!$B:$B,Performance!BZ$1,'Factory Log'!$J:$J,Performance!BZ11,'Factory Log'!$C:$C,"Running")+SUMIFS('Factory Log'!$D:$D,'Factory Log'!$B:$B,Performance!BZ$1,'Factory Log'!$J:$J,Performance!BZ11,'Factory Log'!$C:$C,"Make Ready")+SUMIFS('Factory Log'!$D:$D,'Factory Log'!$B:$B,Performance!BZ$1,'Factory Log'!$J:$J,Performance!BZ11,'Factory Log'!$C:$C,"Roll Change")</f>
        <v>0</v>
      </c>
      <c r="CE11" s="3">
        <f>SUMIFS('Factory Log'!$M:$M,'Factory Log'!$B:$B,Performance!BZ$1,'Factory Log'!$J:$J,Performance!BZ11,'Factory Log'!$C:$C,"Running")</f>
        <v>0</v>
      </c>
      <c r="CF11" s="58" cm="1">
        <f t="array" ref="CF11">IFERROR(INDEX('Factory Log'!$S:$S,MATCH(1,(Performance!BZ$1='Factory Log'!$B:$B)*(Performance!BZ11='Factory Log'!$A:$A),0)),0)</f>
        <v>0</v>
      </c>
      <c r="CG11" s="3">
        <f>IFERROR(VLOOKUP(BZ11,'Factory Log'!$J:$R,9,0),0)</f>
        <v>0</v>
      </c>
      <c r="CH11" s="64">
        <f t="shared" si="14"/>
        <v>0</v>
      </c>
      <c r="CI11" s="58">
        <f t="shared" si="15"/>
        <v>0</v>
      </c>
      <c r="CK11" s="3">
        <v>349401.06</v>
      </c>
      <c r="CL11" s="3" t="str">
        <f>IFERROR(VLOOKUP(CK11,'Factory Log'!$J:$O,6,0),0)</f>
        <v>Inspired Thinking Group (ITG) - Whitbread</v>
      </c>
      <c r="CM11" s="3" t="str">
        <f>IFERROR(VLOOKUP(CK11,'Factory Log'!$J:$P,7,0),0)</f>
        <v>Whitbread</v>
      </c>
      <c r="CN11" s="3" t="str">
        <f>IFERROR(VLOOKUP(CK11,'Factory Log'!$J:$Q,8,0),0)</f>
        <v>Banner - Retail</v>
      </c>
      <c r="CO11" s="58">
        <f>SUMIFS('Factory Log'!$D:$D,'Factory Log'!$B:$B,Performance!CK$1,'Factory Log'!$J:$J,Performance!CK11,'Factory Log'!$C:$C,"Running")+SUMIFS('Factory Log'!$D:$D,'Factory Log'!$B:$B,Performance!CK$1,'Factory Log'!$J:$J,Performance!CK11,'Factory Log'!$C:$C,"Make Ready")+SUMIFS('Factory Log'!$D:$D,'Factory Log'!$B:$B,Performance!CK$1,'Factory Log'!$J:$J,Performance!CK11,'Factory Log'!$C:$C,"Roll Change")</f>
        <v>1.6333333332440816</v>
      </c>
      <c r="CP11" s="3">
        <f>SUMIFS('Factory Log'!$M:$M,'Factory Log'!$B:$B,Performance!CK$1,'Factory Log'!$J:$J,Performance!CK11,'Factory Log'!$C:$C,"Running")</f>
        <v>10</v>
      </c>
      <c r="CQ11" s="58" cm="1">
        <f t="array" ref="CQ11">IFERROR(INDEX('Factory Log'!$S:$S,MATCH(1,(Performance!CK$1='Factory Log'!$B:$B)*(Performance!CK11='Factory Log'!$A:$A),0)),0)</f>
        <v>0.52</v>
      </c>
      <c r="CR11" s="3">
        <f>IFERROR(VLOOKUP(CK11,'Factory Log'!$J:$R,9,0),0)</f>
        <v>10</v>
      </c>
      <c r="CS11" s="64">
        <f t="shared" si="16"/>
        <v>1</v>
      </c>
      <c r="CT11" s="58">
        <f t="shared" si="17"/>
        <v>0.52</v>
      </c>
      <c r="CW11" s="3">
        <f>IFERROR(VLOOKUP(CV11,'Factory Log'!$J:$O,6,0),0)</f>
        <v>0</v>
      </c>
      <c r="CX11" s="3">
        <f>IFERROR(VLOOKUP(CV11,'Factory Log'!$J:$P,7,0),0)</f>
        <v>0</v>
      </c>
      <c r="CY11" s="3">
        <f>IFERROR(VLOOKUP(CV11,'Factory Log'!$J:$Q,8,0),0)</f>
        <v>0</v>
      </c>
      <c r="CZ11" s="58">
        <f>SUMIFS('Factory Log'!$D:$D,'Factory Log'!$B:$B,Performance!CV$1,'Factory Log'!$J:$J,Performance!CV11,'Factory Log'!$C:$C,"Running")+SUMIFS('Factory Log'!$D:$D,'Factory Log'!$B:$B,Performance!CV$1,'Factory Log'!$J:$J,Performance!CV11,'Factory Log'!$C:$C,"Make Ready")+SUMIFS('Factory Log'!$D:$D,'Factory Log'!$B:$B,Performance!CV$1,'Factory Log'!$J:$J,Performance!CV11,'Factory Log'!$C:$C,"Roll Change")</f>
        <v>0</v>
      </c>
      <c r="DA11" s="3">
        <f>SUMIFS('Factory Log'!$M:$M,'Factory Log'!$B:$B,Performance!CV$1,'Factory Log'!$J:$J,Performance!CV11,'Factory Log'!$C:$C,"Running")</f>
        <v>0</v>
      </c>
      <c r="DB11" s="58" cm="1">
        <f t="array" ref="DB11">IFERROR(INDEX('Factory Log'!$S:$S,MATCH(1,(Performance!CV$1='Factory Log'!$B:$B)*(Performance!CV11='Factory Log'!$A:$A),0)),0)</f>
        <v>0</v>
      </c>
      <c r="DC11" s="3">
        <f>IFERROR(VLOOKUP(CV11,'Factory Log'!$J:$R,9,0),0)</f>
        <v>0</v>
      </c>
      <c r="DD11" s="64">
        <f t="shared" si="18"/>
        <v>0</v>
      </c>
      <c r="DE11" s="58">
        <f t="shared" si="19"/>
        <v>0</v>
      </c>
      <c r="DH11" s="3">
        <f>IFERROR(VLOOKUP(DG11,'Factory Log'!$J:$O,6,0),0)</f>
        <v>0</v>
      </c>
      <c r="DI11" s="3">
        <f>IFERROR(VLOOKUP(DG11,'Factory Log'!$J:$P,7,0),0)</f>
        <v>0</v>
      </c>
      <c r="DJ11" s="3">
        <f>IFERROR(VLOOKUP(DG11,'Factory Log'!$J:$Q,8,0),0)</f>
        <v>0</v>
      </c>
      <c r="DK11" s="58">
        <f>SUMIFS('Factory Log'!$D:$D,'Factory Log'!$B:$B,Performance!DG$1,'Factory Log'!$J:$J,Performance!DG11,'Factory Log'!$C:$C,"Running")+SUMIFS('Factory Log'!$D:$D,'Factory Log'!$B:$B,Performance!DG$1,'Factory Log'!$J:$J,Performance!DG11,'Factory Log'!$C:$C,"Make Ready")+SUMIFS('Factory Log'!$D:$D,'Factory Log'!$B:$B,Performance!DG$1,'Factory Log'!$J:$J,Performance!DG11,'Factory Log'!$C:$C,"Roll Change")</f>
        <v>0</v>
      </c>
      <c r="DL11" s="3">
        <f>SUMIFS('Factory Log'!$M:$M,'Factory Log'!$B:$B,Performance!DG$1,'Factory Log'!$J:$J,Performance!DG11,'Factory Log'!$C:$C,"Running")</f>
        <v>0</v>
      </c>
      <c r="DM11" s="58" cm="1">
        <f t="array" ref="DM11">IFERROR(INDEX('Factory Log'!$S:$S,MATCH(1,(Performance!DG$1='Factory Log'!$B:$B)*(Performance!DG11='Factory Log'!$A:$A),0)),0)</f>
        <v>0</v>
      </c>
      <c r="DN11" s="3">
        <f>IFERROR(VLOOKUP(DG11,'Factory Log'!$J:$R,9,0),0)</f>
        <v>0</v>
      </c>
      <c r="DO11" s="64">
        <f t="shared" si="20"/>
        <v>0</v>
      </c>
      <c r="DP11" s="58">
        <f t="shared" si="21"/>
        <v>0</v>
      </c>
      <c r="DS11" s="3">
        <f>IFERROR(VLOOKUP(DR11,'Factory Log'!$J:$O,6,0),0)</f>
        <v>0</v>
      </c>
      <c r="DT11" s="3">
        <f>IFERROR(VLOOKUP(DR11,'Factory Log'!$J:$P,7,0),0)</f>
        <v>0</v>
      </c>
      <c r="DU11" s="3">
        <f>IFERROR(VLOOKUP(DR11,'Factory Log'!$J:$Q,8,0),0)</f>
        <v>0</v>
      </c>
      <c r="DV11" s="58">
        <f>SUMIFS('Factory Log'!$D:$D,'Factory Log'!$B:$B,Performance!DR$1,'Factory Log'!$J:$J,Performance!DR11,'Factory Log'!$C:$C,"Running")+SUMIFS('Factory Log'!$D:$D,'Factory Log'!$B:$B,Performance!DR$1,'Factory Log'!$J:$J,Performance!DR11,'Factory Log'!$C:$C,"Make Ready")+SUMIFS('Factory Log'!$D:$D,'Factory Log'!$B:$B,Performance!DR$1,'Factory Log'!$J:$J,Performance!DR11,'Factory Log'!$C:$C,"Roll Change")</f>
        <v>0</v>
      </c>
      <c r="DW11" s="3">
        <f>SUMIFS('Factory Log'!$M:$M,'Factory Log'!$B:$B,Performance!DR$1,'Factory Log'!$J:$J,Performance!DR11,'Factory Log'!$C:$C,"Running")</f>
        <v>0</v>
      </c>
      <c r="DX11" s="58" cm="1">
        <f t="array" ref="DX11">IFERROR(INDEX('Factory Log'!$S:$S,MATCH(1,(Performance!DR$1='Factory Log'!$B:$B)*(Performance!DR11='Factory Log'!$A:$A),0)),0)</f>
        <v>0</v>
      </c>
      <c r="DY11" s="3">
        <f>IFERROR(VLOOKUP(DR11,'Factory Log'!$J:$R,9,0),0)</f>
        <v>0</v>
      </c>
      <c r="DZ11" s="64">
        <f t="shared" si="22"/>
        <v>0</v>
      </c>
      <c r="EA11" s="58">
        <f t="shared" si="23"/>
        <v>0</v>
      </c>
      <c r="ED11" s="3">
        <f>IFERROR(VLOOKUP(EC11,'Factory Log'!$J:$O,6,0),0)</f>
        <v>0</v>
      </c>
      <c r="EE11" s="3">
        <f>IFERROR(VLOOKUP(EC11,'Factory Log'!$J:$P,7,0),0)</f>
        <v>0</v>
      </c>
      <c r="EF11" s="3">
        <f>IFERROR(VLOOKUP(EC11,'Factory Log'!$J:$Q,8,0),0)</f>
        <v>0</v>
      </c>
      <c r="EG11" s="58">
        <f>SUMIFS('Factory Log'!$D:$D,'Factory Log'!$B:$B,Performance!EC$1,'Factory Log'!$J:$J,Performance!EC11,'Factory Log'!$C:$C,"Running")+SUMIFS('Factory Log'!$D:$D,'Factory Log'!$B:$B,Performance!EC$1,'Factory Log'!$J:$J,Performance!EC11,'Factory Log'!$C:$C,"Make Ready")+SUMIFS('Factory Log'!$D:$D,'Factory Log'!$B:$B,Performance!EC$1,'Factory Log'!$J:$J,Performance!EC11,'Factory Log'!$C:$C,"Roll Change")</f>
        <v>0</v>
      </c>
      <c r="EH11" s="3">
        <f>SUMIFS('Factory Log'!$M:$M,'Factory Log'!$B:$B,Performance!EC$1,'Factory Log'!$J:$J,Performance!EC11,'Factory Log'!$C:$C,"Running")</f>
        <v>0</v>
      </c>
      <c r="EI11" s="58" cm="1">
        <f t="array" ref="EI11">IFERROR(INDEX('Factory Log'!$S:$S,MATCH(1,(Performance!EC$1='Factory Log'!$B:$B)*(Performance!EC11='Factory Log'!$A:$A),0)),0)</f>
        <v>0</v>
      </c>
      <c r="EJ11" s="3">
        <f>IFERROR(VLOOKUP(EC11,'Factory Log'!$J:$R,9,0),0)</f>
        <v>0</v>
      </c>
      <c r="EK11" s="64">
        <f t="shared" si="24"/>
        <v>0</v>
      </c>
      <c r="EL11" s="58">
        <f t="shared" si="25"/>
        <v>0</v>
      </c>
      <c r="EO11" s="3">
        <f>IFERROR(VLOOKUP(EN11,'Factory Log'!$J:$O,6,0),0)</f>
        <v>0</v>
      </c>
      <c r="EP11" s="3">
        <f>IFERROR(VLOOKUP(EN11,'Factory Log'!$J:$P,7,0),0)</f>
        <v>0</v>
      </c>
      <c r="EQ11" s="3">
        <f>IFERROR(VLOOKUP(EN11,'Factory Log'!$J:$Q,8,0),0)</f>
        <v>0</v>
      </c>
      <c r="ER11" s="58">
        <f>SUMIFS('Factory Log'!$D:$D,'Factory Log'!$B:$B,Performance!EN$1,'Factory Log'!$J:$J,Performance!EN11,'Factory Log'!$C:$C,"Running")+SUMIFS('Factory Log'!$D:$D,'Factory Log'!$B:$B,Performance!EN$1,'Factory Log'!$J:$J,Performance!EN11,'Factory Log'!$C:$C,"Make Ready")+SUMIFS('Factory Log'!$D:$D,'Factory Log'!$B:$B,Performance!EN$1,'Factory Log'!$J:$J,Performance!EN11,'Factory Log'!$C:$C,"Roll Change")</f>
        <v>0</v>
      </c>
      <c r="ES11" s="3">
        <f>SUMIFS('Factory Log'!$M:$M,'Factory Log'!$B:$B,Performance!EN$1,'Factory Log'!$J:$J,Performance!EN11,'Factory Log'!$C:$C,"Running")</f>
        <v>0</v>
      </c>
      <c r="ET11" s="58" cm="1">
        <f t="array" ref="ET11">IFERROR(INDEX('Factory Log'!$S:$S,MATCH(1,(Performance!EN$1='Factory Log'!$B:$B)*(Performance!EN11='Factory Log'!$A:$A),0)),0)</f>
        <v>0</v>
      </c>
      <c r="EU11" s="3">
        <f>IFERROR(VLOOKUP(EN11,'Factory Log'!$J:$R,9,0),0)</f>
        <v>0</v>
      </c>
      <c r="EV11" s="64">
        <f t="shared" si="26"/>
        <v>0</v>
      </c>
      <c r="EW11" s="58">
        <f t="shared" si="27"/>
        <v>0</v>
      </c>
      <c r="EZ11" s="3">
        <f>IFERROR(VLOOKUP(EY11,'Factory Log'!$J:$O,6,0),0)</f>
        <v>0</v>
      </c>
      <c r="FA11" s="3">
        <f>IFERROR(VLOOKUP(EY11,'Factory Log'!$J:$P,7,0),0)</f>
        <v>0</v>
      </c>
      <c r="FB11" s="3">
        <f>IFERROR(VLOOKUP(EY11,'Factory Log'!$J:$Q,8,0),0)</f>
        <v>0</v>
      </c>
      <c r="FC11" s="58">
        <f>SUMIFS('Factory Log'!$D:$D,'Factory Log'!$B:$B,Performance!EY$1,'Factory Log'!$J:$J,Performance!EY11,'Factory Log'!$C:$C,"Running")+SUMIFS('Factory Log'!$D:$D,'Factory Log'!$B:$B,Performance!EY$1,'Factory Log'!$J:$J,Performance!EY11,'Factory Log'!$C:$C,"Make Ready")+SUMIFS('Factory Log'!$D:$D,'Factory Log'!$B:$B,Performance!EY$1,'Factory Log'!$J:$J,Performance!EY11,'Factory Log'!$C:$C,"Roll Change")</f>
        <v>0</v>
      </c>
      <c r="FD11" s="3">
        <f>SUMIFS('Factory Log'!$M:$M,'Factory Log'!$B:$B,Performance!EY$1,'Factory Log'!$J:$J,Performance!EY11,'Factory Log'!$C:$C,"Running")</f>
        <v>0</v>
      </c>
      <c r="FE11" s="58" cm="1">
        <f t="array" ref="FE11">IFERROR(INDEX('Factory Log'!$S:$S,MATCH(1,(Performance!EY$1='Factory Log'!$B:$B)*(Performance!EY11='Factory Log'!$A:$A),0)),0)</f>
        <v>0</v>
      </c>
      <c r="FF11" s="3">
        <f>IFERROR(VLOOKUP(EY11,'Factory Log'!$J:$R,9,0),0)</f>
        <v>0</v>
      </c>
      <c r="FG11" s="64">
        <f t="shared" si="28"/>
        <v>0</v>
      </c>
      <c r="FH11" s="58">
        <f t="shared" si="29"/>
        <v>0</v>
      </c>
    </row>
    <row r="12" spans="1:164" ht="16" customHeight="1" x14ac:dyDescent="0.2">
      <c r="B12" s="3">
        <f>IFERROR(VLOOKUP(A12,'Factory Log'!$J:$O,6,0),0)</f>
        <v>0</v>
      </c>
      <c r="C12" s="3">
        <f>IFERROR(VLOOKUP(A12,'Factory Log'!$J:$P,7,0),0)</f>
        <v>0</v>
      </c>
      <c r="D12" s="3">
        <f>IFERROR(VLOOKUP(A12,'Factory Log'!$J:$Q,8,0),0)</f>
        <v>0</v>
      </c>
      <c r="E12" s="58">
        <f>SUMIFS('Factory Log'!$D:$D,'Factory Log'!$B:$B,Performance!A$1,'Factory Log'!$J:$J,Performance!A12,'Factory Log'!$C:$C,"Running")+SUMIFS('Factory Log'!$D:$D,'Factory Log'!$B:$B,Performance!A$1,'Factory Log'!$J:$J,Performance!A12,'Factory Log'!$C:$C,"Make Ready")+SUMIFS('Factory Log'!$D:$D,'Factory Log'!$B:$B,Performance!A$1,'Factory Log'!$J:$J,Performance!A12,'Factory Log'!$C:$C,"Roll Change")</f>
        <v>0</v>
      </c>
      <c r="F12" s="3">
        <f>SUMIFS('Factory Log'!$M:$M,'Factory Log'!$B:$B,Performance!A$1,'Factory Log'!$J:$J,Performance!A12,'Factory Log'!$C:$C,"Running")</f>
        <v>0</v>
      </c>
      <c r="G12" s="58" cm="1">
        <f t="array" ref="G12">IFERROR(INDEX('Factory Log'!$S:$S,MATCH(1,(Performance!A$1='Factory Log'!$B:$B)*(Performance!A12='Factory Log'!$A:$A),0)),0)</f>
        <v>0</v>
      </c>
      <c r="H12" s="3">
        <f>IFERROR(VLOOKUP(A12,'Factory Log'!$J:$R,9,0),0)</f>
        <v>0</v>
      </c>
      <c r="I12" s="64">
        <f t="shared" si="1"/>
        <v>0</v>
      </c>
      <c r="J12" s="58">
        <f t="shared" si="0"/>
        <v>0</v>
      </c>
      <c r="M12" s="3">
        <f>IFERROR(VLOOKUP(L12,'Factory Log'!$J:$O,6,0),0)</f>
        <v>0</v>
      </c>
      <c r="N12" s="3">
        <f>IFERROR(VLOOKUP(L12,'Factory Log'!$J:$P,7,0),0)</f>
        <v>0</v>
      </c>
      <c r="O12" s="3">
        <f>IFERROR(VLOOKUP(L12,'Factory Log'!$J:$Q,8,0),0)</f>
        <v>0</v>
      </c>
      <c r="P12" s="58">
        <f>SUMIFS('Factory Log'!$D:$D,'Factory Log'!$B:$B,Performance!L$1,'Factory Log'!$J:$J,Performance!L12,'Factory Log'!$C:$C,"Running")+SUMIFS('Factory Log'!$D:$D,'Factory Log'!$B:$B,Performance!L$1,'Factory Log'!$J:$J,Performance!L12,'Factory Log'!$C:$C,"Make Ready")+SUMIFS('Factory Log'!$D:$D,'Factory Log'!$B:$B,Performance!L$1,'Factory Log'!$J:$J,Performance!L12,'Factory Log'!$C:$C,"Roll Change")</f>
        <v>0</v>
      </c>
      <c r="Q12" s="3">
        <f>SUMIFS('Factory Log'!$M:$M,'Factory Log'!$B:$B,Performance!L$1,'Factory Log'!$J:$J,Performance!L12,'Factory Log'!$C:$C,"Running")</f>
        <v>0</v>
      </c>
      <c r="R12" s="58" cm="1">
        <f t="array" ref="R12">IFERROR(INDEX('Factory Log'!$S:$S,MATCH(1,(Performance!L$1='Factory Log'!$B:$B)*(Performance!L12='Factory Log'!$A:$A),0)),0)</f>
        <v>0</v>
      </c>
      <c r="S12" s="3">
        <f>IFERROR(VLOOKUP(L12,'Factory Log'!$J:$R,9,0),0)</f>
        <v>0</v>
      </c>
      <c r="T12" s="64">
        <f t="shared" si="2"/>
        <v>0</v>
      </c>
      <c r="U12" s="58">
        <f t="shared" si="3"/>
        <v>0</v>
      </c>
      <c r="X12" s="3">
        <f>IFERROR(VLOOKUP(W12,'Factory Log'!$J:$O,6,0),0)</f>
        <v>0</v>
      </c>
      <c r="Y12" s="3">
        <f>IFERROR(VLOOKUP(W12,'Factory Log'!$J:$P,7,0),0)</f>
        <v>0</v>
      </c>
      <c r="Z12" s="3">
        <f>IFERROR(VLOOKUP(W12,'Factory Log'!$J:$Q,8,0),0)</f>
        <v>0</v>
      </c>
      <c r="AA12" s="58">
        <f>SUMIFS('Factory Log'!$D:$D,'Factory Log'!$B:$B,Performance!W$1,'Factory Log'!$J:$J,Performance!W12,'Factory Log'!$C:$C,"Running")+SUMIFS('Factory Log'!$D:$D,'Factory Log'!$B:$B,Performance!W$1,'Factory Log'!$J:$J,Performance!W12,'Factory Log'!$C:$C,"Make Ready")+SUMIFS('Factory Log'!$D:$D,'Factory Log'!$B:$B,Performance!W$1,'Factory Log'!$J:$J,Performance!W12,'Factory Log'!$C:$C,"Roll Change")</f>
        <v>0</v>
      </c>
      <c r="AB12" s="3">
        <f>SUMIFS('Factory Log'!$M:$M,'Factory Log'!$B:$B,Performance!W$1,'Factory Log'!$J:$J,Performance!W12,'Factory Log'!$C:$C,"Running")</f>
        <v>0</v>
      </c>
      <c r="AC12" s="58" cm="1">
        <f t="array" ref="AC12">IFERROR(INDEX('Factory Log'!$S:$S,MATCH(1,(Performance!W$1='Factory Log'!$B:$B)*(Performance!W12='Factory Log'!$A:$A),0)),0)</f>
        <v>0</v>
      </c>
      <c r="AD12" s="3">
        <f>IFERROR(VLOOKUP(W12,'Factory Log'!$J:$R,9,0),0)</f>
        <v>0</v>
      </c>
      <c r="AE12" s="64">
        <f t="shared" si="4"/>
        <v>0</v>
      </c>
      <c r="AF12" s="58">
        <f t="shared" si="5"/>
        <v>0</v>
      </c>
      <c r="AI12" s="3">
        <f>IFERROR(VLOOKUP(AH12,'Factory Log'!$J:$O,6,0),0)</f>
        <v>0</v>
      </c>
      <c r="AJ12" s="3">
        <f>IFERROR(VLOOKUP(AH12,'Factory Log'!$J:$P,7,0),0)</f>
        <v>0</v>
      </c>
      <c r="AK12" s="3">
        <f>IFERROR(VLOOKUP(AH12,'Factory Log'!$J:$Q,8,0),0)</f>
        <v>0</v>
      </c>
      <c r="AL12" s="58">
        <f>SUMIFS('Factory Log'!$D:$D,'Factory Log'!$B:$B,Performance!AH$1,'Factory Log'!$J:$J,Performance!AH12,'Factory Log'!$C:$C,"Running")+SUMIFS('Factory Log'!$D:$D,'Factory Log'!$B:$B,Performance!AH$1,'Factory Log'!$J:$J,Performance!AH12,'Factory Log'!$C:$C,"Make Ready")+SUMIFS('Factory Log'!$D:$D,'Factory Log'!$B:$B,Performance!AH$1,'Factory Log'!$J:$J,Performance!AH12,'Factory Log'!$C:$C,"Roll Change")</f>
        <v>0</v>
      </c>
      <c r="AM12" s="3">
        <f>SUMIFS('Factory Log'!$M:$M,'Factory Log'!$B:$B,Performance!AH$1,'Factory Log'!$J:$J,Performance!AH12,'Factory Log'!$C:$C,"Running")</f>
        <v>0</v>
      </c>
      <c r="AN12" s="58" cm="1">
        <f t="array" ref="AN12">IFERROR(INDEX('Factory Log'!$S:$S,MATCH(1,(Performance!AH$1='Factory Log'!$B:$B)*(Performance!AH12='Factory Log'!$A:$A),0)),0)</f>
        <v>0</v>
      </c>
      <c r="AO12" s="3">
        <f>IFERROR(VLOOKUP(AH12,'Factory Log'!$J:$R,9,0),0)</f>
        <v>0</v>
      </c>
      <c r="AP12" s="64">
        <f t="shared" si="6"/>
        <v>0</v>
      </c>
      <c r="AQ12" s="58">
        <f t="shared" si="7"/>
        <v>0</v>
      </c>
      <c r="AT12" s="3">
        <f>IFERROR(VLOOKUP(AS12,'Factory Log'!$J:$O,6,0),0)</f>
        <v>0</v>
      </c>
      <c r="AU12" s="3">
        <f>IFERROR(VLOOKUP(AS12,'Factory Log'!$J:$P,7,0),0)</f>
        <v>0</v>
      </c>
      <c r="AV12" s="3">
        <f>IFERROR(VLOOKUP(AS12,'Factory Log'!$J:$Q,8,0),0)</f>
        <v>0</v>
      </c>
      <c r="AW12" s="58">
        <f>SUMIFS('Factory Log'!$D:$D,'Factory Log'!$B:$B,Performance!AS$1,'Factory Log'!$J:$J,Performance!AS12,'Factory Log'!$C:$C,"Running")+SUMIFS('Factory Log'!$D:$D,'Factory Log'!$B:$B,Performance!AS$1,'Factory Log'!$J:$J,Performance!AS12,'Factory Log'!$C:$C,"Make Ready")+SUMIFS('Factory Log'!$D:$D,'Factory Log'!$B:$B,Performance!AS$1,'Factory Log'!$J:$J,Performance!AS12,'Factory Log'!$C:$C,"Roll Change")</f>
        <v>0</v>
      </c>
      <c r="AX12" s="3">
        <f>SUMIFS('Factory Log'!$M:$M,'Factory Log'!$B:$B,Performance!AS$1,'Factory Log'!$J:$J,Performance!AS12,'Factory Log'!$C:$C,"Running")</f>
        <v>0</v>
      </c>
      <c r="AY12" s="58" cm="1">
        <f t="array" ref="AY12">IFERROR(INDEX('Factory Log'!$S:$S,MATCH(1,(Performance!AS$1='Factory Log'!$B:$B)*(Performance!AS12='Factory Log'!$A:$A),0)),0)</f>
        <v>0</v>
      </c>
      <c r="AZ12" s="3">
        <f>IFERROR(VLOOKUP(AS12,'Factory Log'!$J:$R,9,0),0)</f>
        <v>0</v>
      </c>
      <c r="BA12" s="64">
        <f t="shared" si="8"/>
        <v>0</v>
      </c>
      <c r="BB12" s="58">
        <f t="shared" si="9"/>
        <v>0</v>
      </c>
      <c r="BE12" s="3">
        <f>IFERROR(VLOOKUP(BD12,'Factory Log'!$J:$O,6,0),0)</f>
        <v>0</v>
      </c>
      <c r="BF12" s="3">
        <f>IFERROR(VLOOKUP(BD12,'Factory Log'!$J:$P,7,0),0)</f>
        <v>0</v>
      </c>
      <c r="BG12" s="3">
        <f>IFERROR(VLOOKUP(BD12,'Factory Log'!$J:$Q,8,0),0)</f>
        <v>0</v>
      </c>
      <c r="BH12" s="58">
        <f>SUMIFS('Factory Log'!$D:$D,'Factory Log'!$B:$B,Performance!BD$1,'Factory Log'!$J:$J,Performance!BD12,'Factory Log'!$C:$C,"Running")+SUMIFS('Factory Log'!$D:$D,'Factory Log'!$B:$B,Performance!BD$1,'Factory Log'!$J:$J,Performance!BD12,'Factory Log'!$C:$C,"Make Ready")+SUMIFS('Factory Log'!$D:$D,'Factory Log'!$B:$B,Performance!BD$1,'Factory Log'!$J:$J,Performance!BD12,'Factory Log'!$C:$C,"Roll Change")</f>
        <v>0</v>
      </c>
      <c r="BI12" s="3">
        <f>SUMIFS('Factory Log'!$M:$M,'Factory Log'!$B:$B,Performance!BD$1,'Factory Log'!$J:$J,Performance!BD12,'Factory Log'!$C:$C,"Running")</f>
        <v>0</v>
      </c>
      <c r="BJ12" s="58" cm="1">
        <f t="array" ref="BJ12">IFERROR(INDEX('Factory Log'!$S:$S,MATCH(1,(Performance!BD$1='Factory Log'!$B:$B)*(Performance!BD12='Factory Log'!$A:$A),0)),0)</f>
        <v>0</v>
      </c>
      <c r="BK12" s="3">
        <f>IFERROR(VLOOKUP(BD12,'Factory Log'!$J:$R,9,0),0)</f>
        <v>0</v>
      </c>
      <c r="BL12" s="64">
        <f t="shared" si="10"/>
        <v>0</v>
      </c>
      <c r="BM12" s="58">
        <f t="shared" si="11"/>
        <v>0</v>
      </c>
      <c r="BP12" s="3">
        <f>IFERROR(VLOOKUP(BO12,'Factory Log'!$J:$O,6,0),0)</f>
        <v>0</v>
      </c>
      <c r="BQ12" s="3">
        <f>IFERROR(VLOOKUP(BO12,'Factory Log'!$J:$P,7,0),0)</f>
        <v>0</v>
      </c>
      <c r="BR12" s="3">
        <f>IFERROR(VLOOKUP(BO12,'Factory Log'!$J:$Q,8,0),0)</f>
        <v>0</v>
      </c>
      <c r="BS12" s="58">
        <f>SUMIFS('Factory Log'!$D:$D,'Factory Log'!$B:$B,Performance!BO$1,'Factory Log'!$J:$J,Performance!BO12,'Factory Log'!$C:$C,"Running")+SUMIFS('Factory Log'!$D:$D,'Factory Log'!$B:$B,Performance!BO$1,'Factory Log'!$J:$J,Performance!BO12,'Factory Log'!$C:$C,"Make Ready")+SUMIFS('Factory Log'!$D:$D,'Factory Log'!$B:$B,Performance!BO$1,'Factory Log'!$J:$J,Performance!BO12,'Factory Log'!$C:$C,"Roll Change")</f>
        <v>0</v>
      </c>
      <c r="BT12" s="3">
        <f>SUMIFS('Factory Log'!$M:$M,'Factory Log'!$B:$B,Performance!BO$1,'Factory Log'!$J:$J,Performance!BO12,'Factory Log'!$C:$C,"Running")</f>
        <v>0</v>
      </c>
      <c r="BU12" s="58" cm="1">
        <f t="array" ref="BU12">IFERROR(INDEX('Factory Log'!$S:$S,MATCH(1,(Performance!BO$1='Factory Log'!$B:$B)*(Performance!BO12='Factory Log'!$A:$A),0)),0)</f>
        <v>0</v>
      </c>
      <c r="BV12" s="3">
        <f>IFERROR(VLOOKUP(BO12,'Factory Log'!$J:$R,9,0),0)</f>
        <v>0</v>
      </c>
      <c r="BW12" s="64">
        <f t="shared" si="12"/>
        <v>0</v>
      </c>
      <c r="BX12" s="58">
        <f t="shared" si="13"/>
        <v>0</v>
      </c>
      <c r="CA12" s="3">
        <f>IFERROR(VLOOKUP(BZ12,'Factory Log'!$J:$O,6,0),0)</f>
        <v>0</v>
      </c>
      <c r="CB12" s="3">
        <f>IFERROR(VLOOKUP(BZ12,'Factory Log'!$J:$P,7,0),0)</f>
        <v>0</v>
      </c>
      <c r="CC12" s="3">
        <f>IFERROR(VLOOKUP(BZ12,'Factory Log'!$J:$Q,8,0),0)</f>
        <v>0</v>
      </c>
      <c r="CD12" s="58">
        <f>SUMIFS('Factory Log'!$D:$D,'Factory Log'!$B:$B,Performance!BZ$1,'Factory Log'!$J:$J,Performance!BZ12,'Factory Log'!$C:$C,"Running")+SUMIFS('Factory Log'!$D:$D,'Factory Log'!$B:$B,Performance!BZ$1,'Factory Log'!$J:$J,Performance!BZ12,'Factory Log'!$C:$C,"Make Ready")+SUMIFS('Factory Log'!$D:$D,'Factory Log'!$B:$B,Performance!BZ$1,'Factory Log'!$J:$J,Performance!BZ12,'Factory Log'!$C:$C,"Roll Change")</f>
        <v>0</v>
      </c>
      <c r="CE12" s="3">
        <f>SUMIFS('Factory Log'!$M:$M,'Factory Log'!$B:$B,Performance!BZ$1,'Factory Log'!$J:$J,Performance!BZ12,'Factory Log'!$C:$C,"Running")</f>
        <v>0</v>
      </c>
      <c r="CF12" s="58" cm="1">
        <f t="array" ref="CF12">IFERROR(INDEX('Factory Log'!$S:$S,MATCH(1,(Performance!BZ$1='Factory Log'!$B:$B)*(Performance!BZ12='Factory Log'!$A:$A),0)),0)</f>
        <v>0</v>
      </c>
      <c r="CG12" s="3">
        <f>IFERROR(VLOOKUP(BZ12,'Factory Log'!$J:$R,9,0),0)</f>
        <v>0</v>
      </c>
      <c r="CH12" s="64">
        <f t="shared" si="14"/>
        <v>0</v>
      </c>
      <c r="CI12" s="58">
        <f t="shared" si="15"/>
        <v>0</v>
      </c>
      <c r="CL12" s="3">
        <f>IFERROR(VLOOKUP(CK12,'Factory Log'!$J:$O,6,0),0)</f>
        <v>0</v>
      </c>
      <c r="CM12" s="3">
        <f>IFERROR(VLOOKUP(CK12,'Factory Log'!$J:$P,7,0),0)</f>
        <v>0</v>
      </c>
      <c r="CN12" s="3">
        <f>IFERROR(VLOOKUP(CK12,'Factory Log'!$J:$Q,8,0),0)</f>
        <v>0</v>
      </c>
      <c r="CO12" s="58">
        <f>SUMIFS('Factory Log'!$D:$D,'Factory Log'!$B:$B,Performance!CK$1,'Factory Log'!$J:$J,Performance!CK12,'Factory Log'!$C:$C,"Running")+SUMIFS('Factory Log'!$D:$D,'Factory Log'!$B:$B,Performance!CK$1,'Factory Log'!$J:$J,Performance!CK12,'Factory Log'!$C:$C,"Make Ready")+SUMIFS('Factory Log'!$D:$D,'Factory Log'!$B:$B,Performance!CK$1,'Factory Log'!$J:$J,Performance!CK12,'Factory Log'!$C:$C,"Roll Change")</f>
        <v>0</v>
      </c>
      <c r="CP12" s="3">
        <f>SUMIFS('Factory Log'!$M:$M,'Factory Log'!$B:$B,Performance!CK$1,'Factory Log'!$J:$J,Performance!CK12,'Factory Log'!$C:$C,"Running")</f>
        <v>0</v>
      </c>
      <c r="CQ12" s="58" cm="1">
        <f t="array" ref="CQ12">IFERROR(INDEX('Factory Log'!$S:$S,MATCH(1,(Performance!CK$1='Factory Log'!$B:$B)*(Performance!CK12='Factory Log'!$A:$A),0)),0)</f>
        <v>0</v>
      </c>
      <c r="CR12" s="3">
        <f>IFERROR(VLOOKUP(CK12,'Factory Log'!$J:$R,9,0),0)</f>
        <v>0</v>
      </c>
      <c r="CS12" s="64">
        <f t="shared" si="16"/>
        <v>0</v>
      </c>
      <c r="CT12" s="58">
        <f t="shared" si="17"/>
        <v>0</v>
      </c>
      <c r="CW12" s="3">
        <f>IFERROR(VLOOKUP(CV12,'Factory Log'!$J:$O,6,0),0)</f>
        <v>0</v>
      </c>
      <c r="CX12" s="3">
        <f>IFERROR(VLOOKUP(CV12,'Factory Log'!$J:$P,7,0),0)</f>
        <v>0</v>
      </c>
      <c r="CY12" s="3">
        <f>IFERROR(VLOOKUP(CV12,'Factory Log'!$J:$Q,8,0),0)</f>
        <v>0</v>
      </c>
      <c r="CZ12" s="58">
        <f>SUMIFS('Factory Log'!$D:$D,'Factory Log'!$B:$B,Performance!CV$1,'Factory Log'!$J:$J,Performance!CV12,'Factory Log'!$C:$C,"Running")+SUMIFS('Factory Log'!$D:$D,'Factory Log'!$B:$B,Performance!CV$1,'Factory Log'!$J:$J,Performance!CV12,'Factory Log'!$C:$C,"Make Ready")+SUMIFS('Factory Log'!$D:$D,'Factory Log'!$B:$B,Performance!CV$1,'Factory Log'!$J:$J,Performance!CV12,'Factory Log'!$C:$C,"Roll Change")</f>
        <v>0</v>
      </c>
      <c r="DA12" s="3">
        <f>SUMIFS('Factory Log'!$M:$M,'Factory Log'!$B:$B,Performance!CV$1,'Factory Log'!$J:$J,Performance!CV12,'Factory Log'!$C:$C,"Running")</f>
        <v>0</v>
      </c>
      <c r="DB12" s="58" cm="1">
        <f t="array" ref="DB12">IFERROR(INDEX('Factory Log'!$S:$S,MATCH(1,(Performance!CV$1='Factory Log'!$B:$B)*(Performance!CV12='Factory Log'!$A:$A),0)),0)</f>
        <v>0</v>
      </c>
      <c r="DC12" s="3">
        <f>IFERROR(VLOOKUP(CV12,'Factory Log'!$J:$R,9,0),0)</f>
        <v>0</v>
      </c>
      <c r="DD12" s="64">
        <f t="shared" si="18"/>
        <v>0</v>
      </c>
      <c r="DE12" s="58">
        <f t="shared" si="19"/>
        <v>0</v>
      </c>
      <c r="DH12" s="3">
        <f>IFERROR(VLOOKUP(DG12,'Factory Log'!$J:$O,6,0),0)</f>
        <v>0</v>
      </c>
      <c r="DI12" s="3">
        <f>IFERROR(VLOOKUP(DG12,'Factory Log'!$J:$P,7,0),0)</f>
        <v>0</v>
      </c>
      <c r="DJ12" s="3">
        <f>IFERROR(VLOOKUP(DG12,'Factory Log'!$J:$Q,8,0),0)</f>
        <v>0</v>
      </c>
      <c r="DK12" s="58">
        <f>SUMIFS('Factory Log'!$D:$D,'Factory Log'!$B:$B,Performance!DG$1,'Factory Log'!$J:$J,Performance!DG12,'Factory Log'!$C:$C,"Running")+SUMIFS('Factory Log'!$D:$D,'Factory Log'!$B:$B,Performance!DG$1,'Factory Log'!$J:$J,Performance!DG12,'Factory Log'!$C:$C,"Make Ready")+SUMIFS('Factory Log'!$D:$D,'Factory Log'!$B:$B,Performance!DG$1,'Factory Log'!$J:$J,Performance!DG12,'Factory Log'!$C:$C,"Roll Change")</f>
        <v>0</v>
      </c>
      <c r="DL12" s="3">
        <f>SUMIFS('Factory Log'!$M:$M,'Factory Log'!$B:$B,Performance!DG$1,'Factory Log'!$J:$J,Performance!DG12,'Factory Log'!$C:$C,"Running")</f>
        <v>0</v>
      </c>
      <c r="DM12" s="58" cm="1">
        <f t="array" ref="DM12">IFERROR(INDEX('Factory Log'!$S:$S,MATCH(1,(Performance!DG$1='Factory Log'!$B:$B)*(Performance!DG12='Factory Log'!$A:$A),0)),0)</f>
        <v>0</v>
      </c>
      <c r="DN12" s="3">
        <f>IFERROR(VLOOKUP(DG12,'Factory Log'!$J:$R,9,0),0)</f>
        <v>0</v>
      </c>
      <c r="DO12" s="64">
        <f t="shared" si="20"/>
        <v>0</v>
      </c>
      <c r="DP12" s="58">
        <f t="shared" si="21"/>
        <v>0</v>
      </c>
      <c r="DS12" s="3">
        <f>IFERROR(VLOOKUP(DR12,'Factory Log'!$J:$O,6,0),0)</f>
        <v>0</v>
      </c>
      <c r="DT12" s="3">
        <f>IFERROR(VLOOKUP(DR12,'Factory Log'!$J:$P,7,0),0)</f>
        <v>0</v>
      </c>
      <c r="DU12" s="3">
        <f>IFERROR(VLOOKUP(DR12,'Factory Log'!$J:$Q,8,0),0)</f>
        <v>0</v>
      </c>
      <c r="DV12" s="58">
        <f>SUMIFS('Factory Log'!$D:$D,'Factory Log'!$B:$B,Performance!DR$1,'Factory Log'!$J:$J,Performance!DR12,'Factory Log'!$C:$C,"Running")+SUMIFS('Factory Log'!$D:$D,'Factory Log'!$B:$B,Performance!DR$1,'Factory Log'!$J:$J,Performance!DR12,'Factory Log'!$C:$C,"Make Ready")+SUMIFS('Factory Log'!$D:$D,'Factory Log'!$B:$B,Performance!DR$1,'Factory Log'!$J:$J,Performance!DR12,'Factory Log'!$C:$C,"Roll Change")</f>
        <v>0</v>
      </c>
      <c r="DW12" s="3">
        <f>SUMIFS('Factory Log'!$M:$M,'Factory Log'!$B:$B,Performance!DR$1,'Factory Log'!$J:$J,Performance!DR12,'Factory Log'!$C:$C,"Running")</f>
        <v>0</v>
      </c>
      <c r="DX12" s="58" cm="1">
        <f t="array" ref="DX12">IFERROR(INDEX('Factory Log'!$S:$S,MATCH(1,(Performance!DR$1='Factory Log'!$B:$B)*(Performance!DR12='Factory Log'!$A:$A),0)),0)</f>
        <v>0</v>
      </c>
      <c r="DY12" s="3">
        <f>IFERROR(VLOOKUP(DR12,'Factory Log'!$J:$R,9,0),0)</f>
        <v>0</v>
      </c>
      <c r="DZ12" s="64">
        <f t="shared" si="22"/>
        <v>0</v>
      </c>
      <c r="EA12" s="58">
        <f t="shared" si="23"/>
        <v>0</v>
      </c>
      <c r="ED12" s="3">
        <f>IFERROR(VLOOKUP(EC12,'Factory Log'!$J:$O,6,0),0)</f>
        <v>0</v>
      </c>
      <c r="EE12" s="3">
        <f>IFERROR(VLOOKUP(EC12,'Factory Log'!$J:$P,7,0),0)</f>
        <v>0</v>
      </c>
      <c r="EF12" s="3">
        <f>IFERROR(VLOOKUP(EC12,'Factory Log'!$J:$Q,8,0),0)</f>
        <v>0</v>
      </c>
      <c r="EG12" s="58">
        <f>SUMIFS('Factory Log'!$D:$D,'Factory Log'!$B:$B,Performance!EC$1,'Factory Log'!$J:$J,Performance!EC12,'Factory Log'!$C:$C,"Running")+SUMIFS('Factory Log'!$D:$D,'Factory Log'!$B:$B,Performance!EC$1,'Factory Log'!$J:$J,Performance!EC12,'Factory Log'!$C:$C,"Make Ready")+SUMIFS('Factory Log'!$D:$D,'Factory Log'!$B:$B,Performance!EC$1,'Factory Log'!$J:$J,Performance!EC12,'Factory Log'!$C:$C,"Roll Change")</f>
        <v>0</v>
      </c>
      <c r="EH12" s="3">
        <f>SUMIFS('Factory Log'!$M:$M,'Factory Log'!$B:$B,Performance!EC$1,'Factory Log'!$J:$J,Performance!EC12,'Factory Log'!$C:$C,"Running")</f>
        <v>0</v>
      </c>
      <c r="EI12" s="58" cm="1">
        <f t="array" ref="EI12">IFERROR(INDEX('Factory Log'!$S:$S,MATCH(1,(Performance!EC$1='Factory Log'!$B:$B)*(Performance!EC12='Factory Log'!$A:$A),0)),0)</f>
        <v>0</v>
      </c>
      <c r="EJ12" s="3">
        <f>IFERROR(VLOOKUP(EC12,'Factory Log'!$J:$R,9,0),0)</f>
        <v>0</v>
      </c>
      <c r="EK12" s="64">
        <f t="shared" si="24"/>
        <v>0</v>
      </c>
      <c r="EL12" s="58">
        <f t="shared" si="25"/>
        <v>0</v>
      </c>
      <c r="EO12" s="3">
        <f>IFERROR(VLOOKUP(EN12,'Factory Log'!$J:$O,6,0),0)</f>
        <v>0</v>
      </c>
      <c r="EP12" s="3">
        <f>IFERROR(VLOOKUP(EN12,'Factory Log'!$J:$P,7,0),0)</f>
        <v>0</v>
      </c>
      <c r="EQ12" s="3">
        <f>IFERROR(VLOOKUP(EN12,'Factory Log'!$J:$Q,8,0),0)</f>
        <v>0</v>
      </c>
      <c r="ER12" s="58">
        <f>SUMIFS('Factory Log'!$D:$D,'Factory Log'!$B:$B,Performance!EN$1,'Factory Log'!$J:$J,Performance!EN12,'Factory Log'!$C:$C,"Running")+SUMIFS('Factory Log'!$D:$D,'Factory Log'!$B:$B,Performance!EN$1,'Factory Log'!$J:$J,Performance!EN12,'Factory Log'!$C:$C,"Make Ready")+SUMIFS('Factory Log'!$D:$D,'Factory Log'!$B:$B,Performance!EN$1,'Factory Log'!$J:$J,Performance!EN12,'Factory Log'!$C:$C,"Roll Change")</f>
        <v>0</v>
      </c>
      <c r="ES12" s="3">
        <f>SUMIFS('Factory Log'!$M:$M,'Factory Log'!$B:$B,Performance!EN$1,'Factory Log'!$J:$J,Performance!EN12,'Factory Log'!$C:$C,"Running")</f>
        <v>0</v>
      </c>
      <c r="ET12" s="58" cm="1">
        <f t="array" ref="ET12">IFERROR(INDEX('Factory Log'!$S:$S,MATCH(1,(Performance!EN$1='Factory Log'!$B:$B)*(Performance!EN12='Factory Log'!$A:$A),0)),0)</f>
        <v>0</v>
      </c>
      <c r="EU12" s="3">
        <f>IFERROR(VLOOKUP(EN12,'Factory Log'!$J:$R,9,0),0)</f>
        <v>0</v>
      </c>
      <c r="EV12" s="64">
        <f t="shared" si="26"/>
        <v>0</v>
      </c>
      <c r="EW12" s="58">
        <f t="shared" si="27"/>
        <v>0</v>
      </c>
      <c r="EZ12" s="3">
        <f>IFERROR(VLOOKUP(EY12,'Factory Log'!$J:$O,6,0),0)</f>
        <v>0</v>
      </c>
      <c r="FA12" s="3">
        <f>IFERROR(VLOOKUP(EY12,'Factory Log'!$J:$P,7,0),0)</f>
        <v>0</v>
      </c>
      <c r="FB12" s="3">
        <f>IFERROR(VLOOKUP(EY12,'Factory Log'!$J:$Q,8,0),0)</f>
        <v>0</v>
      </c>
      <c r="FC12" s="58">
        <f>SUMIFS('Factory Log'!$D:$D,'Factory Log'!$B:$B,Performance!EY$1,'Factory Log'!$J:$J,Performance!EY12,'Factory Log'!$C:$C,"Running")+SUMIFS('Factory Log'!$D:$D,'Factory Log'!$B:$B,Performance!EY$1,'Factory Log'!$J:$J,Performance!EY12,'Factory Log'!$C:$C,"Make Ready")+SUMIFS('Factory Log'!$D:$D,'Factory Log'!$B:$B,Performance!EY$1,'Factory Log'!$J:$J,Performance!EY12,'Factory Log'!$C:$C,"Roll Change")</f>
        <v>0</v>
      </c>
      <c r="FD12" s="3">
        <f>SUMIFS('Factory Log'!$M:$M,'Factory Log'!$B:$B,Performance!EY$1,'Factory Log'!$J:$J,Performance!EY12,'Factory Log'!$C:$C,"Running")</f>
        <v>0</v>
      </c>
      <c r="FE12" s="58" cm="1">
        <f t="array" ref="FE12">IFERROR(INDEX('Factory Log'!$S:$S,MATCH(1,(Performance!EY$1='Factory Log'!$B:$B)*(Performance!EY12='Factory Log'!$A:$A),0)),0)</f>
        <v>0</v>
      </c>
      <c r="FF12" s="3">
        <f>IFERROR(VLOOKUP(EY12,'Factory Log'!$J:$R,9,0),0)</f>
        <v>0</v>
      </c>
      <c r="FG12" s="64">
        <f t="shared" si="28"/>
        <v>0</v>
      </c>
      <c r="FH12" s="58">
        <f t="shared" si="29"/>
        <v>0</v>
      </c>
    </row>
    <row r="13" spans="1:164" ht="16" customHeight="1" x14ac:dyDescent="0.2">
      <c r="B13" s="3">
        <f>IFERROR(VLOOKUP(A13,'Factory Log'!$J:$O,6,0),0)</f>
        <v>0</v>
      </c>
      <c r="C13" s="3">
        <f>IFERROR(VLOOKUP(A13,'Factory Log'!$J:$P,7,0),0)</f>
        <v>0</v>
      </c>
      <c r="D13" s="3">
        <f>IFERROR(VLOOKUP(A13,'Factory Log'!$J:$Q,8,0),0)</f>
        <v>0</v>
      </c>
      <c r="E13" s="58">
        <f>SUMIFS('Factory Log'!$D:$D,'Factory Log'!$B:$B,Performance!A$1,'Factory Log'!$J:$J,Performance!A13,'Factory Log'!$C:$C,"Running")+SUMIFS('Factory Log'!$D:$D,'Factory Log'!$B:$B,Performance!A$1,'Factory Log'!$J:$J,Performance!A13,'Factory Log'!$C:$C,"Make Ready")+SUMIFS('Factory Log'!$D:$D,'Factory Log'!$B:$B,Performance!A$1,'Factory Log'!$J:$J,Performance!A13,'Factory Log'!$C:$C,"Roll Change")</f>
        <v>0</v>
      </c>
      <c r="F13" s="3">
        <f>SUMIFS('Factory Log'!$M:$M,'Factory Log'!$B:$B,Performance!A$1,'Factory Log'!$J:$J,Performance!A13,'Factory Log'!$C:$C,"Running")</f>
        <v>0</v>
      </c>
      <c r="G13" s="58" cm="1">
        <f t="array" ref="G13">IFERROR(INDEX('Factory Log'!$S:$S,MATCH(1,(Performance!A$1='Factory Log'!$B:$B)*(Performance!A13='Factory Log'!$A:$A),0)),0)</f>
        <v>0</v>
      </c>
      <c r="H13" s="3">
        <f>IFERROR(VLOOKUP(A13,'Factory Log'!$J:$R,9,0),0)</f>
        <v>0</v>
      </c>
      <c r="I13" s="64">
        <f t="shared" si="1"/>
        <v>0</v>
      </c>
      <c r="J13" s="58">
        <f t="shared" si="0"/>
        <v>0</v>
      </c>
      <c r="M13" s="3">
        <f>IFERROR(VLOOKUP(L13,'Factory Log'!$J:$O,6,0),0)</f>
        <v>0</v>
      </c>
      <c r="N13" s="3">
        <f>IFERROR(VLOOKUP(L13,'Factory Log'!$J:$P,7,0),0)</f>
        <v>0</v>
      </c>
      <c r="O13" s="3">
        <f>IFERROR(VLOOKUP(L13,'Factory Log'!$J:$Q,8,0),0)</f>
        <v>0</v>
      </c>
      <c r="P13" s="58">
        <f>SUMIFS('Factory Log'!$D:$D,'Factory Log'!$B:$B,Performance!L$1,'Factory Log'!$J:$J,Performance!L13,'Factory Log'!$C:$C,"Running")+SUMIFS('Factory Log'!$D:$D,'Factory Log'!$B:$B,Performance!L$1,'Factory Log'!$J:$J,Performance!L13,'Factory Log'!$C:$C,"Make Ready")+SUMIFS('Factory Log'!$D:$D,'Factory Log'!$B:$B,Performance!L$1,'Factory Log'!$J:$J,Performance!L13,'Factory Log'!$C:$C,"Roll Change")</f>
        <v>0</v>
      </c>
      <c r="Q13" s="3">
        <f>SUMIFS('Factory Log'!$M:$M,'Factory Log'!$B:$B,Performance!L$1,'Factory Log'!$J:$J,Performance!L13,'Factory Log'!$C:$C,"Running")</f>
        <v>0</v>
      </c>
      <c r="R13" s="58" cm="1">
        <f t="array" ref="R13">IFERROR(INDEX('Factory Log'!$S:$S,MATCH(1,(Performance!L$1='Factory Log'!$B:$B)*(Performance!L13='Factory Log'!$A:$A),0)),0)</f>
        <v>0</v>
      </c>
      <c r="S13" s="3">
        <f>IFERROR(VLOOKUP(L13,'Factory Log'!$J:$R,9,0),0)</f>
        <v>0</v>
      </c>
      <c r="T13" s="64">
        <f t="shared" si="2"/>
        <v>0</v>
      </c>
      <c r="U13" s="58">
        <f t="shared" si="3"/>
        <v>0</v>
      </c>
      <c r="X13" s="3">
        <f>IFERROR(VLOOKUP(W13,'Factory Log'!$J:$O,6,0),0)</f>
        <v>0</v>
      </c>
      <c r="Y13" s="3">
        <f>IFERROR(VLOOKUP(W13,'Factory Log'!$J:$P,7,0),0)</f>
        <v>0</v>
      </c>
      <c r="Z13" s="3">
        <f>IFERROR(VLOOKUP(W13,'Factory Log'!$J:$Q,8,0),0)</f>
        <v>0</v>
      </c>
      <c r="AA13" s="58">
        <f>SUMIFS('Factory Log'!$D:$D,'Factory Log'!$B:$B,Performance!W$1,'Factory Log'!$J:$J,Performance!W13,'Factory Log'!$C:$C,"Running")+SUMIFS('Factory Log'!$D:$D,'Factory Log'!$B:$B,Performance!W$1,'Factory Log'!$J:$J,Performance!W13,'Factory Log'!$C:$C,"Make Ready")+SUMIFS('Factory Log'!$D:$D,'Factory Log'!$B:$B,Performance!W$1,'Factory Log'!$J:$J,Performance!W13,'Factory Log'!$C:$C,"Roll Change")</f>
        <v>0</v>
      </c>
      <c r="AB13" s="3">
        <f>SUMIFS('Factory Log'!$M:$M,'Factory Log'!$B:$B,Performance!W$1,'Factory Log'!$J:$J,Performance!W13,'Factory Log'!$C:$C,"Running")</f>
        <v>0</v>
      </c>
      <c r="AC13" s="58" cm="1">
        <f t="array" ref="AC13">IFERROR(INDEX('Factory Log'!$S:$S,MATCH(1,(Performance!W$1='Factory Log'!$B:$B)*(Performance!W13='Factory Log'!$A:$A),0)),0)</f>
        <v>0</v>
      </c>
      <c r="AD13" s="3">
        <f>IFERROR(VLOOKUP(W13,'Factory Log'!$J:$R,9,0),0)</f>
        <v>0</v>
      </c>
      <c r="AE13" s="64">
        <f t="shared" si="4"/>
        <v>0</v>
      </c>
      <c r="AF13" s="58">
        <f t="shared" si="5"/>
        <v>0</v>
      </c>
      <c r="AI13" s="3">
        <f>IFERROR(VLOOKUP(AH13,'Factory Log'!$J:$O,6,0),0)</f>
        <v>0</v>
      </c>
      <c r="AJ13" s="3">
        <f>IFERROR(VLOOKUP(AH13,'Factory Log'!$J:$P,7,0),0)</f>
        <v>0</v>
      </c>
      <c r="AK13" s="3">
        <f>IFERROR(VLOOKUP(AH13,'Factory Log'!$J:$Q,8,0),0)</f>
        <v>0</v>
      </c>
      <c r="AL13" s="58">
        <f>SUMIFS('Factory Log'!$D:$D,'Factory Log'!$B:$B,Performance!AH$1,'Factory Log'!$J:$J,Performance!AH13,'Factory Log'!$C:$C,"Running")+SUMIFS('Factory Log'!$D:$D,'Factory Log'!$B:$B,Performance!AH$1,'Factory Log'!$J:$J,Performance!AH13,'Factory Log'!$C:$C,"Make Ready")+SUMIFS('Factory Log'!$D:$D,'Factory Log'!$B:$B,Performance!AH$1,'Factory Log'!$J:$J,Performance!AH13,'Factory Log'!$C:$C,"Roll Change")</f>
        <v>0</v>
      </c>
      <c r="AM13" s="3">
        <f>SUMIFS('Factory Log'!$M:$M,'Factory Log'!$B:$B,Performance!AH$1,'Factory Log'!$J:$J,Performance!AH13,'Factory Log'!$C:$C,"Running")</f>
        <v>0</v>
      </c>
      <c r="AN13" s="58" cm="1">
        <f t="array" ref="AN13">IFERROR(INDEX('Factory Log'!$S:$S,MATCH(1,(Performance!AH$1='Factory Log'!$B:$B)*(Performance!AH13='Factory Log'!$A:$A),0)),0)</f>
        <v>0</v>
      </c>
      <c r="AO13" s="3">
        <f>IFERROR(VLOOKUP(AH13,'Factory Log'!$J:$R,9,0),0)</f>
        <v>0</v>
      </c>
      <c r="AP13" s="64">
        <f t="shared" si="6"/>
        <v>0</v>
      </c>
      <c r="AQ13" s="58">
        <f t="shared" si="7"/>
        <v>0</v>
      </c>
      <c r="AT13" s="3">
        <f>IFERROR(VLOOKUP(AS13,'Factory Log'!$J:$O,6,0),0)</f>
        <v>0</v>
      </c>
      <c r="AU13" s="3">
        <f>IFERROR(VLOOKUP(AS13,'Factory Log'!$J:$P,7,0),0)</f>
        <v>0</v>
      </c>
      <c r="AV13" s="3">
        <f>IFERROR(VLOOKUP(AS13,'Factory Log'!$J:$Q,8,0),0)</f>
        <v>0</v>
      </c>
      <c r="AW13" s="58">
        <f>SUMIFS('Factory Log'!$D:$D,'Factory Log'!$B:$B,Performance!AS$1,'Factory Log'!$J:$J,Performance!AS13,'Factory Log'!$C:$C,"Running")+SUMIFS('Factory Log'!$D:$D,'Factory Log'!$B:$B,Performance!AS$1,'Factory Log'!$J:$J,Performance!AS13,'Factory Log'!$C:$C,"Make Ready")+SUMIFS('Factory Log'!$D:$D,'Factory Log'!$B:$B,Performance!AS$1,'Factory Log'!$J:$J,Performance!AS13,'Factory Log'!$C:$C,"Roll Change")</f>
        <v>0</v>
      </c>
      <c r="AX13" s="3">
        <f>SUMIFS('Factory Log'!$M:$M,'Factory Log'!$B:$B,Performance!AS$1,'Factory Log'!$J:$J,Performance!AS13,'Factory Log'!$C:$C,"Running")</f>
        <v>0</v>
      </c>
      <c r="AY13" s="58" cm="1">
        <f t="array" ref="AY13">IFERROR(INDEX('Factory Log'!$S:$S,MATCH(1,(Performance!AS$1='Factory Log'!$B:$B)*(Performance!AS13='Factory Log'!$A:$A),0)),0)</f>
        <v>0</v>
      </c>
      <c r="AZ13" s="3">
        <f>IFERROR(VLOOKUP(AS13,'Factory Log'!$J:$R,9,0),0)</f>
        <v>0</v>
      </c>
      <c r="BA13" s="64">
        <f t="shared" si="8"/>
        <v>0</v>
      </c>
      <c r="BB13" s="58">
        <f t="shared" si="9"/>
        <v>0</v>
      </c>
      <c r="BE13" s="3">
        <f>IFERROR(VLOOKUP(BD13,'Factory Log'!$J:$O,6,0),0)</f>
        <v>0</v>
      </c>
      <c r="BF13" s="3">
        <f>IFERROR(VLOOKUP(BD13,'Factory Log'!$J:$P,7,0),0)</f>
        <v>0</v>
      </c>
      <c r="BG13" s="3">
        <f>IFERROR(VLOOKUP(BD13,'Factory Log'!$J:$Q,8,0),0)</f>
        <v>0</v>
      </c>
      <c r="BH13" s="58">
        <f>SUMIFS('Factory Log'!$D:$D,'Factory Log'!$B:$B,Performance!BD$1,'Factory Log'!$J:$J,Performance!BD13,'Factory Log'!$C:$C,"Running")+SUMIFS('Factory Log'!$D:$D,'Factory Log'!$B:$B,Performance!BD$1,'Factory Log'!$J:$J,Performance!BD13,'Factory Log'!$C:$C,"Make Ready")+SUMIFS('Factory Log'!$D:$D,'Factory Log'!$B:$B,Performance!BD$1,'Factory Log'!$J:$J,Performance!BD13,'Factory Log'!$C:$C,"Roll Change")</f>
        <v>0</v>
      </c>
      <c r="BI13" s="3">
        <f>SUMIFS('Factory Log'!$M:$M,'Factory Log'!$B:$B,Performance!BD$1,'Factory Log'!$J:$J,Performance!BD13,'Factory Log'!$C:$C,"Running")</f>
        <v>0</v>
      </c>
      <c r="BJ13" s="58" cm="1">
        <f t="array" ref="BJ13">IFERROR(INDEX('Factory Log'!$S:$S,MATCH(1,(Performance!BD$1='Factory Log'!$B:$B)*(Performance!BD13='Factory Log'!$A:$A),0)),0)</f>
        <v>0</v>
      </c>
      <c r="BK13" s="3">
        <f>IFERROR(VLOOKUP(BD13,'Factory Log'!$J:$R,9,0),0)</f>
        <v>0</v>
      </c>
      <c r="BL13" s="64">
        <f t="shared" si="10"/>
        <v>0</v>
      </c>
      <c r="BM13" s="58">
        <f t="shared" si="11"/>
        <v>0</v>
      </c>
      <c r="BP13" s="3">
        <f>IFERROR(VLOOKUP(BO13,'Factory Log'!$J:$O,6,0),0)</f>
        <v>0</v>
      </c>
      <c r="BQ13" s="3">
        <f>IFERROR(VLOOKUP(BO13,'Factory Log'!$J:$P,7,0),0)</f>
        <v>0</v>
      </c>
      <c r="BR13" s="3">
        <f>IFERROR(VLOOKUP(BO13,'Factory Log'!$J:$Q,8,0),0)</f>
        <v>0</v>
      </c>
      <c r="BS13" s="58">
        <f>SUMIFS('Factory Log'!$D:$D,'Factory Log'!$B:$B,Performance!BO$1,'Factory Log'!$J:$J,Performance!BO13,'Factory Log'!$C:$C,"Running")+SUMIFS('Factory Log'!$D:$D,'Factory Log'!$B:$B,Performance!BO$1,'Factory Log'!$J:$J,Performance!BO13,'Factory Log'!$C:$C,"Make Ready")+SUMIFS('Factory Log'!$D:$D,'Factory Log'!$B:$B,Performance!BO$1,'Factory Log'!$J:$J,Performance!BO13,'Factory Log'!$C:$C,"Roll Change")</f>
        <v>0</v>
      </c>
      <c r="BT13" s="3">
        <f>SUMIFS('Factory Log'!$M:$M,'Factory Log'!$B:$B,Performance!BO$1,'Factory Log'!$J:$J,Performance!BO13,'Factory Log'!$C:$C,"Running")</f>
        <v>0</v>
      </c>
      <c r="BU13" s="58" cm="1">
        <f t="array" ref="BU13">IFERROR(INDEX('Factory Log'!$S:$S,MATCH(1,(Performance!BO$1='Factory Log'!$B:$B)*(Performance!BO13='Factory Log'!$A:$A),0)),0)</f>
        <v>0</v>
      </c>
      <c r="BV13" s="3">
        <f>IFERROR(VLOOKUP(BO13,'Factory Log'!$J:$R,9,0),0)</f>
        <v>0</v>
      </c>
      <c r="BW13" s="64">
        <f t="shared" si="12"/>
        <v>0</v>
      </c>
      <c r="BX13" s="58">
        <f t="shared" si="13"/>
        <v>0</v>
      </c>
      <c r="CA13" s="3">
        <f>IFERROR(VLOOKUP(BZ13,'Factory Log'!$J:$O,6,0),0)</f>
        <v>0</v>
      </c>
      <c r="CB13" s="3">
        <f>IFERROR(VLOOKUP(BZ13,'Factory Log'!$J:$P,7,0),0)</f>
        <v>0</v>
      </c>
      <c r="CC13" s="3">
        <f>IFERROR(VLOOKUP(BZ13,'Factory Log'!$J:$Q,8,0),0)</f>
        <v>0</v>
      </c>
      <c r="CD13" s="58">
        <f>SUMIFS('Factory Log'!$D:$D,'Factory Log'!$B:$B,Performance!BZ$1,'Factory Log'!$J:$J,Performance!BZ13,'Factory Log'!$C:$C,"Running")+SUMIFS('Factory Log'!$D:$D,'Factory Log'!$B:$B,Performance!BZ$1,'Factory Log'!$J:$J,Performance!BZ13,'Factory Log'!$C:$C,"Make Ready")+SUMIFS('Factory Log'!$D:$D,'Factory Log'!$B:$B,Performance!BZ$1,'Factory Log'!$J:$J,Performance!BZ13,'Factory Log'!$C:$C,"Roll Change")</f>
        <v>0</v>
      </c>
      <c r="CE13" s="3">
        <f>SUMIFS('Factory Log'!$M:$M,'Factory Log'!$B:$B,Performance!BZ$1,'Factory Log'!$J:$J,Performance!BZ13,'Factory Log'!$C:$C,"Running")</f>
        <v>0</v>
      </c>
      <c r="CF13" s="58" cm="1">
        <f t="array" ref="CF13">IFERROR(INDEX('Factory Log'!$S:$S,MATCH(1,(Performance!BZ$1='Factory Log'!$B:$B)*(Performance!BZ13='Factory Log'!$A:$A),0)),0)</f>
        <v>0</v>
      </c>
      <c r="CG13" s="3">
        <f>IFERROR(VLOOKUP(BZ13,'Factory Log'!$J:$R,9,0),0)</f>
        <v>0</v>
      </c>
      <c r="CH13" s="64">
        <f t="shared" si="14"/>
        <v>0</v>
      </c>
      <c r="CI13" s="58">
        <f t="shared" si="15"/>
        <v>0</v>
      </c>
      <c r="CL13" s="3">
        <f>IFERROR(VLOOKUP(CK13,'Factory Log'!$J:$O,6,0),0)</f>
        <v>0</v>
      </c>
      <c r="CM13" s="3">
        <f>IFERROR(VLOOKUP(CK13,'Factory Log'!$J:$P,7,0),0)</f>
        <v>0</v>
      </c>
      <c r="CN13" s="3">
        <f>IFERROR(VLOOKUP(CK13,'Factory Log'!$J:$Q,8,0),0)</f>
        <v>0</v>
      </c>
      <c r="CO13" s="58">
        <f>SUMIFS('Factory Log'!$D:$D,'Factory Log'!$B:$B,Performance!CK$1,'Factory Log'!$J:$J,Performance!CK13,'Factory Log'!$C:$C,"Running")+SUMIFS('Factory Log'!$D:$D,'Factory Log'!$B:$B,Performance!CK$1,'Factory Log'!$J:$J,Performance!CK13,'Factory Log'!$C:$C,"Make Ready")+SUMIFS('Factory Log'!$D:$D,'Factory Log'!$B:$B,Performance!CK$1,'Factory Log'!$J:$J,Performance!CK13,'Factory Log'!$C:$C,"Roll Change")</f>
        <v>0</v>
      </c>
      <c r="CP13" s="3">
        <f>SUMIFS('Factory Log'!$M:$M,'Factory Log'!$B:$B,Performance!CK$1,'Factory Log'!$J:$J,Performance!CK13,'Factory Log'!$C:$C,"Running")</f>
        <v>0</v>
      </c>
      <c r="CQ13" s="58" cm="1">
        <f t="array" ref="CQ13">IFERROR(INDEX('Factory Log'!$S:$S,MATCH(1,(Performance!CK$1='Factory Log'!$B:$B)*(Performance!CK13='Factory Log'!$A:$A),0)),0)</f>
        <v>0</v>
      </c>
      <c r="CR13" s="3">
        <f>IFERROR(VLOOKUP(CK13,'Factory Log'!$J:$R,9,0),0)</f>
        <v>0</v>
      </c>
      <c r="CS13" s="64">
        <f t="shared" si="16"/>
        <v>0</v>
      </c>
      <c r="CT13" s="58">
        <f t="shared" si="17"/>
        <v>0</v>
      </c>
      <c r="CW13" s="3">
        <f>IFERROR(VLOOKUP(CV13,'Factory Log'!$J:$O,6,0),0)</f>
        <v>0</v>
      </c>
      <c r="CX13" s="3">
        <f>IFERROR(VLOOKUP(CV13,'Factory Log'!$J:$P,7,0),0)</f>
        <v>0</v>
      </c>
      <c r="CY13" s="3">
        <f>IFERROR(VLOOKUP(CV13,'Factory Log'!$J:$Q,8,0),0)</f>
        <v>0</v>
      </c>
      <c r="CZ13" s="58">
        <f>SUMIFS('Factory Log'!$D:$D,'Factory Log'!$B:$B,Performance!CV$1,'Factory Log'!$J:$J,Performance!CV13,'Factory Log'!$C:$C,"Running")+SUMIFS('Factory Log'!$D:$D,'Factory Log'!$B:$B,Performance!CV$1,'Factory Log'!$J:$J,Performance!CV13,'Factory Log'!$C:$C,"Make Ready")+SUMIFS('Factory Log'!$D:$D,'Factory Log'!$B:$B,Performance!CV$1,'Factory Log'!$J:$J,Performance!CV13,'Factory Log'!$C:$C,"Roll Change")</f>
        <v>0</v>
      </c>
      <c r="DA13" s="3">
        <f>SUMIFS('Factory Log'!$M:$M,'Factory Log'!$B:$B,Performance!CV$1,'Factory Log'!$J:$J,Performance!CV13,'Factory Log'!$C:$C,"Running")</f>
        <v>0</v>
      </c>
      <c r="DB13" s="58" cm="1">
        <f t="array" ref="DB13">IFERROR(INDEX('Factory Log'!$S:$S,MATCH(1,(Performance!CV$1='Factory Log'!$B:$B)*(Performance!CV13='Factory Log'!$A:$A),0)),0)</f>
        <v>0</v>
      </c>
      <c r="DC13" s="3">
        <f>IFERROR(VLOOKUP(CV13,'Factory Log'!$J:$R,9,0),0)</f>
        <v>0</v>
      </c>
      <c r="DD13" s="64">
        <f t="shared" si="18"/>
        <v>0</v>
      </c>
      <c r="DE13" s="58">
        <f t="shared" si="19"/>
        <v>0</v>
      </c>
      <c r="DH13" s="3">
        <f>IFERROR(VLOOKUP(DG13,'Factory Log'!$J:$O,6,0),0)</f>
        <v>0</v>
      </c>
      <c r="DI13" s="3">
        <f>IFERROR(VLOOKUP(DG13,'Factory Log'!$J:$P,7,0),0)</f>
        <v>0</v>
      </c>
      <c r="DJ13" s="3">
        <f>IFERROR(VLOOKUP(DG13,'Factory Log'!$J:$Q,8,0),0)</f>
        <v>0</v>
      </c>
      <c r="DK13" s="58">
        <f>SUMIFS('Factory Log'!$D:$D,'Factory Log'!$B:$B,Performance!DG$1,'Factory Log'!$J:$J,Performance!DG13,'Factory Log'!$C:$C,"Running")+SUMIFS('Factory Log'!$D:$D,'Factory Log'!$B:$B,Performance!DG$1,'Factory Log'!$J:$J,Performance!DG13,'Factory Log'!$C:$C,"Make Ready")+SUMIFS('Factory Log'!$D:$D,'Factory Log'!$B:$B,Performance!DG$1,'Factory Log'!$J:$J,Performance!DG13,'Factory Log'!$C:$C,"Roll Change")</f>
        <v>0</v>
      </c>
      <c r="DL13" s="3">
        <f>SUMIFS('Factory Log'!$M:$M,'Factory Log'!$B:$B,Performance!DG$1,'Factory Log'!$J:$J,Performance!DG13,'Factory Log'!$C:$C,"Running")</f>
        <v>0</v>
      </c>
      <c r="DM13" s="58" cm="1">
        <f t="array" ref="DM13">IFERROR(INDEX('Factory Log'!$S:$S,MATCH(1,(Performance!DG$1='Factory Log'!$B:$B)*(Performance!DG13='Factory Log'!$A:$A),0)),0)</f>
        <v>0</v>
      </c>
      <c r="DN13" s="3">
        <f>IFERROR(VLOOKUP(DG13,'Factory Log'!$J:$R,9,0),0)</f>
        <v>0</v>
      </c>
      <c r="DO13" s="64">
        <f t="shared" si="20"/>
        <v>0</v>
      </c>
      <c r="DP13" s="58">
        <f t="shared" si="21"/>
        <v>0</v>
      </c>
      <c r="DS13" s="3">
        <f>IFERROR(VLOOKUP(DR13,'Factory Log'!$J:$O,6,0),0)</f>
        <v>0</v>
      </c>
      <c r="DT13" s="3">
        <f>IFERROR(VLOOKUP(DR13,'Factory Log'!$J:$P,7,0),0)</f>
        <v>0</v>
      </c>
      <c r="DU13" s="3">
        <f>IFERROR(VLOOKUP(DR13,'Factory Log'!$J:$Q,8,0),0)</f>
        <v>0</v>
      </c>
      <c r="DV13" s="58">
        <f>SUMIFS('Factory Log'!$D:$D,'Factory Log'!$B:$B,Performance!DR$1,'Factory Log'!$J:$J,Performance!DR13,'Factory Log'!$C:$C,"Running")+SUMIFS('Factory Log'!$D:$D,'Factory Log'!$B:$B,Performance!DR$1,'Factory Log'!$J:$J,Performance!DR13,'Factory Log'!$C:$C,"Make Ready")+SUMIFS('Factory Log'!$D:$D,'Factory Log'!$B:$B,Performance!DR$1,'Factory Log'!$J:$J,Performance!DR13,'Factory Log'!$C:$C,"Roll Change")</f>
        <v>0</v>
      </c>
      <c r="DW13" s="3">
        <f>SUMIFS('Factory Log'!$M:$M,'Factory Log'!$B:$B,Performance!DR$1,'Factory Log'!$J:$J,Performance!DR13,'Factory Log'!$C:$C,"Running")</f>
        <v>0</v>
      </c>
      <c r="DX13" s="58" cm="1">
        <f t="array" ref="DX13">IFERROR(INDEX('Factory Log'!$S:$S,MATCH(1,(Performance!DR$1='Factory Log'!$B:$B)*(Performance!DR13='Factory Log'!$A:$A),0)),0)</f>
        <v>0</v>
      </c>
      <c r="DY13" s="3">
        <f>IFERROR(VLOOKUP(DR13,'Factory Log'!$J:$R,9,0),0)</f>
        <v>0</v>
      </c>
      <c r="DZ13" s="64">
        <f t="shared" si="22"/>
        <v>0</v>
      </c>
      <c r="EA13" s="58">
        <f t="shared" si="23"/>
        <v>0</v>
      </c>
      <c r="ED13" s="3">
        <f>IFERROR(VLOOKUP(EC13,'Factory Log'!$J:$O,6,0),0)</f>
        <v>0</v>
      </c>
      <c r="EE13" s="3">
        <f>IFERROR(VLOOKUP(EC13,'Factory Log'!$J:$P,7,0),0)</f>
        <v>0</v>
      </c>
      <c r="EF13" s="3">
        <f>IFERROR(VLOOKUP(EC13,'Factory Log'!$J:$Q,8,0),0)</f>
        <v>0</v>
      </c>
      <c r="EG13" s="58">
        <f>SUMIFS('Factory Log'!$D:$D,'Factory Log'!$B:$B,Performance!EC$1,'Factory Log'!$J:$J,Performance!EC13,'Factory Log'!$C:$C,"Running")+SUMIFS('Factory Log'!$D:$D,'Factory Log'!$B:$B,Performance!EC$1,'Factory Log'!$J:$J,Performance!EC13,'Factory Log'!$C:$C,"Make Ready")+SUMIFS('Factory Log'!$D:$D,'Factory Log'!$B:$B,Performance!EC$1,'Factory Log'!$J:$J,Performance!EC13,'Factory Log'!$C:$C,"Roll Change")</f>
        <v>0</v>
      </c>
      <c r="EH13" s="3">
        <f>SUMIFS('Factory Log'!$M:$M,'Factory Log'!$B:$B,Performance!EC$1,'Factory Log'!$J:$J,Performance!EC13,'Factory Log'!$C:$C,"Running")</f>
        <v>0</v>
      </c>
      <c r="EI13" s="58" cm="1">
        <f t="array" ref="EI13">IFERROR(INDEX('Factory Log'!$S:$S,MATCH(1,(Performance!EC$1='Factory Log'!$B:$B)*(Performance!EC13='Factory Log'!$A:$A),0)),0)</f>
        <v>0</v>
      </c>
      <c r="EJ13" s="3">
        <f>IFERROR(VLOOKUP(EC13,'Factory Log'!$J:$R,9,0),0)</f>
        <v>0</v>
      </c>
      <c r="EK13" s="64">
        <f t="shared" si="24"/>
        <v>0</v>
      </c>
      <c r="EL13" s="58">
        <f t="shared" si="25"/>
        <v>0</v>
      </c>
      <c r="EO13" s="3">
        <f>IFERROR(VLOOKUP(EN13,'Factory Log'!$J:$O,6,0),0)</f>
        <v>0</v>
      </c>
      <c r="EP13" s="3">
        <f>IFERROR(VLOOKUP(EN13,'Factory Log'!$J:$P,7,0),0)</f>
        <v>0</v>
      </c>
      <c r="EQ13" s="3">
        <f>IFERROR(VLOOKUP(EN13,'Factory Log'!$J:$Q,8,0),0)</f>
        <v>0</v>
      </c>
      <c r="ER13" s="58">
        <f>SUMIFS('Factory Log'!$D:$D,'Factory Log'!$B:$B,Performance!EN$1,'Factory Log'!$J:$J,Performance!EN13,'Factory Log'!$C:$C,"Running")+SUMIFS('Factory Log'!$D:$D,'Factory Log'!$B:$B,Performance!EN$1,'Factory Log'!$J:$J,Performance!EN13,'Factory Log'!$C:$C,"Make Ready")+SUMIFS('Factory Log'!$D:$D,'Factory Log'!$B:$B,Performance!EN$1,'Factory Log'!$J:$J,Performance!EN13,'Factory Log'!$C:$C,"Roll Change")</f>
        <v>0</v>
      </c>
      <c r="ES13" s="3">
        <f>SUMIFS('Factory Log'!$M:$M,'Factory Log'!$B:$B,Performance!EN$1,'Factory Log'!$J:$J,Performance!EN13,'Factory Log'!$C:$C,"Running")</f>
        <v>0</v>
      </c>
      <c r="ET13" s="58" cm="1">
        <f t="array" ref="ET13">IFERROR(INDEX('Factory Log'!$S:$S,MATCH(1,(Performance!EN$1='Factory Log'!$B:$B)*(Performance!EN13='Factory Log'!$A:$A),0)),0)</f>
        <v>0</v>
      </c>
      <c r="EU13" s="3">
        <f>IFERROR(VLOOKUP(EN13,'Factory Log'!$J:$R,9,0),0)</f>
        <v>0</v>
      </c>
      <c r="EV13" s="64">
        <f t="shared" si="26"/>
        <v>0</v>
      </c>
      <c r="EW13" s="58">
        <f t="shared" si="27"/>
        <v>0</v>
      </c>
      <c r="EZ13" s="3">
        <f>IFERROR(VLOOKUP(EY13,'Factory Log'!$J:$O,6,0),0)</f>
        <v>0</v>
      </c>
      <c r="FA13" s="3">
        <f>IFERROR(VLOOKUP(EY13,'Factory Log'!$J:$P,7,0),0)</f>
        <v>0</v>
      </c>
      <c r="FB13" s="3">
        <f>IFERROR(VLOOKUP(EY13,'Factory Log'!$J:$Q,8,0),0)</f>
        <v>0</v>
      </c>
      <c r="FC13" s="58">
        <f>SUMIFS('Factory Log'!$D:$D,'Factory Log'!$B:$B,Performance!EY$1,'Factory Log'!$J:$J,Performance!EY13,'Factory Log'!$C:$C,"Running")+SUMIFS('Factory Log'!$D:$D,'Factory Log'!$B:$B,Performance!EY$1,'Factory Log'!$J:$J,Performance!EY13,'Factory Log'!$C:$C,"Make Ready")+SUMIFS('Factory Log'!$D:$D,'Factory Log'!$B:$B,Performance!EY$1,'Factory Log'!$J:$J,Performance!EY13,'Factory Log'!$C:$C,"Roll Change")</f>
        <v>0</v>
      </c>
      <c r="FD13" s="3">
        <f>SUMIFS('Factory Log'!$M:$M,'Factory Log'!$B:$B,Performance!EY$1,'Factory Log'!$J:$J,Performance!EY13,'Factory Log'!$C:$C,"Running")</f>
        <v>0</v>
      </c>
      <c r="FE13" s="58" cm="1">
        <f t="array" ref="FE13">IFERROR(INDEX('Factory Log'!$S:$S,MATCH(1,(Performance!EY$1='Factory Log'!$B:$B)*(Performance!EY13='Factory Log'!$A:$A),0)),0)</f>
        <v>0</v>
      </c>
      <c r="FF13" s="3">
        <f>IFERROR(VLOOKUP(EY13,'Factory Log'!$J:$R,9,0),0)</f>
        <v>0</v>
      </c>
      <c r="FG13" s="64">
        <f t="shared" si="28"/>
        <v>0</v>
      </c>
      <c r="FH13" s="58">
        <f t="shared" si="29"/>
        <v>0</v>
      </c>
    </row>
    <row r="14" spans="1:164" ht="16" customHeight="1" x14ac:dyDescent="0.2">
      <c r="B14" s="3">
        <f>IFERROR(VLOOKUP(A14,'Factory Log'!$J:$O,6,0),0)</f>
        <v>0</v>
      </c>
      <c r="C14" s="3">
        <f>IFERROR(VLOOKUP(A14,'Factory Log'!$J:$P,7,0),0)</f>
        <v>0</v>
      </c>
      <c r="D14" s="3">
        <f>IFERROR(VLOOKUP(A14,'Factory Log'!$J:$Q,8,0),0)</f>
        <v>0</v>
      </c>
      <c r="E14" s="58">
        <f>SUMIFS('Factory Log'!$D:$D,'Factory Log'!$B:$B,Performance!A$1,'Factory Log'!$J:$J,Performance!A14,'Factory Log'!$C:$C,"Running")+SUMIFS('Factory Log'!$D:$D,'Factory Log'!$B:$B,Performance!A$1,'Factory Log'!$J:$J,Performance!A14,'Factory Log'!$C:$C,"Make Ready")+SUMIFS('Factory Log'!$D:$D,'Factory Log'!$B:$B,Performance!A$1,'Factory Log'!$J:$J,Performance!A14,'Factory Log'!$C:$C,"Roll Change")</f>
        <v>0</v>
      </c>
      <c r="F14" s="3">
        <f>SUMIFS('Factory Log'!$M:$M,'Factory Log'!$B:$B,Performance!A$1,'Factory Log'!$J:$J,Performance!A14,'Factory Log'!$C:$C,"Running")</f>
        <v>0</v>
      </c>
      <c r="G14" s="58" cm="1">
        <f t="array" ref="G14">IFERROR(INDEX('Factory Log'!$S:$S,MATCH(1,(Performance!A$1='Factory Log'!$B:$B)*(Performance!A14='Factory Log'!$A:$A),0)),0)</f>
        <v>0</v>
      </c>
      <c r="H14" s="3">
        <f>IFERROR(VLOOKUP(A14,'Factory Log'!$J:$R,9,0),0)</f>
        <v>0</v>
      </c>
      <c r="I14" s="64">
        <f t="shared" si="1"/>
        <v>0</v>
      </c>
      <c r="J14" s="58">
        <f t="shared" si="0"/>
        <v>0</v>
      </c>
      <c r="M14" s="3">
        <f>IFERROR(VLOOKUP(L14,'Factory Log'!$J:$O,6,0),0)</f>
        <v>0</v>
      </c>
      <c r="N14" s="3">
        <f>IFERROR(VLOOKUP(L14,'Factory Log'!$J:$P,7,0),0)</f>
        <v>0</v>
      </c>
      <c r="O14" s="3">
        <f>IFERROR(VLOOKUP(L14,'Factory Log'!$J:$Q,8,0),0)</f>
        <v>0</v>
      </c>
      <c r="P14" s="58">
        <f>SUMIFS('Factory Log'!$D:$D,'Factory Log'!$B:$B,Performance!L$1,'Factory Log'!$J:$J,Performance!L14,'Factory Log'!$C:$C,"Running")+SUMIFS('Factory Log'!$D:$D,'Factory Log'!$B:$B,Performance!L$1,'Factory Log'!$J:$J,Performance!L14,'Factory Log'!$C:$C,"Make Ready")+SUMIFS('Factory Log'!$D:$D,'Factory Log'!$B:$B,Performance!L$1,'Factory Log'!$J:$J,Performance!L14,'Factory Log'!$C:$C,"Roll Change")</f>
        <v>0</v>
      </c>
      <c r="Q14" s="3">
        <f>SUMIFS('Factory Log'!$M:$M,'Factory Log'!$B:$B,Performance!L$1,'Factory Log'!$J:$J,Performance!L14,'Factory Log'!$C:$C,"Running")</f>
        <v>0</v>
      </c>
      <c r="R14" s="58" cm="1">
        <f t="array" ref="R14">IFERROR(INDEX('Factory Log'!$S:$S,MATCH(1,(Performance!L$1='Factory Log'!$B:$B)*(Performance!L14='Factory Log'!$A:$A),0)),0)</f>
        <v>0</v>
      </c>
      <c r="S14" s="3">
        <f>IFERROR(VLOOKUP(L14,'Factory Log'!$J:$R,9,0),0)</f>
        <v>0</v>
      </c>
      <c r="T14" s="64">
        <f t="shared" si="2"/>
        <v>0</v>
      </c>
      <c r="U14" s="58">
        <f t="shared" si="3"/>
        <v>0</v>
      </c>
      <c r="X14" s="3">
        <f>IFERROR(VLOOKUP(W14,'Factory Log'!$J:$O,6,0),0)</f>
        <v>0</v>
      </c>
      <c r="Y14" s="3">
        <f>IFERROR(VLOOKUP(W14,'Factory Log'!$J:$P,7,0),0)</f>
        <v>0</v>
      </c>
      <c r="Z14" s="3">
        <f>IFERROR(VLOOKUP(W14,'Factory Log'!$J:$Q,8,0),0)</f>
        <v>0</v>
      </c>
      <c r="AA14" s="58">
        <f>SUMIFS('Factory Log'!$D:$D,'Factory Log'!$B:$B,Performance!W$1,'Factory Log'!$J:$J,Performance!W14,'Factory Log'!$C:$C,"Running")+SUMIFS('Factory Log'!$D:$D,'Factory Log'!$B:$B,Performance!W$1,'Factory Log'!$J:$J,Performance!W14,'Factory Log'!$C:$C,"Make Ready")+SUMIFS('Factory Log'!$D:$D,'Factory Log'!$B:$B,Performance!W$1,'Factory Log'!$J:$J,Performance!W14,'Factory Log'!$C:$C,"Roll Change")</f>
        <v>0</v>
      </c>
      <c r="AB14" s="3">
        <f>SUMIFS('Factory Log'!$M:$M,'Factory Log'!$B:$B,Performance!W$1,'Factory Log'!$J:$J,Performance!W14,'Factory Log'!$C:$C,"Running")</f>
        <v>0</v>
      </c>
      <c r="AC14" s="58" cm="1">
        <f t="array" ref="AC14">IFERROR(INDEX('Factory Log'!$S:$S,MATCH(1,(Performance!W$1='Factory Log'!$B:$B)*(Performance!W14='Factory Log'!$A:$A),0)),0)</f>
        <v>0</v>
      </c>
      <c r="AD14" s="3">
        <f>IFERROR(VLOOKUP(W14,'Factory Log'!$J:$R,9,0),0)</f>
        <v>0</v>
      </c>
      <c r="AE14" s="64">
        <f t="shared" si="4"/>
        <v>0</v>
      </c>
      <c r="AF14" s="58">
        <f t="shared" si="5"/>
        <v>0</v>
      </c>
      <c r="AI14" s="3">
        <f>IFERROR(VLOOKUP(AH14,'Factory Log'!$J:$O,6,0),0)</f>
        <v>0</v>
      </c>
      <c r="AJ14" s="3">
        <f>IFERROR(VLOOKUP(AH14,'Factory Log'!$J:$P,7,0),0)</f>
        <v>0</v>
      </c>
      <c r="AK14" s="3">
        <f>IFERROR(VLOOKUP(AH14,'Factory Log'!$J:$Q,8,0),0)</f>
        <v>0</v>
      </c>
      <c r="AL14" s="58">
        <f>SUMIFS('Factory Log'!$D:$D,'Factory Log'!$B:$B,Performance!AH$1,'Factory Log'!$J:$J,Performance!AH14,'Factory Log'!$C:$C,"Running")+SUMIFS('Factory Log'!$D:$D,'Factory Log'!$B:$B,Performance!AH$1,'Factory Log'!$J:$J,Performance!AH14,'Factory Log'!$C:$C,"Make Ready")+SUMIFS('Factory Log'!$D:$D,'Factory Log'!$B:$B,Performance!AH$1,'Factory Log'!$J:$J,Performance!AH14,'Factory Log'!$C:$C,"Roll Change")</f>
        <v>0</v>
      </c>
      <c r="AM14" s="3">
        <f>SUMIFS('Factory Log'!$M:$M,'Factory Log'!$B:$B,Performance!AH$1,'Factory Log'!$J:$J,Performance!AH14,'Factory Log'!$C:$C,"Running")</f>
        <v>0</v>
      </c>
      <c r="AN14" s="58" cm="1">
        <f t="array" ref="AN14">IFERROR(INDEX('Factory Log'!$S:$S,MATCH(1,(Performance!AH$1='Factory Log'!$B:$B)*(Performance!AH14='Factory Log'!$A:$A),0)),0)</f>
        <v>0</v>
      </c>
      <c r="AO14" s="3">
        <f>IFERROR(VLOOKUP(AH14,'Factory Log'!$J:$R,9,0),0)</f>
        <v>0</v>
      </c>
      <c r="AP14" s="64">
        <f t="shared" si="6"/>
        <v>0</v>
      </c>
      <c r="AQ14" s="58">
        <f t="shared" si="7"/>
        <v>0</v>
      </c>
      <c r="AT14" s="3">
        <f>IFERROR(VLOOKUP(AS14,'Factory Log'!$J:$O,6,0),0)</f>
        <v>0</v>
      </c>
      <c r="AU14" s="3">
        <f>IFERROR(VLOOKUP(AS14,'Factory Log'!$J:$P,7,0),0)</f>
        <v>0</v>
      </c>
      <c r="AV14" s="3">
        <f>IFERROR(VLOOKUP(AS14,'Factory Log'!$J:$Q,8,0),0)</f>
        <v>0</v>
      </c>
      <c r="AW14" s="58">
        <f>SUMIFS('Factory Log'!$D:$D,'Factory Log'!$B:$B,Performance!AS$1,'Factory Log'!$J:$J,Performance!AS14,'Factory Log'!$C:$C,"Running")+SUMIFS('Factory Log'!$D:$D,'Factory Log'!$B:$B,Performance!AS$1,'Factory Log'!$J:$J,Performance!AS14,'Factory Log'!$C:$C,"Make Ready")+SUMIFS('Factory Log'!$D:$D,'Factory Log'!$B:$B,Performance!AS$1,'Factory Log'!$J:$J,Performance!AS14,'Factory Log'!$C:$C,"Roll Change")</f>
        <v>0</v>
      </c>
      <c r="AX14" s="3">
        <f>SUMIFS('Factory Log'!$M:$M,'Factory Log'!$B:$B,Performance!AS$1,'Factory Log'!$J:$J,Performance!AS14,'Factory Log'!$C:$C,"Running")</f>
        <v>0</v>
      </c>
      <c r="AY14" s="58" cm="1">
        <f t="array" ref="AY14">IFERROR(INDEX('Factory Log'!$S:$S,MATCH(1,(Performance!AS$1='Factory Log'!$B:$B)*(Performance!AS14='Factory Log'!$A:$A),0)),0)</f>
        <v>0</v>
      </c>
      <c r="AZ14" s="3">
        <f>IFERROR(VLOOKUP(AS14,'Factory Log'!$J:$R,9,0),0)</f>
        <v>0</v>
      </c>
      <c r="BA14" s="64">
        <f t="shared" si="8"/>
        <v>0</v>
      </c>
      <c r="BB14" s="58">
        <f t="shared" si="9"/>
        <v>0</v>
      </c>
      <c r="BE14" s="3">
        <f>IFERROR(VLOOKUP(BD14,'Factory Log'!$J:$O,6,0),0)</f>
        <v>0</v>
      </c>
      <c r="BF14" s="3">
        <f>IFERROR(VLOOKUP(BD14,'Factory Log'!$J:$P,7,0),0)</f>
        <v>0</v>
      </c>
      <c r="BG14" s="3">
        <f>IFERROR(VLOOKUP(BD14,'Factory Log'!$J:$Q,8,0),0)</f>
        <v>0</v>
      </c>
      <c r="BH14" s="58">
        <f>SUMIFS('Factory Log'!$D:$D,'Factory Log'!$B:$B,Performance!BD$1,'Factory Log'!$J:$J,Performance!BD14,'Factory Log'!$C:$C,"Running")+SUMIFS('Factory Log'!$D:$D,'Factory Log'!$B:$B,Performance!BD$1,'Factory Log'!$J:$J,Performance!BD14,'Factory Log'!$C:$C,"Make Ready")+SUMIFS('Factory Log'!$D:$D,'Factory Log'!$B:$B,Performance!BD$1,'Factory Log'!$J:$J,Performance!BD14,'Factory Log'!$C:$C,"Roll Change")</f>
        <v>0</v>
      </c>
      <c r="BI14" s="3">
        <f>SUMIFS('Factory Log'!$M:$M,'Factory Log'!$B:$B,Performance!BD$1,'Factory Log'!$J:$J,Performance!BD14,'Factory Log'!$C:$C,"Running")</f>
        <v>0</v>
      </c>
      <c r="BJ14" s="58" cm="1">
        <f t="array" ref="BJ14">IFERROR(INDEX('Factory Log'!$S:$S,MATCH(1,(Performance!BD$1='Factory Log'!$B:$B)*(Performance!BD14='Factory Log'!$A:$A),0)),0)</f>
        <v>0</v>
      </c>
      <c r="BK14" s="3">
        <f>IFERROR(VLOOKUP(BD14,'Factory Log'!$J:$R,9,0),0)</f>
        <v>0</v>
      </c>
      <c r="BL14" s="64">
        <f t="shared" si="10"/>
        <v>0</v>
      </c>
      <c r="BM14" s="58">
        <f t="shared" si="11"/>
        <v>0</v>
      </c>
      <c r="BP14" s="3">
        <f>IFERROR(VLOOKUP(BO14,'Factory Log'!$J:$O,6,0),0)</f>
        <v>0</v>
      </c>
      <c r="BQ14" s="3">
        <f>IFERROR(VLOOKUP(BO14,'Factory Log'!$J:$P,7,0),0)</f>
        <v>0</v>
      </c>
      <c r="BR14" s="3">
        <f>IFERROR(VLOOKUP(BO14,'Factory Log'!$J:$Q,8,0),0)</f>
        <v>0</v>
      </c>
      <c r="BS14" s="58">
        <f>SUMIFS('Factory Log'!$D:$D,'Factory Log'!$B:$B,Performance!BO$1,'Factory Log'!$J:$J,Performance!BO14,'Factory Log'!$C:$C,"Running")+SUMIFS('Factory Log'!$D:$D,'Factory Log'!$B:$B,Performance!BO$1,'Factory Log'!$J:$J,Performance!BO14,'Factory Log'!$C:$C,"Make Ready")+SUMIFS('Factory Log'!$D:$D,'Factory Log'!$B:$B,Performance!BO$1,'Factory Log'!$J:$J,Performance!BO14,'Factory Log'!$C:$C,"Roll Change")</f>
        <v>0</v>
      </c>
      <c r="BT14" s="3">
        <f>SUMIFS('Factory Log'!$M:$M,'Factory Log'!$B:$B,Performance!BO$1,'Factory Log'!$J:$J,Performance!BO14,'Factory Log'!$C:$C,"Running")</f>
        <v>0</v>
      </c>
      <c r="BU14" s="58" cm="1">
        <f t="array" ref="BU14">IFERROR(INDEX('Factory Log'!$S:$S,MATCH(1,(Performance!BO$1='Factory Log'!$B:$B)*(Performance!BO14='Factory Log'!$A:$A),0)),0)</f>
        <v>0</v>
      </c>
      <c r="BV14" s="3">
        <f>IFERROR(VLOOKUP(BO14,'Factory Log'!$J:$R,9,0),0)</f>
        <v>0</v>
      </c>
      <c r="BW14" s="64">
        <f t="shared" si="12"/>
        <v>0</v>
      </c>
      <c r="BX14" s="58">
        <f t="shared" si="13"/>
        <v>0</v>
      </c>
      <c r="CA14" s="3">
        <f>IFERROR(VLOOKUP(BZ14,'Factory Log'!$J:$O,6,0),0)</f>
        <v>0</v>
      </c>
      <c r="CB14" s="3">
        <f>IFERROR(VLOOKUP(BZ14,'Factory Log'!$J:$P,7,0),0)</f>
        <v>0</v>
      </c>
      <c r="CC14" s="3">
        <f>IFERROR(VLOOKUP(BZ14,'Factory Log'!$J:$Q,8,0),0)</f>
        <v>0</v>
      </c>
      <c r="CD14" s="58">
        <f>SUMIFS('Factory Log'!$D:$D,'Factory Log'!$B:$B,Performance!BZ$1,'Factory Log'!$J:$J,Performance!BZ14,'Factory Log'!$C:$C,"Running")+SUMIFS('Factory Log'!$D:$D,'Factory Log'!$B:$B,Performance!BZ$1,'Factory Log'!$J:$J,Performance!BZ14,'Factory Log'!$C:$C,"Make Ready")+SUMIFS('Factory Log'!$D:$D,'Factory Log'!$B:$B,Performance!BZ$1,'Factory Log'!$J:$J,Performance!BZ14,'Factory Log'!$C:$C,"Roll Change")</f>
        <v>0</v>
      </c>
      <c r="CE14" s="3">
        <f>SUMIFS('Factory Log'!$M:$M,'Factory Log'!$B:$B,Performance!BZ$1,'Factory Log'!$J:$J,Performance!BZ14,'Factory Log'!$C:$C,"Running")</f>
        <v>0</v>
      </c>
      <c r="CF14" s="58" cm="1">
        <f t="array" ref="CF14">IFERROR(INDEX('Factory Log'!$S:$S,MATCH(1,(Performance!BZ$1='Factory Log'!$B:$B)*(Performance!BZ14='Factory Log'!$A:$A),0)),0)</f>
        <v>0</v>
      </c>
      <c r="CG14" s="3">
        <f>IFERROR(VLOOKUP(BZ14,'Factory Log'!$J:$R,9,0),0)</f>
        <v>0</v>
      </c>
      <c r="CH14" s="64">
        <f t="shared" si="14"/>
        <v>0</v>
      </c>
      <c r="CI14" s="58">
        <f t="shared" si="15"/>
        <v>0</v>
      </c>
      <c r="CL14" s="3">
        <f>IFERROR(VLOOKUP(CK14,'Factory Log'!$J:$O,6,0),0)</f>
        <v>0</v>
      </c>
      <c r="CM14" s="3">
        <f>IFERROR(VLOOKUP(CK14,'Factory Log'!$J:$P,7,0),0)</f>
        <v>0</v>
      </c>
      <c r="CN14" s="3">
        <f>IFERROR(VLOOKUP(CK14,'Factory Log'!$J:$Q,8,0),0)</f>
        <v>0</v>
      </c>
      <c r="CO14" s="58">
        <f>SUMIFS('Factory Log'!$D:$D,'Factory Log'!$B:$B,Performance!CK$1,'Factory Log'!$J:$J,Performance!CK14,'Factory Log'!$C:$C,"Running")+SUMIFS('Factory Log'!$D:$D,'Factory Log'!$B:$B,Performance!CK$1,'Factory Log'!$J:$J,Performance!CK14,'Factory Log'!$C:$C,"Make Ready")+SUMIFS('Factory Log'!$D:$D,'Factory Log'!$B:$B,Performance!CK$1,'Factory Log'!$J:$J,Performance!CK14,'Factory Log'!$C:$C,"Roll Change")</f>
        <v>0</v>
      </c>
      <c r="CP14" s="3">
        <f>SUMIFS('Factory Log'!$M:$M,'Factory Log'!$B:$B,Performance!CK$1,'Factory Log'!$J:$J,Performance!CK14,'Factory Log'!$C:$C,"Running")</f>
        <v>0</v>
      </c>
      <c r="CQ14" s="58" cm="1">
        <f t="array" ref="CQ14">IFERROR(INDEX('Factory Log'!$S:$S,MATCH(1,(Performance!CK$1='Factory Log'!$B:$B)*(Performance!CK14='Factory Log'!$A:$A),0)),0)</f>
        <v>0</v>
      </c>
      <c r="CR14" s="3">
        <f>IFERROR(VLOOKUP(CK14,'Factory Log'!$J:$R,9,0),0)</f>
        <v>0</v>
      </c>
      <c r="CS14" s="64">
        <f t="shared" si="16"/>
        <v>0</v>
      </c>
      <c r="CT14" s="58">
        <f t="shared" si="17"/>
        <v>0</v>
      </c>
      <c r="CW14" s="3">
        <f>IFERROR(VLOOKUP(CV14,'Factory Log'!$J:$O,6,0),0)</f>
        <v>0</v>
      </c>
      <c r="CX14" s="3">
        <f>IFERROR(VLOOKUP(CV14,'Factory Log'!$J:$P,7,0),0)</f>
        <v>0</v>
      </c>
      <c r="CY14" s="3">
        <f>IFERROR(VLOOKUP(CV14,'Factory Log'!$J:$Q,8,0),0)</f>
        <v>0</v>
      </c>
      <c r="CZ14" s="58">
        <f>SUMIFS('Factory Log'!$D:$D,'Factory Log'!$B:$B,Performance!CV$1,'Factory Log'!$J:$J,Performance!CV14,'Factory Log'!$C:$C,"Running")+SUMIFS('Factory Log'!$D:$D,'Factory Log'!$B:$B,Performance!CV$1,'Factory Log'!$J:$J,Performance!CV14,'Factory Log'!$C:$C,"Make Ready")+SUMIFS('Factory Log'!$D:$D,'Factory Log'!$B:$B,Performance!CV$1,'Factory Log'!$J:$J,Performance!CV14,'Factory Log'!$C:$C,"Roll Change")</f>
        <v>0</v>
      </c>
      <c r="DA14" s="3">
        <f>SUMIFS('Factory Log'!$M:$M,'Factory Log'!$B:$B,Performance!CV$1,'Factory Log'!$J:$J,Performance!CV14,'Factory Log'!$C:$C,"Running")</f>
        <v>0</v>
      </c>
      <c r="DB14" s="58" cm="1">
        <f t="array" ref="DB14">IFERROR(INDEX('Factory Log'!$S:$S,MATCH(1,(Performance!CV$1='Factory Log'!$B:$B)*(Performance!CV14='Factory Log'!$A:$A),0)),0)</f>
        <v>0</v>
      </c>
      <c r="DC14" s="3">
        <f>IFERROR(VLOOKUP(CV14,'Factory Log'!$J:$R,9,0),0)</f>
        <v>0</v>
      </c>
      <c r="DD14" s="64">
        <f t="shared" si="18"/>
        <v>0</v>
      </c>
      <c r="DE14" s="58">
        <f t="shared" si="19"/>
        <v>0</v>
      </c>
      <c r="DH14" s="3">
        <f>IFERROR(VLOOKUP(DG14,'Factory Log'!$J:$O,6,0),0)</f>
        <v>0</v>
      </c>
      <c r="DI14" s="3">
        <f>IFERROR(VLOOKUP(DG14,'Factory Log'!$J:$P,7,0),0)</f>
        <v>0</v>
      </c>
      <c r="DJ14" s="3">
        <f>IFERROR(VLOOKUP(DG14,'Factory Log'!$J:$Q,8,0),0)</f>
        <v>0</v>
      </c>
      <c r="DK14" s="58">
        <f>SUMIFS('Factory Log'!$D:$D,'Factory Log'!$B:$B,Performance!DG$1,'Factory Log'!$J:$J,Performance!DG14,'Factory Log'!$C:$C,"Running")+SUMIFS('Factory Log'!$D:$D,'Factory Log'!$B:$B,Performance!DG$1,'Factory Log'!$J:$J,Performance!DG14,'Factory Log'!$C:$C,"Make Ready")+SUMIFS('Factory Log'!$D:$D,'Factory Log'!$B:$B,Performance!DG$1,'Factory Log'!$J:$J,Performance!DG14,'Factory Log'!$C:$C,"Roll Change")</f>
        <v>0</v>
      </c>
      <c r="DL14" s="3">
        <f>SUMIFS('Factory Log'!$M:$M,'Factory Log'!$B:$B,Performance!DG$1,'Factory Log'!$J:$J,Performance!DG14,'Factory Log'!$C:$C,"Running")</f>
        <v>0</v>
      </c>
      <c r="DM14" s="58" cm="1">
        <f t="array" ref="DM14">IFERROR(INDEX('Factory Log'!$S:$S,MATCH(1,(Performance!DG$1='Factory Log'!$B:$B)*(Performance!DG14='Factory Log'!$A:$A),0)),0)</f>
        <v>0</v>
      </c>
      <c r="DN14" s="3">
        <f>IFERROR(VLOOKUP(DG14,'Factory Log'!$J:$R,9,0),0)</f>
        <v>0</v>
      </c>
      <c r="DO14" s="64">
        <f t="shared" si="20"/>
        <v>0</v>
      </c>
      <c r="DP14" s="58">
        <f t="shared" si="21"/>
        <v>0</v>
      </c>
      <c r="DS14" s="3">
        <f>IFERROR(VLOOKUP(DR14,'Factory Log'!$J:$O,6,0),0)</f>
        <v>0</v>
      </c>
      <c r="DT14" s="3">
        <f>IFERROR(VLOOKUP(DR14,'Factory Log'!$J:$P,7,0),0)</f>
        <v>0</v>
      </c>
      <c r="DU14" s="3">
        <f>IFERROR(VLOOKUP(DR14,'Factory Log'!$J:$Q,8,0),0)</f>
        <v>0</v>
      </c>
      <c r="DV14" s="58">
        <f>SUMIFS('Factory Log'!$D:$D,'Factory Log'!$B:$B,Performance!DR$1,'Factory Log'!$J:$J,Performance!DR14,'Factory Log'!$C:$C,"Running")+SUMIFS('Factory Log'!$D:$D,'Factory Log'!$B:$B,Performance!DR$1,'Factory Log'!$J:$J,Performance!DR14,'Factory Log'!$C:$C,"Make Ready")+SUMIFS('Factory Log'!$D:$D,'Factory Log'!$B:$B,Performance!DR$1,'Factory Log'!$J:$J,Performance!DR14,'Factory Log'!$C:$C,"Roll Change")</f>
        <v>0</v>
      </c>
      <c r="DW14" s="3">
        <f>SUMIFS('Factory Log'!$M:$M,'Factory Log'!$B:$B,Performance!DR$1,'Factory Log'!$J:$J,Performance!DR14,'Factory Log'!$C:$C,"Running")</f>
        <v>0</v>
      </c>
      <c r="DX14" s="58" cm="1">
        <f t="array" ref="DX14">IFERROR(INDEX('Factory Log'!$S:$S,MATCH(1,(Performance!DR$1='Factory Log'!$B:$B)*(Performance!DR14='Factory Log'!$A:$A),0)),0)</f>
        <v>0</v>
      </c>
      <c r="DY14" s="3">
        <f>IFERROR(VLOOKUP(DR14,'Factory Log'!$J:$R,9,0),0)</f>
        <v>0</v>
      </c>
      <c r="DZ14" s="64">
        <f t="shared" si="22"/>
        <v>0</v>
      </c>
      <c r="EA14" s="58">
        <f t="shared" si="23"/>
        <v>0</v>
      </c>
      <c r="ED14" s="3">
        <f>IFERROR(VLOOKUP(EC14,'Factory Log'!$J:$O,6,0),0)</f>
        <v>0</v>
      </c>
      <c r="EE14" s="3">
        <f>IFERROR(VLOOKUP(EC14,'Factory Log'!$J:$P,7,0),0)</f>
        <v>0</v>
      </c>
      <c r="EF14" s="3">
        <f>IFERROR(VLOOKUP(EC14,'Factory Log'!$J:$Q,8,0),0)</f>
        <v>0</v>
      </c>
      <c r="EG14" s="58">
        <f>SUMIFS('Factory Log'!$D:$D,'Factory Log'!$B:$B,Performance!EC$1,'Factory Log'!$J:$J,Performance!EC14,'Factory Log'!$C:$C,"Running")+SUMIFS('Factory Log'!$D:$D,'Factory Log'!$B:$B,Performance!EC$1,'Factory Log'!$J:$J,Performance!EC14,'Factory Log'!$C:$C,"Make Ready")+SUMIFS('Factory Log'!$D:$D,'Factory Log'!$B:$B,Performance!EC$1,'Factory Log'!$J:$J,Performance!EC14,'Factory Log'!$C:$C,"Roll Change")</f>
        <v>0</v>
      </c>
      <c r="EH14" s="3">
        <f>SUMIFS('Factory Log'!$M:$M,'Factory Log'!$B:$B,Performance!EC$1,'Factory Log'!$J:$J,Performance!EC14,'Factory Log'!$C:$C,"Running")</f>
        <v>0</v>
      </c>
      <c r="EI14" s="58" cm="1">
        <f t="array" ref="EI14">IFERROR(INDEX('Factory Log'!$S:$S,MATCH(1,(Performance!EC$1='Factory Log'!$B:$B)*(Performance!EC14='Factory Log'!$A:$A),0)),0)</f>
        <v>0</v>
      </c>
      <c r="EJ14" s="3">
        <f>IFERROR(VLOOKUP(EC14,'Factory Log'!$J:$R,9,0),0)</f>
        <v>0</v>
      </c>
      <c r="EK14" s="64">
        <f t="shared" si="24"/>
        <v>0</v>
      </c>
      <c r="EL14" s="58">
        <f t="shared" si="25"/>
        <v>0</v>
      </c>
      <c r="EO14" s="3">
        <f>IFERROR(VLOOKUP(EN14,'Factory Log'!$J:$O,6,0),0)</f>
        <v>0</v>
      </c>
      <c r="EP14" s="3">
        <f>IFERROR(VLOOKUP(EN14,'Factory Log'!$J:$P,7,0),0)</f>
        <v>0</v>
      </c>
      <c r="EQ14" s="3">
        <f>IFERROR(VLOOKUP(EN14,'Factory Log'!$J:$Q,8,0),0)</f>
        <v>0</v>
      </c>
      <c r="ER14" s="58">
        <f>SUMIFS('Factory Log'!$D:$D,'Factory Log'!$B:$B,Performance!EN$1,'Factory Log'!$J:$J,Performance!EN14,'Factory Log'!$C:$C,"Running")+SUMIFS('Factory Log'!$D:$D,'Factory Log'!$B:$B,Performance!EN$1,'Factory Log'!$J:$J,Performance!EN14,'Factory Log'!$C:$C,"Make Ready")+SUMIFS('Factory Log'!$D:$D,'Factory Log'!$B:$B,Performance!EN$1,'Factory Log'!$J:$J,Performance!EN14,'Factory Log'!$C:$C,"Roll Change")</f>
        <v>0</v>
      </c>
      <c r="ES14" s="3">
        <f>SUMIFS('Factory Log'!$M:$M,'Factory Log'!$B:$B,Performance!EN$1,'Factory Log'!$J:$J,Performance!EN14,'Factory Log'!$C:$C,"Running")</f>
        <v>0</v>
      </c>
      <c r="ET14" s="58" cm="1">
        <f t="array" ref="ET14">IFERROR(INDEX('Factory Log'!$S:$S,MATCH(1,(Performance!EN$1='Factory Log'!$B:$B)*(Performance!EN14='Factory Log'!$A:$A),0)),0)</f>
        <v>0</v>
      </c>
      <c r="EU14" s="3">
        <f>IFERROR(VLOOKUP(EN14,'Factory Log'!$J:$R,9,0),0)</f>
        <v>0</v>
      </c>
      <c r="EV14" s="64">
        <f t="shared" si="26"/>
        <v>0</v>
      </c>
      <c r="EW14" s="58">
        <f t="shared" si="27"/>
        <v>0</v>
      </c>
      <c r="EZ14" s="3">
        <f>IFERROR(VLOOKUP(EY14,'Factory Log'!$J:$O,6,0),0)</f>
        <v>0</v>
      </c>
      <c r="FA14" s="3">
        <f>IFERROR(VLOOKUP(EY14,'Factory Log'!$J:$P,7,0),0)</f>
        <v>0</v>
      </c>
      <c r="FB14" s="3">
        <f>IFERROR(VLOOKUP(EY14,'Factory Log'!$J:$Q,8,0),0)</f>
        <v>0</v>
      </c>
      <c r="FC14" s="58">
        <f>SUMIFS('Factory Log'!$D:$D,'Factory Log'!$B:$B,Performance!EY$1,'Factory Log'!$J:$J,Performance!EY14,'Factory Log'!$C:$C,"Running")+SUMIFS('Factory Log'!$D:$D,'Factory Log'!$B:$B,Performance!EY$1,'Factory Log'!$J:$J,Performance!EY14,'Factory Log'!$C:$C,"Make Ready")+SUMIFS('Factory Log'!$D:$D,'Factory Log'!$B:$B,Performance!EY$1,'Factory Log'!$J:$J,Performance!EY14,'Factory Log'!$C:$C,"Roll Change")</f>
        <v>0</v>
      </c>
      <c r="FD14" s="3">
        <f>SUMIFS('Factory Log'!$M:$M,'Factory Log'!$B:$B,Performance!EY$1,'Factory Log'!$J:$J,Performance!EY14,'Factory Log'!$C:$C,"Running")</f>
        <v>0</v>
      </c>
      <c r="FE14" s="58" cm="1">
        <f t="array" ref="FE14">IFERROR(INDEX('Factory Log'!$S:$S,MATCH(1,(Performance!EY$1='Factory Log'!$B:$B)*(Performance!EY14='Factory Log'!$A:$A),0)),0)</f>
        <v>0</v>
      </c>
      <c r="FF14" s="3">
        <f>IFERROR(VLOOKUP(EY14,'Factory Log'!$J:$R,9,0),0)</f>
        <v>0</v>
      </c>
      <c r="FG14" s="64">
        <f t="shared" si="28"/>
        <v>0</v>
      </c>
      <c r="FH14" s="58">
        <f t="shared" si="29"/>
        <v>0</v>
      </c>
    </row>
    <row r="15" spans="1:164" ht="16" customHeight="1" x14ac:dyDescent="0.2">
      <c r="B15" s="3">
        <f>IFERROR(VLOOKUP(A15,'Factory Log'!$J:$O,6,0),0)</f>
        <v>0</v>
      </c>
      <c r="C15" s="3">
        <f>IFERROR(VLOOKUP(A15,'Factory Log'!$J:$P,7,0),0)</f>
        <v>0</v>
      </c>
      <c r="D15" s="3">
        <f>IFERROR(VLOOKUP(A15,'Factory Log'!$J:$Q,8,0),0)</f>
        <v>0</v>
      </c>
      <c r="E15" s="58">
        <f>SUMIFS('Factory Log'!$D:$D,'Factory Log'!$B:$B,Performance!A$1,'Factory Log'!$J:$J,Performance!A15,'Factory Log'!$C:$C,"Running")+SUMIFS('Factory Log'!$D:$D,'Factory Log'!$B:$B,Performance!A$1,'Factory Log'!$J:$J,Performance!A15,'Factory Log'!$C:$C,"Make Ready")+SUMIFS('Factory Log'!$D:$D,'Factory Log'!$B:$B,Performance!A$1,'Factory Log'!$J:$J,Performance!A15,'Factory Log'!$C:$C,"Roll Change")</f>
        <v>0</v>
      </c>
      <c r="F15" s="3">
        <f>SUMIFS('Factory Log'!$M:$M,'Factory Log'!$B:$B,Performance!A$1,'Factory Log'!$J:$J,Performance!A15,'Factory Log'!$C:$C,"Running")</f>
        <v>0</v>
      </c>
      <c r="G15" s="58" cm="1">
        <f t="array" ref="G15">IFERROR(INDEX('Factory Log'!$S:$S,MATCH(1,(Performance!A$1='Factory Log'!$B:$B)*(Performance!A15='Factory Log'!$A:$A),0)),0)</f>
        <v>0</v>
      </c>
      <c r="H15" s="3">
        <f>IFERROR(VLOOKUP(A15,'Factory Log'!$J:$R,9,0),0)</f>
        <v>0</v>
      </c>
      <c r="I15" s="64">
        <f t="shared" si="1"/>
        <v>0</v>
      </c>
      <c r="J15" s="58">
        <f t="shared" si="0"/>
        <v>0</v>
      </c>
      <c r="M15" s="3">
        <f>IFERROR(VLOOKUP(L15,'Factory Log'!$J:$O,6,0),0)</f>
        <v>0</v>
      </c>
      <c r="N15" s="3">
        <f>IFERROR(VLOOKUP(L15,'Factory Log'!$J:$P,7,0),0)</f>
        <v>0</v>
      </c>
      <c r="O15" s="3">
        <f>IFERROR(VLOOKUP(L15,'Factory Log'!$J:$Q,8,0),0)</f>
        <v>0</v>
      </c>
      <c r="P15" s="58">
        <f>SUMIFS('Factory Log'!$D:$D,'Factory Log'!$B:$B,Performance!L$1,'Factory Log'!$J:$J,Performance!L15,'Factory Log'!$C:$C,"Running")+SUMIFS('Factory Log'!$D:$D,'Factory Log'!$B:$B,Performance!L$1,'Factory Log'!$J:$J,Performance!L15,'Factory Log'!$C:$C,"Make Ready")+SUMIFS('Factory Log'!$D:$D,'Factory Log'!$B:$B,Performance!L$1,'Factory Log'!$J:$J,Performance!L15,'Factory Log'!$C:$C,"Roll Change")</f>
        <v>0</v>
      </c>
      <c r="Q15" s="3">
        <f>SUMIFS('Factory Log'!$M:$M,'Factory Log'!$B:$B,Performance!L$1,'Factory Log'!$J:$J,Performance!L15,'Factory Log'!$C:$C,"Running")</f>
        <v>0</v>
      </c>
      <c r="R15" s="58" cm="1">
        <f t="array" ref="R15">IFERROR(INDEX('Factory Log'!$S:$S,MATCH(1,(Performance!L$1='Factory Log'!$B:$B)*(Performance!L15='Factory Log'!$A:$A),0)),0)</f>
        <v>0</v>
      </c>
      <c r="S15" s="3">
        <f>IFERROR(VLOOKUP(L15,'Factory Log'!$J:$R,9,0),0)</f>
        <v>0</v>
      </c>
      <c r="T15" s="64">
        <f t="shared" si="2"/>
        <v>0</v>
      </c>
      <c r="U15" s="58">
        <f t="shared" si="3"/>
        <v>0</v>
      </c>
      <c r="X15" s="3">
        <f>IFERROR(VLOOKUP(W15,'Factory Log'!$J:$O,6,0),0)</f>
        <v>0</v>
      </c>
      <c r="Y15" s="3">
        <f>IFERROR(VLOOKUP(W15,'Factory Log'!$J:$P,7,0),0)</f>
        <v>0</v>
      </c>
      <c r="Z15" s="3">
        <f>IFERROR(VLOOKUP(W15,'Factory Log'!$J:$Q,8,0),0)</f>
        <v>0</v>
      </c>
      <c r="AA15" s="58">
        <f>SUMIFS('Factory Log'!$D:$D,'Factory Log'!$B:$B,Performance!W$1,'Factory Log'!$J:$J,Performance!W15,'Factory Log'!$C:$C,"Running")+SUMIFS('Factory Log'!$D:$D,'Factory Log'!$B:$B,Performance!W$1,'Factory Log'!$J:$J,Performance!W15,'Factory Log'!$C:$C,"Make Ready")+SUMIFS('Factory Log'!$D:$D,'Factory Log'!$B:$B,Performance!W$1,'Factory Log'!$J:$J,Performance!W15,'Factory Log'!$C:$C,"Roll Change")</f>
        <v>0</v>
      </c>
      <c r="AB15" s="3">
        <f>SUMIFS('Factory Log'!$M:$M,'Factory Log'!$B:$B,Performance!W$1,'Factory Log'!$J:$J,Performance!W15,'Factory Log'!$C:$C,"Running")</f>
        <v>0</v>
      </c>
      <c r="AC15" s="58" cm="1">
        <f t="array" ref="AC15">IFERROR(INDEX('Factory Log'!$S:$S,MATCH(1,(Performance!W$1='Factory Log'!$B:$B)*(Performance!W15='Factory Log'!$A:$A),0)),0)</f>
        <v>0</v>
      </c>
      <c r="AD15" s="3">
        <f>IFERROR(VLOOKUP(W15,'Factory Log'!$J:$R,9,0),0)</f>
        <v>0</v>
      </c>
      <c r="AE15" s="64">
        <f t="shared" si="4"/>
        <v>0</v>
      </c>
      <c r="AF15" s="58">
        <f t="shared" si="5"/>
        <v>0</v>
      </c>
      <c r="AI15" s="3">
        <f>IFERROR(VLOOKUP(AH15,'Factory Log'!$J:$O,6,0),0)</f>
        <v>0</v>
      </c>
      <c r="AJ15" s="3">
        <f>IFERROR(VLOOKUP(AH15,'Factory Log'!$J:$P,7,0),0)</f>
        <v>0</v>
      </c>
      <c r="AK15" s="3">
        <f>IFERROR(VLOOKUP(AH15,'Factory Log'!$J:$Q,8,0),0)</f>
        <v>0</v>
      </c>
      <c r="AL15" s="58">
        <f>SUMIFS('Factory Log'!$D:$D,'Factory Log'!$B:$B,Performance!AH$1,'Factory Log'!$J:$J,Performance!AH15,'Factory Log'!$C:$C,"Running")+SUMIFS('Factory Log'!$D:$D,'Factory Log'!$B:$B,Performance!AH$1,'Factory Log'!$J:$J,Performance!AH15,'Factory Log'!$C:$C,"Make Ready")+SUMIFS('Factory Log'!$D:$D,'Factory Log'!$B:$B,Performance!AH$1,'Factory Log'!$J:$J,Performance!AH15,'Factory Log'!$C:$C,"Roll Change")</f>
        <v>0</v>
      </c>
      <c r="AM15" s="3">
        <f>SUMIFS('Factory Log'!$M:$M,'Factory Log'!$B:$B,Performance!AH$1,'Factory Log'!$J:$J,Performance!AH15,'Factory Log'!$C:$C,"Running")</f>
        <v>0</v>
      </c>
      <c r="AN15" s="58" cm="1">
        <f t="array" ref="AN15">IFERROR(INDEX('Factory Log'!$S:$S,MATCH(1,(Performance!AH$1='Factory Log'!$B:$B)*(Performance!AH15='Factory Log'!$A:$A),0)),0)</f>
        <v>0</v>
      </c>
      <c r="AO15" s="3">
        <f>IFERROR(VLOOKUP(AH15,'Factory Log'!$J:$R,9,0),0)</f>
        <v>0</v>
      </c>
      <c r="AP15" s="64">
        <f t="shared" si="6"/>
        <v>0</v>
      </c>
      <c r="AQ15" s="58">
        <f t="shared" si="7"/>
        <v>0</v>
      </c>
      <c r="AT15" s="3">
        <f>IFERROR(VLOOKUP(AS15,'Factory Log'!$J:$O,6,0),0)</f>
        <v>0</v>
      </c>
      <c r="AU15" s="3">
        <f>IFERROR(VLOOKUP(AS15,'Factory Log'!$J:$P,7,0),0)</f>
        <v>0</v>
      </c>
      <c r="AV15" s="3">
        <f>IFERROR(VLOOKUP(AS15,'Factory Log'!$J:$Q,8,0),0)</f>
        <v>0</v>
      </c>
      <c r="AW15" s="58">
        <f>SUMIFS('Factory Log'!$D:$D,'Factory Log'!$B:$B,Performance!AS$1,'Factory Log'!$J:$J,Performance!AS15,'Factory Log'!$C:$C,"Running")+SUMIFS('Factory Log'!$D:$D,'Factory Log'!$B:$B,Performance!AS$1,'Factory Log'!$J:$J,Performance!AS15,'Factory Log'!$C:$C,"Make Ready")+SUMIFS('Factory Log'!$D:$D,'Factory Log'!$B:$B,Performance!AS$1,'Factory Log'!$J:$J,Performance!AS15,'Factory Log'!$C:$C,"Roll Change")</f>
        <v>0</v>
      </c>
      <c r="AX15" s="3">
        <f>SUMIFS('Factory Log'!$M:$M,'Factory Log'!$B:$B,Performance!AS$1,'Factory Log'!$J:$J,Performance!AS15,'Factory Log'!$C:$C,"Running")</f>
        <v>0</v>
      </c>
      <c r="AY15" s="58" cm="1">
        <f t="array" ref="AY15">IFERROR(INDEX('Factory Log'!$S:$S,MATCH(1,(Performance!AS$1='Factory Log'!$B:$B)*(Performance!AS15='Factory Log'!$A:$A),0)),0)</f>
        <v>0</v>
      </c>
      <c r="AZ15" s="3">
        <f>IFERROR(VLOOKUP(AS15,'Factory Log'!$J:$R,9,0),0)</f>
        <v>0</v>
      </c>
      <c r="BA15" s="64">
        <f t="shared" si="8"/>
        <v>0</v>
      </c>
      <c r="BB15" s="58">
        <f t="shared" si="9"/>
        <v>0</v>
      </c>
      <c r="BE15" s="3">
        <f>IFERROR(VLOOKUP(BD15,'Factory Log'!$J:$O,6,0),0)</f>
        <v>0</v>
      </c>
      <c r="BF15" s="3">
        <f>IFERROR(VLOOKUP(BD15,'Factory Log'!$J:$P,7,0),0)</f>
        <v>0</v>
      </c>
      <c r="BG15" s="3">
        <f>IFERROR(VLOOKUP(BD15,'Factory Log'!$J:$Q,8,0),0)</f>
        <v>0</v>
      </c>
      <c r="BH15" s="58">
        <f>SUMIFS('Factory Log'!$D:$D,'Factory Log'!$B:$B,Performance!BD$1,'Factory Log'!$J:$J,Performance!BD15,'Factory Log'!$C:$C,"Running")+SUMIFS('Factory Log'!$D:$D,'Factory Log'!$B:$B,Performance!BD$1,'Factory Log'!$J:$J,Performance!BD15,'Factory Log'!$C:$C,"Make Ready")+SUMIFS('Factory Log'!$D:$D,'Factory Log'!$B:$B,Performance!BD$1,'Factory Log'!$J:$J,Performance!BD15,'Factory Log'!$C:$C,"Roll Change")</f>
        <v>0</v>
      </c>
      <c r="BI15" s="3">
        <f>SUMIFS('Factory Log'!$M:$M,'Factory Log'!$B:$B,Performance!BD$1,'Factory Log'!$J:$J,Performance!BD15,'Factory Log'!$C:$C,"Running")</f>
        <v>0</v>
      </c>
      <c r="BJ15" s="58" cm="1">
        <f t="array" ref="BJ15">IFERROR(INDEX('Factory Log'!$S:$S,MATCH(1,(Performance!BD$1='Factory Log'!$B:$B)*(Performance!BD15='Factory Log'!$A:$A),0)),0)</f>
        <v>0</v>
      </c>
      <c r="BK15" s="3">
        <f>IFERROR(VLOOKUP(BD15,'Factory Log'!$J:$R,9,0),0)</f>
        <v>0</v>
      </c>
      <c r="BL15" s="64">
        <f t="shared" si="10"/>
        <v>0</v>
      </c>
      <c r="BM15" s="58">
        <f t="shared" si="11"/>
        <v>0</v>
      </c>
      <c r="BP15" s="3">
        <f>IFERROR(VLOOKUP(BO15,'Factory Log'!$J:$O,6,0),0)</f>
        <v>0</v>
      </c>
      <c r="BQ15" s="3">
        <f>IFERROR(VLOOKUP(BO15,'Factory Log'!$J:$P,7,0),0)</f>
        <v>0</v>
      </c>
      <c r="BR15" s="3">
        <f>IFERROR(VLOOKUP(BO15,'Factory Log'!$J:$Q,8,0),0)</f>
        <v>0</v>
      </c>
      <c r="BS15" s="58">
        <f>SUMIFS('Factory Log'!$D:$D,'Factory Log'!$B:$B,Performance!BO$1,'Factory Log'!$J:$J,Performance!BO15,'Factory Log'!$C:$C,"Running")+SUMIFS('Factory Log'!$D:$D,'Factory Log'!$B:$B,Performance!BO$1,'Factory Log'!$J:$J,Performance!BO15,'Factory Log'!$C:$C,"Make Ready")+SUMIFS('Factory Log'!$D:$D,'Factory Log'!$B:$B,Performance!BO$1,'Factory Log'!$J:$J,Performance!BO15,'Factory Log'!$C:$C,"Roll Change")</f>
        <v>0</v>
      </c>
      <c r="BT15" s="3">
        <f>SUMIFS('Factory Log'!$M:$M,'Factory Log'!$B:$B,Performance!BO$1,'Factory Log'!$J:$J,Performance!BO15,'Factory Log'!$C:$C,"Running")</f>
        <v>0</v>
      </c>
      <c r="BU15" s="58" cm="1">
        <f t="array" ref="BU15">IFERROR(INDEX('Factory Log'!$S:$S,MATCH(1,(Performance!BO$1='Factory Log'!$B:$B)*(Performance!BO15='Factory Log'!$A:$A),0)),0)</f>
        <v>0</v>
      </c>
      <c r="BV15" s="3">
        <f>IFERROR(VLOOKUP(BO15,'Factory Log'!$J:$R,9,0),0)</f>
        <v>0</v>
      </c>
      <c r="BW15" s="64">
        <f t="shared" si="12"/>
        <v>0</v>
      </c>
      <c r="BX15" s="58">
        <f t="shared" si="13"/>
        <v>0</v>
      </c>
      <c r="CA15" s="3">
        <f>IFERROR(VLOOKUP(BZ15,'Factory Log'!$J:$O,6,0),0)</f>
        <v>0</v>
      </c>
      <c r="CB15" s="3">
        <f>IFERROR(VLOOKUP(BZ15,'Factory Log'!$J:$P,7,0),0)</f>
        <v>0</v>
      </c>
      <c r="CC15" s="3">
        <f>IFERROR(VLOOKUP(BZ15,'Factory Log'!$J:$Q,8,0),0)</f>
        <v>0</v>
      </c>
      <c r="CD15" s="58">
        <f>SUMIFS('Factory Log'!$D:$D,'Factory Log'!$B:$B,Performance!BZ$1,'Factory Log'!$J:$J,Performance!BZ15,'Factory Log'!$C:$C,"Running")+SUMIFS('Factory Log'!$D:$D,'Factory Log'!$B:$B,Performance!BZ$1,'Factory Log'!$J:$J,Performance!BZ15,'Factory Log'!$C:$C,"Make Ready")+SUMIFS('Factory Log'!$D:$D,'Factory Log'!$B:$B,Performance!BZ$1,'Factory Log'!$J:$J,Performance!BZ15,'Factory Log'!$C:$C,"Roll Change")</f>
        <v>0</v>
      </c>
      <c r="CE15" s="3">
        <f>SUMIFS('Factory Log'!$M:$M,'Factory Log'!$B:$B,Performance!BZ$1,'Factory Log'!$J:$J,Performance!BZ15,'Factory Log'!$C:$C,"Running")</f>
        <v>0</v>
      </c>
      <c r="CF15" s="58" cm="1">
        <f t="array" ref="CF15">IFERROR(INDEX('Factory Log'!$S:$S,MATCH(1,(Performance!BZ$1='Factory Log'!$B:$B)*(Performance!BZ15='Factory Log'!$A:$A),0)),0)</f>
        <v>0</v>
      </c>
      <c r="CG15" s="3">
        <f>IFERROR(VLOOKUP(BZ15,'Factory Log'!$J:$R,9,0),0)</f>
        <v>0</v>
      </c>
      <c r="CH15" s="64">
        <f t="shared" si="14"/>
        <v>0</v>
      </c>
      <c r="CI15" s="58">
        <f t="shared" si="15"/>
        <v>0</v>
      </c>
      <c r="CL15" s="3">
        <f>IFERROR(VLOOKUP(CK15,'Factory Log'!$J:$O,6,0),0)</f>
        <v>0</v>
      </c>
      <c r="CM15" s="3">
        <f>IFERROR(VLOOKUP(CK15,'Factory Log'!$J:$P,7,0),0)</f>
        <v>0</v>
      </c>
      <c r="CN15" s="3">
        <f>IFERROR(VLOOKUP(CK15,'Factory Log'!$J:$Q,8,0),0)</f>
        <v>0</v>
      </c>
      <c r="CO15" s="58">
        <f>SUMIFS('Factory Log'!$D:$D,'Factory Log'!$B:$B,Performance!CK$1,'Factory Log'!$J:$J,Performance!CK15,'Factory Log'!$C:$C,"Running")+SUMIFS('Factory Log'!$D:$D,'Factory Log'!$B:$B,Performance!CK$1,'Factory Log'!$J:$J,Performance!CK15,'Factory Log'!$C:$C,"Make Ready")+SUMIFS('Factory Log'!$D:$D,'Factory Log'!$B:$B,Performance!CK$1,'Factory Log'!$J:$J,Performance!CK15,'Factory Log'!$C:$C,"Roll Change")</f>
        <v>0</v>
      </c>
      <c r="CP15" s="3">
        <f>SUMIFS('Factory Log'!$M:$M,'Factory Log'!$B:$B,Performance!CK$1,'Factory Log'!$J:$J,Performance!CK15,'Factory Log'!$C:$C,"Running")</f>
        <v>0</v>
      </c>
      <c r="CQ15" s="58" cm="1">
        <f t="array" ref="CQ15">IFERROR(INDEX('Factory Log'!$S:$S,MATCH(1,(Performance!CK$1='Factory Log'!$B:$B)*(Performance!CK15='Factory Log'!$A:$A),0)),0)</f>
        <v>0</v>
      </c>
      <c r="CR15" s="3">
        <f>IFERROR(VLOOKUP(CK15,'Factory Log'!$J:$R,9,0),0)</f>
        <v>0</v>
      </c>
      <c r="CS15" s="64">
        <f t="shared" si="16"/>
        <v>0</v>
      </c>
      <c r="CT15" s="58">
        <f t="shared" si="17"/>
        <v>0</v>
      </c>
      <c r="CW15" s="3">
        <f>IFERROR(VLOOKUP(CV15,'Factory Log'!$J:$O,6,0),0)</f>
        <v>0</v>
      </c>
      <c r="CX15" s="3">
        <f>IFERROR(VLOOKUP(CV15,'Factory Log'!$J:$P,7,0),0)</f>
        <v>0</v>
      </c>
      <c r="CY15" s="3">
        <f>IFERROR(VLOOKUP(CV15,'Factory Log'!$J:$Q,8,0),0)</f>
        <v>0</v>
      </c>
      <c r="CZ15" s="58">
        <f>SUMIFS('Factory Log'!$D:$D,'Factory Log'!$B:$B,Performance!CV$1,'Factory Log'!$J:$J,Performance!CV15,'Factory Log'!$C:$C,"Running")+SUMIFS('Factory Log'!$D:$D,'Factory Log'!$B:$B,Performance!CV$1,'Factory Log'!$J:$J,Performance!CV15,'Factory Log'!$C:$C,"Make Ready")+SUMIFS('Factory Log'!$D:$D,'Factory Log'!$B:$B,Performance!CV$1,'Factory Log'!$J:$J,Performance!CV15,'Factory Log'!$C:$C,"Roll Change")</f>
        <v>0</v>
      </c>
      <c r="DA15" s="3">
        <f>SUMIFS('Factory Log'!$M:$M,'Factory Log'!$B:$B,Performance!CV$1,'Factory Log'!$J:$J,Performance!CV15,'Factory Log'!$C:$C,"Running")</f>
        <v>0</v>
      </c>
      <c r="DB15" s="58" cm="1">
        <f t="array" ref="DB15">IFERROR(INDEX('Factory Log'!$S:$S,MATCH(1,(Performance!CV$1='Factory Log'!$B:$B)*(Performance!CV15='Factory Log'!$A:$A),0)),0)</f>
        <v>0</v>
      </c>
      <c r="DC15" s="3">
        <f>IFERROR(VLOOKUP(CV15,'Factory Log'!$J:$R,9,0),0)</f>
        <v>0</v>
      </c>
      <c r="DD15" s="64">
        <f t="shared" si="18"/>
        <v>0</v>
      </c>
      <c r="DE15" s="58">
        <f t="shared" si="19"/>
        <v>0</v>
      </c>
      <c r="DH15" s="3">
        <f>IFERROR(VLOOKUP(DG15,'Factory Log'!$J:$O,6,0),0)</f>
        <v>0</v>
      </c>
      <c r="DI15" s="3">
        <f>IFERROR(VLOOKUP(DG15,'Factory Log'!$J:$P,7,0),0)</f>
        <v>0</v>
      </c>
      <c r="DJ15" s="3">
        <f>IFERROR(VLOOKUP(DG15,'Factory Log'!$J:$Q,8,0),0)</f>
        <v>0</v>
      </c>
      <c r="DK15" s="58">
        <f>SUMIFS('Factory Log'!$D:$D,'Factory Log'!$B:$B,Performance!DG$1,'Factory Log'!$J:$J,Performance!DG15,'Factory Log'!$C:$C,"Running")+SUMIFS('Factory Log'!$D:$D,'Factory Log'!$B:$B,Performance!DG$1,'Factory Log'!$J:$J,Performance!DG15,'Factory Log'!$C:$C,"Make Ready")+SUMIFS('Factory Log'!$D:$D,'Factory Log'!$B:$B,Performance!DG$1,'Factory Log'!$J:$J,Performance!DG15,'Factory Log'!$C:$C,"Roll Change")</f>
        <v>0</v>
      </c>
      <c r="DL15" s="3">
        <f>SUMIFS('Factory Log'!$M:$M,'Factory Log'!$B:$B,Performance!DG$1,'Factory Log'!$J:$J,Performance!DG15,'Factory Log'!$C:$C,"Running")</f>
        <v>0</v>
      </c>
      <c r="DM15" s="58" cm="1">
        <f t="array" ref="DM15">IFERROR(INDEX('Factory Log'!$S:$S,MATCH(1,(Performance!DG$1='Factory Log'!$B:$B)*(Performance!DG15='Factory Log'!$A:$A),0)),0)</f>
        <v>0</v>
      </c>
      <c r="DN15" s="3">
        <f>IFERROR(VLOOKUP(DG15,'Factory Log'!$J:$R,9,0),0)</f>
        <v>0</v>
      </c>
      <c r="DO15" s="64">
        <f t="shared" si="20"/>
        <v>0</v>
      </c>
      <c r="DP15" s="58">
        <f t="shared" si="21"/>
        <v>0</v>
      </c>
      <c r="DS15" s="3">
        <f>IFERROR(VLOOKUP(DR15,'Factory Log'!$J:$O,6,0),0)</f>
        <v>0</v>
      </c>
      <c r="DT15" s="3">
        <f>IFERROR(VLOOKUP(DR15,'Factory Log'!$J:$P,7,0),0)</f>
        <v>0</v>
      </c>
      <c r="DU15" s="3">
        <f>IFERROR(VLOOKUP(DR15,'Factory Log'!$J:$Q,8,0),0)</f>
        <v>0</v>
      </c>
      <c r="DV15" s="58">
        <f>SUMIFS('Factory Log'!$D:$D,'Factory Log'!$B:$B,Performance!DR$1,'Factory Log'!$J:$J,Performance!DR15,'Factory Log'!$C:$C,"Running")+SUMIFS('Factory Log'!$D:$D,'Factory Log'!$B:$B,Performance!DR$1,'Factory Log'!$J:$J,Performance!DR15,'Factory Log'!$C:$C,"Make Ready")+SUMIFS('Factory Log'!$D:$D,'Factory Log'!$B:$B,Performance!DR$1,'Factory Log'!$J:$J,Performance!DR15,'Factory Log'!$C:$C,"Roll Change")</f>
        <v>0</v>
      </c>
      <c r="DW15" s="3">
        <f>SUMIFS('Factory Log'!$M:$M,'Factory Log'!$B:$B,Performance!DR$1,'Factory Log'!$J:$J,Performance!DR15,'Factory Log'!$C:$C,"Running")</f>
        <v>0</v>
      </c>
      <c r="DX15" s="58" cm="1">
        <f t="array" ref="DX15">IFERROR(INDEX('Factory Log'!$S:$S,MATCH(1,(Performance!DR$1='Factory Log'!$B:$B)*(Performance!DR15='Factory Log'!$A:$A),0)),0)</f>
        <v>0</v>
      </c>
      <c r="DY15" s="3">
        <f>IFERROR(VLOOKUP(DR15,'Factory Log'!$J:$R,9,0),0)</f>
        <v>0</v>
      </c>
      <c r="DZ15" s="64">
        <f t="shared" si="22"/>
        <v>0</v>
      </c>
      <c r="EA15" s="58">
        <f t="shared" si="23"/>
        <v>0</v>
      </c>
      <c r="ED15" s="3">
        <f>IFERROR(VLOOKUP(EC15,'Factory Log'!$J:$O,6,0),0)</f>
        <v>0</v>
      </c>
      <c r="EE15" s="3">
        <f>IFERROR(VLOOKUP(EC15,'Factory Log'!$J:$P,7,0),0)</f>
        <v>0</v>
      </c>
      <c r="EF15" s="3">
        <f>IFERROR(VLOOKUP(EC15,'Factory Log'!$J:$Q,8,0),0)</f>
        <v>0</v>
      </c>
      <c r="EG15" s="58">
        <f>SUMIFS('Factory Log'!$D:$D,'Factory Log'!$B:$B,Performance!EC$1,'Factory Log'!$J:$J,Performance!EC15,'Factory Log'!$C:$C,"Running")+SUMIFS('Factory Log'!$D:$D,'Factory Log'!$B:$B,Performance!EC$1,'Factory Log'!$J:$J,Performance!EC15,'Factory Log'!$C:$C,"Make Ready")+SUMIFS('Factory Log'!$D:$D,'Factory Log'!$B:$B,Performance!EC$1,'Factory Log'!$J:$J,Performance!EC15,'Factory Log'!$C:$C,"Roll Change")</f>
        <v>0</v>
      </c>
      <c r="EH15" s="3">
        <f>SUMIFS('Factory Log'!$M:$M,'Factory Log'!$B:$B,Performance!EC$1,'Factory Log'!$J:$J,Performance!EC15,'Factory Log'!$C:$C,"Running")</f>
        <v>0</v>
      </c>
      <c r="EI15" s="58" cm="1">
        <f t="array" ref="EI15">IFERROR(INDEX('Factory Log'!$S:$S,MATCH(1,(Performance!EC$1='Factory Log'!$B:$B)*(Performance!EC15='Factory Log'!$A:$A),0)),0)</f>
        <v>0</v>
      </c>
      <c r="EJ15" s="3">
        <f>IFERROR(VLOOKUP(EC15,'Factory Log'!$J:$R,9,0),0)</f>
        <v>0</v>
      </c>
      <c r="EK15" s="64">
        <f t="shared" si="24"/>
        <v>0</v>
      </c>
      <c r="EL15" s="58">
        <f t="shared" si="25"/>
        <v>0</v>
      </c>
      <c r="EO15" s="3">
        <f>IFERROR(VLOOKUP(EN15,'Factory Log'!$J:$O,6,0),0)</f>
        <v>0</v>
      </c>
      <c r="EP15" s="3">
        <f>IFERROR(VLOOKUP(EN15,'Factory Log'!$J:$P,7,0),0)</f>
        <v>0</v>
      </c>
      <c r="EQ15" s="3">
        <f>IFERROR(VLOOKUP(EN15,'Factory Log'!$J:$Q,8,0),0)</f>
        <v>0</v>
      </c>
      <c r="ER15" s="58">
        <f>SUMIFS('Factory Log'!$D:$D,'Factory Log'!$B:$B,Performance!EN$1,'Factory Log'!$J:$J,Performance!EN15,'Factory Log'!$C:$C,"Running")+SUMIFS('Factory Log'!$D:$D,'Factory Log'!$B:$B,Performance!EN$1,'Factory Log'!$J:$J,Performance!EN15,'Factory Log'!$C:$C,"Make Ready")+SUMIFS('Factory Log'!$D:$D,'Factory Log'!$B:$B,Performance!EN$1,'Factory Log'!$J:$J,Performance!EN15,'Factory Log'!$C:$C,"Roll Change")</f>
        <v>0</v>
      </c>
      <c r="ES15" s="3">
        <f>SUMIFS('Factory Log'!$M:$M,'Factory Log'!$B:$B,Performance!EN$1,'Factory Log'!$J:$J,Performance!EN15,'Factory Log'!$C:$C,"Running")</f>
        <v>0</v>
      </c>
      <c r="ET15" s="58" cm="1">
        <f t="array" ref="ET15">IFERROR(INDEX('Factory Log'!$S:$S,MATCH(1,(Performance!EN$1='Factory Log'!$B:$B)*(Performance!EN15='Factory Log'!$A:$A),0)),0)</f>
        <v>0</v>
      </c>
      <c r="EU15" s="3">
        <f>IFERROR(VLOOKUP(EN15,'Factory Log'!$J:$R,9,0),0)</f>
        <v>0</v>
      </c>
      <c r="EV15" s="64">
        <f t="shared" si="26"/>
        <v>0</v>
      </c>
      <c r="EW15" s="58">
        <f t="shared" si="27"/>
        <v>0</v>
      </c>
      <c r="EZ15" s="3">
        <f>IFERROR(VLOOKUP(EY15,'Factory Log'!$J:$O,6,0),0)</f>
        <v>0</v>
      </c>
      <c r="FA15" s="3">
        <f>IFERROR(VLOOKUP(EY15,'Factory Log'!$J:$P,7,0),0)</f>
        <v>0</v>
      </c>
      <c r="FB15" s="3">
        <f>IFERROR(VLOOKUP(EY15,'Factory Log'!$J:$Q,8,0),0)</f>
        <v>0</v>
      </c>
      <c r="FC15" s="58">
        <f>SUMIFS('Factory Log'!$D:$D,'Factory Log'!$B:$B,Performance!EY$1,'Factory Log'!$J:$J,Performance!EY15,'Factory Log'!$C:$C,"Running")+SUMIFS('Factory Log'!$D:$D,'Factory Log'!$B:$B,Performance!EY$1,'Factory Log'!$J:$J,Performance!EY15,'Factory Log'!$C:$C,"Make Ready")+SUMIFS('Factory Log'!$D:$D,'Factory Log'!$B:$B,Performance!EY$1,'Factory Log'!$J:$J,Performance!EY15,'Factory Log'!$C:$C,"Roll Change")</f>
        <v>0</v>
      </c>
      <c r="FD15" s="3">
        <f>SUMIFS('Factory Log'!$M:$M,'Factory Log'!$B:$B,Performance!EY$1,'Factory Log'!$J:$J,Performance!EY15,'Factory Log'!$C:$C,"Running")</f>
        <v>0</v>
      </c>
      <c r="FE15" s="58" cm="1">
        <f t="array" ref="FE15">IFERROR(INDEX('Factory Log'!$S:$S,MATCH(1,(Performance!EY$1='Factory Log'!$B:$B)*(Performance!EY15='Factory Log'!$A:$A),0)),0)</f>
        <v>0</v>
      </c>
      <c r="FF15" s="3">
        <f>IFERROR(VLOOKUP(EY15,'Factory Log'!$J:$R,9,0),0)</f>
        <v>0</v>
      </c>
      <c r="FG15" s="64">
        <f t="shared" si="28"/>
        <v>0</v>
      </c>
      <c r="FH15" s="58">
        <f t="shared" si="29"/>
        <v>0</v>
      </c>
    </row>
    <row r="16" spans="1:164" ht="16" customHeight="1" x14ac:dyDescent="0.2">
      <c r="B16" s="3">
        <f>IFERROR(VLOOKUP(A16,'Factory Log'!$J:$O,6,0),0)</f>
        <v>0</v>
      </c>
      <c r="C16" s="3">
        <f>IFERROR(VLOOKUP(A16,'Factory Log'!$J:$P,7,0),0)</f>
        <v>0</v>
      </c>
      <c r="D16" s="3">
        <f>IFERROR(VLOOKUP(A16,'Factory Log'!$J:$Q,8,0),0)</f>
        <v>0</v>
      </c>
      <c r="E16" s="58">
        <f>SUMIFS('Factory Log'!$D:$D,'Factory Log'!$B:$B,Performance!A$1,'Factory Log'!$J:$J,Performance!A16,'Factory Log'!$C:$C,"Running")+SUMIFS('Factory Log'!$D:$D,'Factory Log'!$B:$B,Performance!A$1,'Factory Log'!$J:$J,Performance!A16,'Factory Log'!$C:$C,"Make Ready")+SUMIFS('Factory Log'!$D:$D,'Factory Log'!$B:$B,Performance!A$1,'Factory Log'!$J:$J,Performance!A16,'Factory Log'!$C:$C,"Roll Change")</f>
        <v>0</v>
      </c>
      <c r="F16" s="3">
        <f>SUMIFS('Factory Log'!$M:$M,'Factory Log'!$B:$B,Performance!A$1,'Factory Log'!$J:$J,Performance!A16,'Factory Log'!$C:$C,"Running")</f>
        <v>0</v>
      </c>
      <c r="G16" s="58" cm="1">
        <f t="array" ref="G16">IFERROR(INDEX('Factory Log'!$S:$S,MATCH(1,(Performance!A$1='Factory Log'!$B:$B)*(Performance!A16='Factory Log'!$A:$A),0)),0)</f>
        <v>0</v>
      </c>
      <c r="H16" s="3">
        <f>IFERROR(VLOOKUP(A16,'Factory Log'!$J:$R,9,0),0)</f>
        <v>0</v>
      </c>
      <c r="I16" s="64">
        <f t="shared" si="1"/>
        <v>0</v>
      </c>
      <c r="J16" s="58">
        <f t="shared" si="0"/>
        <v>0</v>
      </c>
      <c r="M16" s="3">
        <f>IFERROR(VLOOKUP(L16,'Factory Log'!$J:$O,6,0),0)</f>
        <v>0</v>
      </c>
      <c r="N16" s="3">
        <f>IFERROR(VLOOKUP(L16,'Factory Log'!$J:$P,7,0),0)</f>
        <v>0</v>
      </c>
      <c r="O16" s="3">
        <f>IFERROR(VLOOKUP(L16,'Factory Log'!$J:$Q,8,0),0)</f>
        <v>0</v>
      </c>
      <c r="P16" s="58">
        <f>SUMIFS('Factory Log'!$D:$D,'Factory Log'!$B:$B,Performance!L$1,'Factory Log'!$J:$J,Performance!L16,'Factory Log'!$C:$C,"Running")+SUMIFS('Factory Log'!$D:$D,'Factory Log'!$B:$B,Performance!L$1,'Factory Log'!$J:$J,Performance!L16,'Factory Log'!$C:$C,"Make Ready")+SUMIFS('Factory Log'!$D:$D,'Factory Log'!$B:$B,Performance!L$1,'Factory Log'!$J:$J,Performance!L16,'Factory Log'!$C:$C,"Roll Change")</f>
        <v>0</v>
      </c>
      <c r="Q16" s="3">
        <f>SUMIFS('Factory Log'!$M:$M,'Factory Log'!$B:$B,Performance!L$1,'Factory Log'!$J:$J,Performance!L16,'Factory Log'!$C:$C,"Running")</f>
        <v>0</v>
      </c>
      <c r="R16" s="58" cm="1">
        <f t="array" ref="R16">IFERROR(INDEX('Factory Log'!$S:$S,MATCH(1,(Performance!L$1='Factory Log'!$B:$B)*(Performance!L16='Factory Log'!$A:$A),0)),0)</f>
        <v>0</v>
      </c>
      <c r="S16" s="3">
        <f>IFERROR(VLOOKUP(L16,'Factory Log'!$J:$R,9,0),0)</f>
        <v>0</v>
      </c>
      <c r="T16" s="64">
        <f t="shared" si="2"/>
        <v>0</v>
      </c>
      <c r="U16" s="58">
        <f t="shared" si="3"/>
        <v>0</v>
      </c>
      <c r="X16" s="3">
        <f>IFERROR(VLOOKUP(W16,'Factory Log'!$J:$O,6,0),0)</f>
        <v>0</v>
      </c>
      <c r="Y16" s="3">
        <f>IFERROR(VLOOKUP(W16,'Factory Log'!$J:$P,7,0),0)</f>
        <v>0</v>
      </c>
      <c r="Z16" s="3">
        <f>IFERROR(VLOOKUP(W16,'Factory Log'!$J:$Q,8,0),0)</f>
        <v>0</v>
      </c>
      <c r="AA16" s="58">
        <f>SUMIFS('Factory Log'!$D:$D,'Factory Log'!$B:$B,Performance!W$1,'Factory Log'!$J:$J,Performance!W16,'Factory Log'!$C:$C,"Running")+SUMIFS('Factory Log'!$D:$D,'Factory Log'!$B:$B,Performance!W$1,'Factory Log'!$J:$J,Performance!W16,'Factory Log'!$C:$C,"Make Ready")+SUMIFS('Factory Log'!$D:$D,'Factory Log'!$B:$B,Performance!W$1,'Factory Log'!$J:$J,Performance!W16,'Factory Log'!$C:$C,"Roll Change")</f>
        <v>0</v>
      </c>
      <c r="AB16" s="3">
        <f>SUMIFS('Factory Log'!$M:$M,'Factory Log'!$B:$B,Performance!W$1,'Factory Log'!$J:$J,Performance!W16,'Factory Log'!$C:$C,"Running")</f>
        <v>0</v>
      </c>
      <c r="AC16" s="58" cm="1">
        <f t="array" ref="AC16">IFERROR(INDEX('Factory Log'!$S:$S,MATCH(1,(Performance!W$1='Factory Log'!$B:$B)*(Performance!W16='Factory Log'!$A:$A),0)),0)</f>
        <v>0</v>
      </c>
      <c r="AD16" s="3">
        <f>IFERROR(VLOOKUP(W16,'Factory Log'!$J:$R,9,0),0)</f>
        <v>0</v>
      </c>
      <c r="AE16" s="64">
        <f t="shared" si="4"/>
        <v>0</v>
      </c>
      <c r="AF16" s="58">
        <f t="shared" si="5"/>
        <v>0</v>
      </c>
      <c r="AI16" s="3">
        <f>IFERROR(VLOOKUP(AH16,'Factory Log'!$J:$O,6,0),0)</f>
        <v>0</v>
      </c>
      <c r="AJ16" s="3">
        <f>IFERROR(VLOOKUP(AH16,'Factory Log'!$J:$P,7,0),0)</f>
        <v>0</v>
      </c>
      <c r="AK16" s="3">
        <f>IFERROR(VLOOKUP(AH16,'Factory Log'!$J:$Q,8,0),0)</f>
        <v>0</v>
      </c>
      <c r="AL16" s="58">
        <f>SUMIFS('Factory Log'!$D:$D,'Factory Log'!$B:$B,Performance!AH$1,'Factory Log'!$J:$J,Performance!AH16,'Factory Log'!$C:$C,"Running")+SUMIFS('Factory Log'!$D:$D,'Factory Log'!$B:$B,Performance!AH$1,'Factory Log'!$J:$J,Performance!AH16,'Factory Log'!$C:$C,"Make Ready")+SUMIFS('Factory Log'!$D:$D,'Factory Log'!$B:$B,Performance!AH$1,'Factory Log'!$J:$J,Performance!AH16,'Factory Log'!$C:$C,"Roll Change")</f>
        <v>0</v>
      </c>
      <c r="AM16" s="3">
        <f>SUMIFS('Factory Log'!$M:$M,'Factory Log'!$B:$B,Performance!AH$1,'Factory Log'!$J:$J,Performance!AH16,'Factory Log'!$C:$C,"Running")</f>
        <v>0</v>
      </c>
      <c r="AN16" s="58" cm="1">
        <f t="array" ref="AN16">IFERROR(INDEX('Factory Log'!$S:$S,MATCH(1,(Performance!AH$1='Factory Log'!$B:$B)*(Performance!AH16='Factory Log'!$A:$A),0)),0)</f>
        <v>0</v>
      </c>
      <c r="AO16" s="3">
        <f>IFERROR(VLOOKUP(AH16,'Factory Log'!$J:$R,9,0),0)</f>
        <v>0</v>
      </c>
      <c r="AP16" s="64">
        <f t="shared" si="6"/>
        <v>0</v>
      </c>
      <c r="AQ16" s="58">
        <f t="shared" si="7"/>
        <v>0</v>
      </c>
      <c r="AT16" s="3">
        <f>IFERROR(VLOOKUP(AS16,'Factory Log'!$J:$O,6,0),0)</f>
        <v>0</v>
      </c>
      <c r="AU16" s="3">
        <f>IFERROR(VLOOKUP(AS16,'Factory Log'!$J:$P,7,0),0)</f>
        <v>0</v>
      </c>
      <c r="AV16" s="3">
        <f>IFERROR(VLOOKUP(AS16,'Factory Log'!$J:$Q,8,0),0)</f>
        <v>0</v>
      </c>
      <c r="AW16" s="58">
        <f>SUMIFS('Factory Log'!$D:$D,'Factory Log'!$B:$B,Performance!AS$1,'Factory Log'!$J:$J,Performance!AS16,'Factory Log'!$C:$C,"Running")+SUMIFS('Factory Log'!$D:$D,'Factory Log'!$B:$B,Performance!AS$1,'Factory Log'!$J:$J,Performance!AS16,'Factory Log'!$C:$C,"Make Ready")+SUMIFS('Factory Log'!$D:$D,'Factory Log'!$B:$B,Performance!AS$1,'Factory Log'!$J:$J,Performance!AS16,'Factory Log'!$C:$C,"Roll Change")</f>
        <v>0</v>
      </c>
      <c r="AX16" s="3">
        <f>SUMIFS('Factory Log'!$M:$M,'Factory Log'!$B:$B,Performance!AS$1,'Factory Log'!$J:$J,Performance!AS16,'Factory Log'!$C:$C,"Running")</f>
        <v>0</v>
      </c>
      <c r="AY16" s="58" cm="1">
        <f t="array" ref="AY16">IFERROR(INDEX('Factory Log'!$S:$S,MATCH(1,(Performance!AS$1='Factory Log'!$B:$B)*(Performance!AS16='Factory Log'!$A:$A),0)),0)</f>
        <v>0</v>
      </c>
      <c r="AZ16" s="3">
        <f>IFERROR(VLOOKUP(AS16,'Factory Log'!$J:$R,9,0),0)</f>
        <v>0</v>
      </c>
      <c r="BA16" s="64">
        <f t="shared" si="8"/>
        <v>0</v>
      </c>
      <c r="BB16" s="58">
        <f t="shared" si="9"/>
        <v>0</v>
      </c>
      <c r="BE16" s="3">
        <f>IFERROR(VLOOKUP(BD16,'Factory Log'!$J:$O,6,0),0)</f>
        <v>0</v>
      </c>
      <c r="BF16" s="3">
        <f>IFERROR(VLOOKUP(BD16,'Factory Log'!$J:$P,7,0),0)</f>
        <v>0</v>
      </c>
      <c r="BG16" s="3">
        <f>IFERROR(VLOOKUP(BD16,'Factory Log'!$J:$Q,8,0),0)</f>
        <v>0</v>
      </c>
      <c r="BH16" s="58">
        <f>SUMIFS('Factory Log'!$D:$D,'Factory Log'!$B:$B,Performance!BD$1,'Factory Log'!$J:$J,Performance!BD16,'Factory Log'!$C:$C,"Running")+SUMIFS('Factory Log'!$D:$D,'Factory Log'!$B:$B,Performance!BD$1,'Factory Log'!$J:$J,Performance!BD16,'Factory Log'!$C:$C,"Make Ready")+SUMIFS('Factory Log'!$D:$D,'Factory Log'!$B:$B,Performance!BD$1,'Factory Log'!$J:$J,Performance!BD16,'Factory Log'!$C:$C,"Roll Change")</f>
        <v>0</v>
      </c>
      <c r="BI16" s="3">
        <f>SUMIFS('Factory Log'!$M:$M,'Factory Log'!$B:$B,Performance!BD$1,'Factory Log'!$J:$J,Performance!BD16,'Factory Log'!$C:$C,"Running")</f>
        <v>0</v>
      </c>
      <c r="BJ16" s="58" cm="1">
        <f t="array" ref="BJ16">IFERROR(INDEX('Factory Log'!$S:$S,MATCH(1,(Performance!BD$1='Factory Log'!$B:$B)*(Performance!BD16='Factory Log'!$A:$A),0)),0)</f>
        <v>0</v>
      </c>
      <c r="BK16" s="3">
        <f>IFERROR(VLOOKUP(BD16,'Factory Log'!$J:$R,9,0),0)</f>
        <v>0</v>
      </c>
      <c r="BL16" s="64">
        <f t="shared" si="10"/>
        <v>0</v>
      </c>
      <c r="BM16" s="58">
        <f t="shared" si="11"/>
        <v>0</v>
      </c>
      <c r="BP16" s="3">
        <f>IFERROR(VLOOKUP(BO16,'Factory Log'!$J:$O,6,0),0)</f>
        <v>0</v>
      </c>
      <c r="BQ16" s="3">
        <f>IFERROR(VLOOKUP(BO16,'Factory Log'!$J:$P,7,0),0)</f>
        <v>0</v>
      </c>
      <c r="BR16" s="3">
        <f>IFERROR(VLOOKUP(BO16,'Factory Log'!$J:$Q,8,0),0)</f>
        <v>0</v>
      </c>
      <c r="BS16" s="58">
        <f>SUMIFS('Factory Log'!$D:$D,'Factory Log'!$B:$B,Performance!BO$1,'Factory Log'!$J:$J,Performance!BO16,'Factory Log'!$C:$C,"Running")+SUMIFS('Factory Log'!$D:$D,'Factory Log'!$B:$B,Performance!BO$1,'Factory Log'!$J:$J,Performance!BO16,'Factory Log'!$C:$C,"Make Ready")+SUMIFS('Factory Log'!$D:$D,'Factory Log'!$B:$B,Performance!BO$1,'Factory Log'!$J:$J,Performance!BO16,'Factory Log'!$C:$C,"Roll Change")</f>
        <v>0</v>
      </c>
      <c r="BT16" s="3">
        <f>SUMIFS('Factory Log'!$M:$M,'Factory Log'!$B:$B,Performance!BO$1,'Factory Log'!$J:$J,Performance!BO16,'Factory Log'!$C:$C,"Running")</f>
        <v>0</v>
      </c>
      <c r="BU16" s="58" cm="1">
        <f t="array" ref="BU16">IFERROR(INDEX('Factory Log'!$S:$S,MATCH(1,(Performance!BO$1='Factory Log'!$B:$B)*(Performance!BO16='Factory Log'!$A:$A),0)),0)</f>
        <v>0</v>
      </c>
      <c r="BV16" s="3">
        <f>IFERROR(VLOOKUP(BO16,'Factory Log'!$J:$R,9,0),0)</f>
        <v>0</v>
      </c>
      <c r="BW16" s="64">
        <f t="shared" si="12"/>
        <v>0</v>
      </c>
      <c r="BX16" s="58">
        <f t="shared" si="13"/>
        <v>0</v>
      </c>
      <c r="CA16" s="3">
        <f>IFERROR(VLOOKUP(BZ16,'Factory Log'!$J:$O,6,0),0)</f>
        <v>0</v>
      </c>
      <c r="CB16" s="3">
        <f>IFERROR(VLOOKUP(BZ16,'Factory Log'!$J:$P,7,0),0)</f>
        <v>0</v>
      </c>
      <c r="CC16" s="3">
        <f>IFERROR(VLOOKUP(BZ16,'Factory Log'!$J:$Q,8,0),0)</f>
        <v>0</v>
      </c>
      <c r="CD16" s="58">
        <f>SUMIFS('Factory Log'!$D:$D,'Factory Log'!$B:$B,Performance!BZ$1,'Factory Log'!$J:$J,Performance!BZ16,'Factory Log'!$C:$C,"Running")+SUMIFS('Factory Log'!$D:$D,'Factory Log'!$B:$B,Performance!BZ$1,'Factory Log'!$J:$J,Performance!BZ16,'Factory Log'!$C:$C,"Make Ready")+SUMIFS('Factory Log'!$D:$D,'Factory Log'!$B:$B,Performance!BZ$1,'Factory Log'!$J:$J,Performance!BZ16,'Factory Log'!$C:$C,"Roll Change")</f>
        <v>0</v>
      </c>
      <c r="CE16" s="3">
        <f>SUMIFS('Factory Log'!$M:$M,'Factory Log'!$B:$B,Performance!BZ$1,'Factory Log'!$J:$J,Performance!BZ16,'Factory Log'!$C:$C,"Running")</f>
        <v>0</v>
      </c>
      <c r="CF16" s="58" cm="1">
        <f t="array" ref="CF16">IFERROR(INDEX('Factory Log'!$S:$S,MATCH(1,(Performance!BZ$1='Factory Log'!$B:$B)*(Performance!BZ16='Factory Log'!$A:$A),0)),0)</f>
        <v>0</v>
      </c>
      <c r="CG16" s="3">
        <f>IFERROR(VLOOKUP(BZ16,'Factory Log'!$J:$R,9,0),0)</f>
        <v>0</v>
      </c>
      <c r="CH16" s="64">
        <f t="shared" si="14"/>
        <v>0</v>
      </c>
      <c r="CI16" s="58">
        <f t="shared" si="15"/>
        <v>0</v>
      </c>
      <c r="CL16" s="3">
        <f>IFERROR(VLOOKUP(CK16,'Factory Log'!$J:$O,6,0),0)</f>
        <v>0</v>
      </c>
      <c r="CM16" s="3">
        <f>IFERROR(VLOOKUP(CK16,'Factory Log'!$J:$P,7,0),0)</f>
        <v>0</v>
      </c>
      <c r="CN16" s="3">
        <f>IFERROR(VLOOKUP(CK16,'Factory Log'!$J:$Q,8,0),0)</f>
        <v>0</v>
      </c>
      <c r="CO16" s="58">
        <f>SUMIFS('Factory Log'!$D:$D,'Factory Log'!$B:$B,Performance!CK$1,'Factory Log'!$J:$J,Performance!CK16,'Factory Log'!$C:$C,"Running")+SUMIFS('Factory Log'!$D:$D,'Factory Log'!$B:$B,Performance!CK$1,'Factory Log'!$J:$J,Performance!CK16,'Factory Log'!$C:$C,"Make Ready")+SUMIFS('Factory Log'!$D:$D,'Factory Log'!$B:$B,Performance!CK$1,'Factory Log'!$J:$J,Performance!CK16,'Factory Log'!$C:$C,"Roll Change")</f>
        <v>0</v>
      </c>
      <c r="CP16" s="3">
        <f>SUMIFS('Factory Log'!$M:$M,'Factory Log'!$B:$B,Performance!CK$1,'Factory Log'!$J:$J,Performance!CK16,'Factory Log'!$C:$C,"Running")</f>
        <v>0</v>
      </c>
      <c r="CQ16" s="58" cm="1">
        <f t="array" ref="CQ16">IFERROR(INDEX('Factory Log'!$S:$S,MATCH(1,(Performance!CK$1='Factory Log'!$B:$B)*(Performance!CK16='Factory Log'!$A:$A),0)),0)</f>
        <v>0</v>
      </c>
      <c r="CR16" s="3">
        <f>IFERROR(VLOOKUP(CK16,'Factory Log'!$J:$R,9,0),0)</f>
        <v>0</v>
      </c>
      <c r="CS16" s="64">
        <f t="shared" si="16"/>
        <v>0</v>
      </c>
      <c r="CT16" s="58">
        <f t="shared" si="17"/>
        <v>0</v>
      </c>
      <c r="CW16" s="3">
        <f>IFERROR(VLOOKUP(CV16,'Factory Log'!$J:$O,6,0),0)</f>
        <v>0</v>
      </c>
      <c r="CX16" s="3">
        <f>IFERROR(VLOOKUP(CV16,'Factory Log'!$J:$P,7,0),0)</f>
        <v>0</v>
      </c>
      <c r="CY16" s="3">
        <f>IFERROR(VLOOKUP(CV16,'Factory Log'!$J:$Q,8,0),0)</f>
        <v>0</v>
      </c>
      <c r="CZ16" s="58">
        <f>SUMIFS('Factory Log'!$D:$D,'Factory Log'!$B:$B,Performance!CV$1,'Factory Log'!$J:$J,Performance!CV16,'Factory Log'!$C:$C,"Running")+SUMIFS('Factory Log'!$D:$D,'Factory Log'!$B:$B,Performance!CV$1,'Factory Log'!$J:$J,Performance!CV16,'Factory Log'!$C:$C,"Make Ready")+SUMIFS('Factory Log'!$D:$D,'Factory Log'!$B:$B,Performance!CV$1,'Factory Log'!$J:$J,Performance!CV16,'Factory Log'!$C:$C,"Roll Change")</f>
        <v>0</v>
      </c>
      <c r="DA16" s="3">
        <f>SUMIFS('Factory Log'!$M:$M,'Factory Log'!$B:$B,Performance!CV$1,'Factory Log'!$J:$J,Performance!CV16,'Factory Log'!$C:$C,"Running")</f>
        <v>0</v>
      </c>
      <c r="DB16" s="58" cm="1">
        <f t="array" ref="DB16">IFERROR(INDEX('Factory Log'!$S:$S,MATCH(1,(Performance!CV$1='Factory Log'!$B:$B)*(Performance!CV16='Factory Log'!$A:$A),0)),0)</f>
        <v>0</v>
      </c>
      <c r="DC16" s="3">
        <f>IFERROR(VLOOKUP(CV16,'Factory Log'!$J:$R,9,0),0)</f>
        <v>0</v>
      </c>
      <c r="DD16" s="64">
        <f t="shared" si="18"/>
        <v>0</v>
      </c>
      <c r="DE16" s="58">
        <f t="shared" si="19"/>
        <v>0</v>
      </c>
      <c r="DH16" s="3">
        <f>IFERROR(VLOOKUP(DG16,'Factory Log'!$J:$O,6,0),0)</f>
        <v>0</v>
      </c>
      <c r="DI16" s="3">
        <f>IFERROR(VLOOKUP(DG16,'Factory Log'!$J:$P,7,0),0)</f>
        <v>0</v>
      </c>
      <c r="DJ16" s="3">
        <f>IFERROR(VLOOKUP(DG16,'Factory Log'!$J:$Q,8,0),0)</f>
        <v>0</v>
      </c>
      <c r="DK16" s="58">
        <f>SUMIFS('Factory Log'!$D:$D,'Factory Log'!$B:$B,Performance!DG$1,'Factory Log'!$J:$J,Performance!DG16,'Factory Log'!$C:$C,"Running")+SUMIFS('Factory Log'!$D:$D,'Factory Log'!$B:$B,Performance!DG$1,'Factory Log'!$J:$J,Performance!DG16,'Factory Log'!$C:$C,"Make Ready")+SUMIFS('Factory Log'!$D:$D,'Factory Log'!$B:$B,Performance!DG$1,'Factory Log'!$J:$J,Performance!DG16,'Factory Log'!$C:$C,"Roll Change")</f>
        <v>0</v>
      </c>
      <c r="DL16" s="3">
        <f>SUMIFS('Factory Log'!$M:$M,'Factory Log'!$B:$B,Performance!DG$1,'Factory Log'!$J:$J,Performance!DG16,'Factory Log'!$C:$C,"Running")</f>
        <v>0</v>
      </c>
      <c r="DM16" s="58" cm="1">
        <f t="array" ref="DM16">IFERROR(INDEX('Factory Log'!$S:$S,MATCH(1,(Performance!DG$1='Factory Log'!$B:$B)*(Performance!DG16='Factory Log'!$A:$A),0)),0)</f>
        <v>0</v>
      </c>
      <c r="DN16" s="3">
        <f>IFERROR(VLOOKUP(DG16,'Factory Log'!$J:$R,9,0),0)</f>
        <v>0</v>
      </c>
      <c r="DO16" s="64">
        <f t="shared" si="20"/>
        <v>0</v>
      </c>
      <c r="DP16" s="58">
        <f t="shared" si="21"/>
        <v>0</v>
      </c>
      <c r="DS16" s="3">
        <f>IFERROR(VLOOKUP(DR16,'Factory Log'!$J:$O,6,0),0)</f>
        <v>0</v>
      </c>
      <c r="DT16" s="3">
        <f>IFERROR(VLOOKUP(DR16,'Factory Log'!$J:$P,7,0),0)</f>
        <v>0</v>
      </c>
      <c r="DU16" s="3">
        <f>IFERROR(VLOOKUP(DR16,'Factory Log'!$J:$Q,8,0),0)</f>
        <v>0</v>
      </c>
      <c r="DV16" s="58">
        <f>SUMIFS('Factory Log'!$D:$D,'Factory Log'!$B:$B,Performance!DR$1,'Factory Log'!$J:$J,Performance!DR16,'Factory Log'!$C:$C,"Running")+SUMIFS('Factory Log'!$D:$D,'Factory Log'!$B:$B,Performance!DR$1,'Factory Log'!$J:$J,Performance!DR16,'Factory Log'!$C:$C,"Make Ready")+SUMIFS('Factory Log'!$D:$D,'Factory Log'!$B:$B,Performance!DR$1,'Factory Log'!$J:$J,Performance!DR16,'Factory Log'!$C:$C,"Roll Change")</f>
        <v>0</v>
      </c>
      <c r="DW16" s="3">
        <f>SUMIFS('Factory Log'!$M:$M,'Factory Log'!$B:$B,Performance!DR$1,'Factory Log'!$J:$J,Performance!DR16,'Factory Log'!$C:$C,"Running")</f>
        <v>0</v>
      </c>
      <c r="DX16" s="58" cm="1">
        <f t="array" ref="DX16">IFERROR(INDEX('Factory Log'!$S:$S,MATCH(1,(Performance!DR$1='Factory Log'!$B:$B)*(Performance!DR16='Factory Log'!$A:$A),0)),0)</f>
        <v>0</v>
      </c>
      <c r="DY16" s="3">
        <f>IFERROR(VLOOKUP(DR16,'Factory Log'!$J:$R,9,0),0)</f>
        <v>0</v>
      </c>
      <c r="DZ16" s="64">
        <f t="shared" si="22"/>
        <v>0</v>
      </c>
      <c r="EA16" s="58">
        <f t="shared" si="23"/>
        <v>0</v>
      </c>
      <c r="ED16" s="3">
        <f>IFERROR(VLOOKUP(EC16,'Factory Log'!$J:$O,6,0),0)</f>
        <v>0</v>
      </c>
      <c r="EE16" s="3">
        <f>IFERROR(VLOOKUP(EC16,'Factory Log'!$J:$P,7,0),0)</f>
        <v>0</v>
      </c>
      <c r="EF16" s="3">
        <f>IFERROR(VLOOKUP(EC16,'Factory Log'!$J:$Q,8,0),0)</f>
        <v>0</v>
      </c>
      <c r="EG16" s="58">
        <f>SUMIFS('Factory Log'!$D:$D,'Factory Log'!$B:$B,Performance!EC$1,'Factory Log'!$J:$J,Performance!EC16,'Factory Log'!$C:$C,"Running")+SUMIFS('Factory Log'!$D:$D,'Factory Log'!$B:$B,Performance!EC$1,'Factory Log'!$J:$J,Performance!EC16,'Factory Log'!$C:$C,"Make Ready")+SUMIFS('Factory Log'!$D:$D,'Factory Log'!$B:$B,Performance!EC$1,'Factory Log'!$J:$J,Performance!EC16,'Factory Log'!$C:$C,"Roll Change")</f>
        <v>0</v>
      </c>
      <c r="EH16" s="3">
        <f>SUMIFS('Factory Log'!$M:$M,'Factory Log'!$B:$B,Performance!EC$1,'Factory Log'!$J:$J,Performance!EC16,'Factory Log'!$C:$C,"Running")</f>
        <v>0</v>
      </c>
      <c r="EI16" s="58" cm="1">
        <f t="array" ref="EI16">IFERROR(INDEX('Factory Log'!$S:$S,MATCH(1,(Performance!EC$1='Factory Log'!$B:$B)*(Performance!EC16='Factory Log'!$A:$A),0)),0)</f>
        <v>0</v>
      </c>
      <c r="EJ16" s="3">
        <f>IFERROR(VLOOKUP(EC16,'Factory Log'!$J:$R,9,0),0)</f>
        <v>0</v>
      </c>
      <c r="EK16" s="64">
        <f t="shared" si="24"/>
        <v>0</v>
      </c>
      <c r="EL16" s="58">
        <f t="shared" si="25"/>
        <v>0</v>
      </c>
      <c r="EO16" s="3">
        <f>IFERROR(VLOOKUP(EN16,'Factory Log'!$J:$O,6,0),0)</f>
        <v>0</v>
      </c>
      <c r="EP16" s="3">
        <f>IFERROR(VLOOKUP(EN16,'Factory Log'!$J:$P,7,0),0)</f>
        <v>0</v>
      </c>
      <c r="EQ16" s="3">
        <f>IFERROR(VLOOKUP(EN16,'Factory Log'!$J:$Q,8,0),0)</f>
        <v>0</v>
      </c>
      <c r="ER16" s="58">
        <f>SUMIFS('Factory Log'!$D:$D,'Factory Log'!$B:$B,Performance!EN$1,'Factory Log'!$J:$J,Performance!EN16,'Factory Log'!$C:$C,"Running")+SUMIFS('Factory Log'!$D:$D,'Factory Log'!$B:$B,Performance!EN$1,'Factory Log'!$J:$J,Performance!EN16,'Factory Log'!$C:$C,"Make Ready")+SUMIFS('Factory Log'!$D:$D,'Factory Log'!$B:$B,Performance!EN$1,'Factory Log'!$J:$J,Performance!EN16,'Factory Log'!$C:$C,"Roll Change")</f>
        <v>0</v>
      </c>
      <c r="ES16" s="3">
        <f>SUMIFS('Factory Log'!$M:$M,'Factory Log'!$B:$B,Performance!EN$1,'Factory Log'!$J:$J,Performance!EN16,'Factory Log'!$C:$C,"Running")</f>
        <v>0</v>
      </c>
      <c r="ET16" s="58" cm="1">
        <f t="array" ref="ET16">IFERROR(INDEX('Factory Log'!$S:$S,MATCH(1,(Performance!EN$1='Factory Log'!$B:$B)*(Performance!EN16='Factory Log'!$A:$A),0)),0)</f>
        <v>0</v>
      </c>
      <c r="EU16" s="3">
        <f>IFERROR(VLOOKUP(EN16,'Factory Log'!$J:$R,9,0),0)</f>
        <v>0</v>
      </c>
      <c r="EV16" s="64">
        <f t="shared" si="26"/>
        <v>0</v>
      </c>
      <c r="EW16" s="58">
        <f t="shared" si="27"/>
        <v>0</v>
      </c>
      <c r="EZ16" s="3">
        <f>IFERROR(VLOOKUP(EY16,'Factory Log'!$J:$O,6,0),0)</f>
        <v>0</v>
      </c>
      <c r="FA16" s="3">
        <f>IFERROR(VLOOKUP(EY16,'Factory Log'!$J:$P,7,0),0)</f>
        <v>0</v>
      </c>
      <c r="FB16" s="3">
        <f>IFERROR(VLOOKUP(EY16,'Factory Log'!$J:$Q,8,0),0)</f>
        <v>0</v>
      </c>
      <c r="FC16" s="58">
        <f>SUMIFS('Factory Log'!$D:$D,'Factory Log'!$B:$B,Performance!EY$1,'Factory Log'!$J:$J,Performance!EY16,'Factory Log'!$C:$C,"Running")+SUMIFS('Factory Log'!$D:$D,'Factory Log'!$B:$B,Performance!EY$1,'Factory Log'!$J:$J,Performance!EY16,'Factory Log'!$C:$C,"Make Ready")+SUMIFS('Factory Log'!$D:$D,'Factory Log'!$B:$B,Performance!EY$1,'Factory Log'!$J:$J,Performance!EY16,'Factory Log'!$C:$C,"Roll Change")</f>
        <v>0</v>
      </c>
      <c r="FD16" s="3">
        <f>SUMIFS('Factory Log'!$M:$M,'Factory Log'!$B:$B,Performance!EY$1,'Factory Log'!$J:$J,Performance!EY16,'Factory Log'!$C:$C,"Running")</f>
        <v>0</v>
      </c>
      <c r="FE16" s="58" cm="1">
        <f t="array" ref="FE16">IFERROR(INDEX('Factory Log'!$S:$S,MATCH(1,(Performance!EY$1='Factory Log'!$B:$B)*(Performance!EY16='Factory Log'!$A:$A),0)),0)</f>
        <v>0</v>
      </c>
      <c r="FF16" s="3">
        <f>IFERROR(VLOOKUP(EY16,'Factory Log'!$J:$R,9,0),0)</f>
        <v>0</v>
      </c>
      <c r="FG16" s="64">
        <f t="shared" si="28"/>
        <v>0</v>
      </c>
      <c r="FH16" s="58">
        <f t="shared" si="29"/>
        <v>0</v>
      </c>
    </row>
    <row r="17" spans="2:164" ht="16" customHeight="1" x14ac:dyDescent="0.2">
      <c r="B17" s="3">
        <f>IFERROR(VLOOKUP(A17,'Factory Log'!$J:$O,6,0),0)</f>
        <v>0</v>
      </c>
      <c r="C17" s="3">
        <f>IFERROR(VLOOKUP(A17,'Factory Log'!$J:$P,7,0),0)</f>
        <v>0</v>
      </c>
      <c r="D17" s="3">
        <f>IFERROR(VLOOKUP(A17,'Factory Log'!$J:$Q,8,0),0)</f>
        <v>0</v>
      </c>
      <c r="E17" s="58">
        <f>SUMIFS('Factory Log'!$D:$D,'Factory Log'!$B:$B,Performance!A$1,'Factory Log'!$J:$J,Performance!A17,'Factory Log'!$C:$C,"Running")+SUMIFS('Factory Log'!$D:$D,'Factory Log'!$B:$B,Performance!A$1,'Factory Log'!$J:$J,Performance!A17,'Factory Log'!$C:$C,"Make Ready")+SUMIFS('Factory Log'!$D:$D,'Factory Log'!$B:$B,Performance!A$1,'Factory Log'!$J:$J,Performance!A17,'Factory Log'!$C:$C,"Roll Change")</f>
        <v>0</v>
      </c>
      <c r="F17" s="3">
        <f>SUMIFS('Factory Log'!$M:$M,'Factory Log'!$B:$B,Performance!A$1,'Factory Log'!$J:$J,Performance!A17,'Factory Log'!$C:$C,"Running")</f>
        <v>0</v>
      </c>
      <c r="G17" s="58" cm="1">
        <f t="array" ref="G17">IFERROR(INDEX('Factory Log'!$S:$S,MATCH(1,(Performance!A$1='Factory Log'!$B:$B)*(Performance!A17='Factory Log'!$A:$A),0)),0)</f>
        <v>0</v>
      </c>
      <c r="H17" s="3">
        <f>IFERROR(VLOOKUP(A17,'Factory Log'!$J:$R,9,0),0)</f>
        <v>0</v>
      </c>
      <c r="I17" s="64">
        <f t="shared" si="1"/>
        <v>0</v>
      </c>
      <c r="J17" s="58">
        <f t="shared" si="0"/>
        <v>0</v>
      </c>
      <c r="M17" s="3">
        <f>IFERROR(VLOOKUP(L17,'Factory Log'!$J:$O,6,0),0)</f>
        <v>0</v>
      </c>
      <c r="N17" s="3">
        <f>IFERROR(VLOOKUP(L17,'Factory Log'!$J:$P,7,0),0)</f>
        <v>0</v>
      </c>
      <c r="O17" s="3">
        <f>IFERROR(VLOOKUP(L17,'Factory Log'!$J:$Q,8,0),0)</f>
        <v>0</v>
      </c>
      <c r="P17" s="58">
        <f>SUMIFS('Factory Log'!$D:$D,'Factory Log'!$B:$B,Performance!L$1,'Factory Log'!$J:$J,Performance!L17,'Factory Log'!$C:$C,"Running")+SUMIFS('Factory Log'!$D:$D,'Factory Log'!$B:$B,Performance!L$1,'Factory Log'!$J:$J,Performance!L17,'Factory Log'!$C:$C,"Make Ready")+SUMIFS('Factory Log'!$D:$D,'Factory Log'!$B:$B,Performance!L$1,'Factory Log'!$J:$J,Performance!L17,'Factory Log'!$C:$C,"Roll Change")</f>
        <v>0</v>
      </c>
      <c r="Q17" s="3">
        <f>SUMIFS('Factory Log'!$M:$M,'Factory Log'!$B:$B,Performance!L$1,'Factory Log'!$J:$J,Performance!L17,'Factory Log'!$C:$C,"Running")</f>
        <v>0</v>
      </c>
      <c r="R17" s="58" cm="1">
        <f t="array" ref="R17">IFERROR(INDEX('Factory Log'!$S:$S,MATCH(1,(Performance!L$1='Factory Log'!$B:$B)*(Performance!L17='Factory Log'!$A:$A),0)),0)</f>
        <v>0</v>
      </c>
      <c r="S17" s="3">
        <f>IFERROR(VLOOKUP(L17,'Factory Log'!$J:$R,9,0),0)</f>
        <v>0</v>
      </c>
      <c r="T17" s="64">
        <f t="shared" si="2"/>
        <v>0</v>
      </c>
      <c r="U17" s="58">
        <f t="shared" si="3"/>
        <v>0</v>
      </c>
      <c r="X17" s="3">
        <f>IFERROR(VLOOKUP(W17,'Factory Log'!$J:$O,6,0),0)</f>
        <v>0</v>
      </c>
      <c r="Y17" s="3">
        <f>IFERROR(VLOOKUP(W17,'Factory Log'!$J:$P,7,0),0)</f>
        <v>0</v>
      </c>
      <c r="Z17" s="3">
        <f>IFERROR(VLOOKUP(W17,'Factory Log'!$J:$Q,8,0),0)</f>
        <v>0</v>
      </c>
      <c r="AA17" s="58">
        <f>SUMIFS('Factory Log'!$D:$D,'Factory Log'!$B:$B,Performance!W$1,'Factory Log'!$J:$J,Performance!W17,'Factory Log'!$C:$C,"Running")+SUMIFS('Factory Log'!$D:$D,'Factory Log'!$B:$B,Performance!W$1,'Factory Log'!$J:$J,Performance!W17,'Factory Log'!$C:$C,"Make Ready")+SUMIFS('Factory Log'!$D:$D,'Factory Log'!$B:$B,Performance!W$1,'Factory Log'!$J:$J,Performance!W17,'Factory Log'!$C:$C,"Roll Change")</f>
        <v>0</v>
      </c>
      <c r="AB17" s="3">
        <f>SUMIFS('Factory Log'!$M:$M,'Factory Log'!$B:$B,Performance!W$1,'Factory Log'!$J:$J,Performance!W17,'Factory Log'!$C:$C,"Running")</f>
        <v>0</v>
      </c>
      <c r="AC17" s="58" cm="1">
        <f t="array" ref="AC17">IFERROR(INDEX('Factory Log'!$S:$S,MATCH(1,(Performance!W$1='Factory Log'!$B:$B)*(Performance!W17='Factory Log'!$A:$A),0)),0)</f>
        <v>0</v>
      </c>
      <c r="AD17" s="3">
        <f>IFERROR(VLOOKUP(W17,'Factory Log'!$J:$R,9,0),0)</f>
        <v>0</v>
      </c>
      <c r="AE17" s="64">
        <f t="shared" si="4"/>
        <v>0</v>
      </c>
      <c r="AF17" s="58">
        <f t="shared" si="5"/>
        <v>0</v>
      </c>
      <c r="AI17" s="3">
        <f>IFERROR(VLOOKUP(AH17,'Factory Log'!$J:$O,6,0),0)</f>
        <v>0</v>
      </c>
      <c r="AJ17" s="3">
        <f>IFERROR(VLOOKUP(AH17,'Factory Log'!$J:$P,7,0),0)</f>
        <v>0</v>
      </c>
      <c r="AK17" s="3">
        <f>IFERROR(VLOOKUP(AH17,'Factory Log'!$J:$Q,8,0),0)</f>
        <v>0</v>
      </c>
      <c r="AL17" s="58">
        <f>SUMIFS('Factory Log'!$D:$D,'Factory Log'!$B:$B,Performance!AH$1,'Factory Log'!$J:$J,Performance!AH17,'Factory Log'!$C:$C,"Running")+SUMIFS('Factory Log'!$D:$D,'Factory Log'!$B:$B,Performance!AH$1,'Factory Log'!$J:$J,Performance!AH17,'Factory Log'!$C:$C,"Make Ready")+SUMIFS('Factory Log'!$D:$D,'Factory Log'!$B:$B,Performance!AH$1,'Factory Log'!$J:$J,Performance!AH17,'Factory Log'!$C:$C,"Roll Change")</f>
        <v>0</v>
      </c>
      <c r="AM17" s="3">
        <f>SUMIFS('Factory Log'!$M:$M,'Factory Log'!$B:$B,Performance!AH$1,'Factory Log'!$J:$J,Performance!AH17,'Factory Log'!$C:$C,"Running")</f>
        <v>0</v>
      </c>
      <c r="AN17" s="58" cm="1">
        <f t="array" ref="AN17">IFERROR(INDEX('Factory Log'!$S:$S,MATCH(1,(Performance!AH$1='Factory Log'!$B:$B)*(Performance!AH17='Factory Log'!$A:$A),0)),0)</f>
        <v>0</v>
      </c>
      <c r="AO17" s="3">
        <f>IFERROR(VLOOKUP(AH17,'Factory Log'!$J:$R,9,0),0)</f>
        <v>0</v>
      </c>
      <c r="AP17" s="64">
        <f t="shared" si="6"/>
        <v>0</v>
      </c>
      <c r="AQ17" s="58">
        <f t="shared" si="7"/>
        <v>0</v>
      </c>
      <c r="AT17" s="3">
        <f>IFERROR(VLOOKUP(AS17,'Factory Log'!$J:$O,6,0),0)</f>
        <v>0</v>
      </c>
      <c r="AU17" s="3">
        <f>IFERROR(VLOOKUP(AS17,'Factory Log'!$J:$P,7,0),0)</f>
        <v>0</v>
      </c>
      <c r="AV17" s="3">
        <f>IFERROR(VLOOKUP(AS17,'Factory Log'!$J:$Q,8,0),0)</f>
        <v>0</v>
      </c>
      <c r="AW17" s="58">
        <f>SUMIFS('Factory Log'!$D:$D,'Factory Log'!$B:$B,Performance!AS$1,'Factory Log'!$J:$J,Performance!AS17,'Factory Log'!$C:$C,"Running")+SUMIFS('Factory Log'!$D:$D,'Factory Log'!$B:$B,Performance!AS$1,'Factory Log'!$J:$J,Performance!AS17,'Factory Log'!$C:$C,"Make Ready")+SUMIFS('Factory Log'!$D:$D,'Factory Log'!$B:$B,Performance!AS$1,'Factory Log'!$J:$J,Performance!AS17,'Factory Log'!$C:$C,"Roll Change")</f>
        <v>0</v>
      </c>
      <c r="AX17" s="3">
        <f>SUMIFS('Factory Log'!$M:$M,'Factory Log'!$B:$B,Performance!AS$1,'Factory Log'!$J:$J,Performance!AS17,'Factory Log'!$C:$C,"Running")</f>
        <v>0</v>
      </c>
      <c r="AY17" s="58" cm="1">
        <f t="array" ref="AY17">IFERROR(INDEX('Factory Log'!$S:$S,MATCH(1,(Performance!AS$1='Factory Log'!$B:$B)*(Performance!AS17='Factory Log'!$A:$A),0)),0)</f>
        <v>0</v>
      </c>
      <c r="AZ17" s="3">
        <f>IFERROR(VLOOKUP(AS17,'Factory Log'!$J:$R,9,0),0)</f>
        <v>0</v>
      </c>
      <c r="BA17" s="64">
        <f t="shared" si="8"/>
        <v>0</v>
      </c>
      <c r="BB17" s="58">
        <f t="shared" si="9"/>
        <v>0</v>
      </c>
      <c r="BE17" s="3">
        <f>IFERROR(VLOOKUP(BD17,'Factory Log'!$J:$O,6,0),0)</f>
        <v>0</v>
      </c>
      <c r="BF17" s="3">
        <f>IFERROR(VLOOKUP(BD17,'Factory Log'!$J:$P,7,0),0)</f>
        <v>0</v>
      </c>
      <c r="BG17" s="3">
        <f>IFERROR(VLOOKUP(BD17,'Factory Log'!$J:$Q,8,0),0)</f>
        <v>0</v>
      </c>
      <c r="BH17" s="58">
        <f>SUMIFS('Factory Log'!$D:$D,'Factory Log'!$B:$B,Performance!BD$1,'Factory Log'!$J:$J,Performance!BD17,'Factory Log'!$C:$C,"Running")+SUMIFS('Factory Log'!$D:$D,'Factory Log'!$B:$B,Performance!BD$1,'Factory Log'!$J:$J,Performance!BD17,'Factory Log'!$C:$C,"Make Ready")+SUMIFS('Factory Log'!$D:$D,'Factory Log'!$B:$B,Performance!BD$1,'Factory Log'!$J:$J,Performance!BD17,'Factory Log'!$C:$C,"Roll Change")</f>
        <v>0</v>
      </c>
      <c r="BI17" s="3">
        <f>SUMIFS('Factory Log'!$M:$M,'Factory Log'!$B:$B,Performance!BD$1,'Factory Log'!$J:$J,Performance!BD17,'Factory Log'!$C:$C,"Running")</f>
        <v>0</v>
      </c>
      <c r="BJ17" s="58" cm="1">
        <f t="array" ref="BJ17">IFERROR(INDEX('Factory Log'!$S:$S,MATCH(1,(Performance!BD$1='Factory Log'!$B:$B)*(Performance!BD17='Factory Log'!$A:$A),0)),0)</f>
        <v>0</v>
      </c>
      <c r="BK17" s="3">
        <f>IFERROR(VLOOKUP(BD17,'Factory Log'!$J:$R,9,0),0)</f>
        <v>0</v>
      </c>
      <c r="BL17" s="64">
        <f t="shared" si="10"/>
        <v>0</v>
      </c>
      <c r="BM17" s="58">
        <f t="shared" si="11"/>
        <v>0</v>
      </c>
      <c r="BP17" s="3">
        <f>IFERROR(VLOOKUP(BO17,'Factory Log'!$J:$O,6,0),0)</f>
        <v>0</v>
      </c>
      <c r="BQ17" s="3">
        <f>IFERROR(VLOOKUP(BO17,'Factory Log'!$J:$P,7,0),0)</f>
        <v>0</v>
      </c>
      <c r="BR17" s="3">
        <f>IFERROR(VLOOKUP(BO17,'Factory Log'!$J:$Q,8,0),0)</f>
        <v>0</v>
      </c>
      <c r="BS17" s="58">
        <f>SUMIFS('Factory Log'!$D:$D,'Factory Log'!$B:$B,Performance!BO$1,'Factory Log'!$J:$J,Performance!BO17,'Factory Log'!$C:$C,"Running")+SUMIFS('Factory Log'!$D:$D,'Factory Log'!$B:$B,Performance!BO$1,'Factory Log'!$J:$J,Performance!BO17,'Factory Log'!$C:$C,"Make Ready")+SUMIFS('Factory Log'!$D:$D,'Factory Log'!$B:$B,Performance!BO$1,'Factory Log'!$J:$J,Performance!BO17,'Factory Log'!$C:$C,"Roll Change")</f>
        <v>0</v>
      </c>
      <c r="BT17" s="3">
        <f>SUMIFS('Factory Log'!$M:$M,'Factory Log'!$B:$B,Performance!BO$1,'Factory Log'!$J:$J,Performance!BO17,'Factory Log'!$C:$C,"Running")</f>
        <v>0</v>
      </c>
      <c r="BU17" s="58" cm="1">
        <f t="array" ref="BU17">IFERROR(INDEX('Factory Log'!$S:$S,MATCH(1,(Performance!BO$1='Factory Log'!$B:$B)*(Performance!BO17='Factory Log'!$A:$A),0)),0)</f>
        <v>0</v>
      </c>
      <c r="BV17" s="3">
        <f>IFERROR(VLOOKUP(BO17,'Factory Log'!$J:$R,9,0),0)</f>
        <v>0</v>
      </c>
      <c r="BW17" s="64">
        <f t="shared" si="12"/>
        <v>0</v>
      </c>
      <c r="BX17" s="58">
        <f t="shared" si="13"/>
        <v>0</v>
      </c>
      <c r="CA17" s="3">
        <f>IFERROR(VLOOKUP(BZ17,'Factory Log'!$J:$O,6,0),0)</f>
        <v>0</v>
      </c>
      <c r="CB17" s="3">
        <f>IFERROR(VLOOKUP(BZ17,'Factory Log'!$J:$P,7,0),0)</f>
        <v>0</v>
      </c>
      <c r="CC17" s="3">
        <f>IFERROR(VLOOKUP(BZ17,'Factory Log'!$J:$Q,8,0),0)</f>
        <v>0</v>
      </c>
      <c r="CD17" s="58">
        <f>SUMIFS('Factory Log'!$D:$D,'Factory Log'!$B:$B,Performance!BZ$1,'Factory Log'!$J:$J,Performance!BZ17,'Factory Log'!$C:$C,"Running")+SUMIFS('Factory Log'!$D:$D,'Factory Log'!$B:$B,Performance!BZ$1,'Factory Log'!$J:$J,Performance!BZ17,'Factory Log'!$C:$C,"Make Ready")+SUMIFS('Factory Log'!$D:$D,'Factory Log'!$B:$B,Performance!BZ$1,'Factory Log'!$J:$J,Performance!BZ17,'Factory Log'!$C:$C,"Roll Change")</f>
        <v>0</v>
      </c>
      <c r="CE17" s="3">
        <f>SUMIFS('Factory Log'!$M:$M,'Factory Log'!$B:$B,Performance!BZ$1,'Factory Log'!$J:$J,Performance!BZ17,'Factory Log'!$C:$C,"Running")</f>
        <v>0</v>
      </c>
      <c r="CF17" s="58" cm="1">
        <f t="array" ref="CF17">IFERROR(INDEX('Factory Log'!$S:$S,MATCH(1,(Performance!BZ$1='Factory Log'!$B:$B)*(Performance!BZ17='Factory Log'!$A:$A),0)),0)</f>
        <v>0</v>
      </c>
      <c r="CG17" s="3">
        <f>IFERROR(VLOOKUP(BZ17,'Factory Log'!$J:$R,9,0),0)</f>
        <v>0</v>
      </c>
      <c r="CH17" s="64">
        <f t="shared" si="14"/>
        <v>0</v>
      </c>
      <c r="CI17" s="58">
        <f t="shared" si="15"/>
        <v>0</v>
      </c>
      <c r="CL17" s="3">
        <f>IFERROR(VLOOKUP(CK17,'Factory Log'!$J:$O,6,0),0)</f>
        <v>0</v>
      </c>
      <c r="CM17" s="3">
        <f>IFERROR(VLOOKUP(CK17,'Factory Log'!$J:$P,7,0),0)</f>
        <v>0</v>
      </c>
      <c r="CN17" s="3">
        <f>IFERROR(VLOOKUP(CK17,'Factory Log'!$J:$Q,8,0),0)</f>
        <v>0</v>
      </c>
      <c r="CO17" s="58">
        <f>SUMIFS('Factory Log'!$D:$D,'Factory Log'!$B:$B,Performance!CK$1,'Factory Log'!$J:$J,Performance!CK17,'Factory Log'!$C:$C,"Running")+SUMIFS('Factory Log'!$D:$D,'Factory Log'!$B:$B,Performance!CK$1,'Factory Log'!$J:$J,Performance!CK17,'Factory Log'!$C:$C,"Make Ready")+SUMIFS('Factory Log'!$D:$D,'Factory Log'!$B:$B,Performance!CK$1,'Factory Log'!$J:$J,Performance!CK17,'Factory Log'!$C:$C,"Roll Change")</f>
        <v>0</v>
      </c>
      <c r="CP17" s="3">
        <f>SUMIFS('Factory Log'!$M:$M,'Factory Log'!$B:$B,Performance!CK$1,'Factory Log'!$J:$J,Performance!CK17,'Factory Log'!$C:$C,"Running")</f>
        <v>0</v>
      </c>
      <c r="CQ17" s="58" cm="1">
        <f t="array" ref="CQ17">IFERROR(INDEX('Factory Log'!$S:$S,MATCH(1,(Performance!CK$1='Factory Log'!$B:$B)*(Performance!CK17='Factory Log'!$A:$A),0)),0)</f>
        <v>0</v>
      </c>
      <c r="CR17" s="3">
        <f>IFERROR(VLOOKUP(CK17,'Factory Log'!$J:$R,9,0),0)</f>
        <v>0</v>
      </c>
      <c r="CS17" s="64">
        <f t="shared" si="16"/>
        <v>0</v>
      </c>
      <c r="CT17" s="58">
        <f t="shared" si="17"/>
        <v>0</v>
      </c>
      <c r="CW17" s="3">
        <f>IFERROR(VLOOKUP(CV17,'Factory Log'!$J:$O,6,0),0)</f>
        <v>0</v>
      </c>
      <c r="CX17" s="3">
        <f>IFERROR(VLOOKUP(CV17,'Factory Log'!$J:$P,7,0),0)</f>
        <v>0</v>
      </c>
      <c r="CY17" s="3">
        <f>IFERROR(VLOOKUP(CV17,'Factory Log'!$J:$Q,8,0),0)</f>
        <v>0</v>
      </c>
      <c r="CZ17" s="58">
        <f>SUMIFS('Factory Log'!$D:$D,'Factory Log'!$B:$B,Performance!CV$1,'Factory Log'!$J:$J,Performance!CV17,'Factory Log'!$C:$C,"Running")+SUMIFS('Factory Log'!$D:$D,'Factory Log'!$B:$B,Performance!CV$1,'Factory Log'!$J:$J,Performance!CV17,'Factory Log'!$C:$C,"Make Ready")+SUMIFS('Factory Log'!$D:$D,'Factory Log'!$B:$B,Performance!CV$1,'Factory Log'!$J:$J,Performance!CV17,'Factory Log'!$C:$C,"Roll Change")</f>
        <v>0</v>
      </c>
      <c r="DA17" s="3">
        <f>SUMIFS('Factory Log'!$M:$M,'Factory Log'!$B:$B,Performance!CV$1,'Factory Log'!$J:$J,Performance!CV17,'Factory Log'!$C:$C,"Running")</f>
        <v>0</v>
      </c>
      <c r="DB17" s="58" cm="1">
        <f t="array" ref="DB17">IFERROR(INDEX('Factory Log'!$S:$S,MATCH(1,(Performance!CV$1='Factory Log'!$B:$B)*(Performance!CV17='Factory Log'!$A:$A),0)),0)</f>
        <v>0</v>
      </c>
      <c r="DC17" s="3">
        <f>IFERROR(VLOOKUP(CV17,'Factory Log'!$J:$R,9,0),0)</f>
        <v>0</v>
      </c>
      <c r="DD17" s="64">
        <f t="shared" si="18"/>
        <v>0</v>
      </c>
      <c r="DE17" s="58">
        <f t="shared" si="19"/>
        <v>0</v>
      </c>
      <c r="DH17" s="3">
        <f>IFERROR(VLOOKUP(DG17,'Factory Log'!$J:$O,6,0),0)</f>
        <v>0</v>
      </c>
      <c r="DI17" s="3">
        <f>IFERROR(VLOOKUP(DG17,'Factory Log'!$J:$P,7,0),0)</f>
        <v>0</v>
      </c>
      <c r="DJ17" s="3">
        <f>IFERROR(VLOOKUP(DG17,'Factory Log'!$J:$Q,8,0),0)</f>
        <v>0</v>
      </c>
      <c r="DK17" s="58">
        <f>SUMIFS('Factory Log'!$D:$D,'Factory Log'!$B:$B,Performance!DG$1,'Factory Log'!$J:$J,Performance!DG17,'Factory Log'!$C:$C,"Running")+SUMIFS('Factory Log'!$D:$D,'Factory Log'!$B:$B,Performance!DG$1,'Factory Log'!$J:$J,Performance!DG17,'Factory Log'!$C:$C,"Make Ready")+SUMIFS('Factory Log'!$D:$D,'Factory Log'!$B:$B,Performance!DG$1,'Factory Log'!$J:$J,Performance!DG17,'Factory Log'!$C:$C,"Roll Change")</f>
        <v>0</v>
      </c>
      <c r="DL17" s="3">
        <f>SUMIFS('Factory Log'!$M:$M,'Factory Log'!$B:$B,Performance!DG$1,'Factory Log'!$J:$J,Performance!DG17,'Factory Log'!$C:$C,"Running")</f>
        <v>0</v>
      </c>
      <c r="DM17" s="58" cm="1">
        <f t="array" ref="DM17">IFERROR(INDEX('Factory Log'!$S:$S,MATCH(1,(Performance!DG$1='Factory Log'!$B:$B)*(Performance!DG17='Factory Log'!$A:$A),0)),0)</f>
        <v>0</v>
      </c>
      <c r="DN17" s="3">
        <f>IFERROR(VLOOKUP(DG17,'Factory Log'!$J:$R,9,0),0)</f>
        <v>0</v>
      </c>
      <c r="DO17" s="64">
        <f t="shared" si="20"/>
        <v>0</v>
      </c>
      <c r="DP17" s="58">
        <f t="shared" si="21"/>
        <v>0</v>
      </c>
      <c r="DS17" s="3">
        <f>IFERROR(VLOOKUP(DR17,'Factory Log'!$J:$O,6,0),0)</f>
        <v>0</v>
      </c>
      <c r="DT17" s="3">
        <f>IFERROR(VLOOKUP(DR17,'Factory Log'!$J:$P,7,0),0)</f>
        <v>0</v>
      </c>
      <c r="DU17" s="3">
        <f>IFERROR(VLOOKUP(DR17,'Factory Log'!$J:$Q,8,0),0)</f>
        <v>0</v>
      </c>
      <c r="DV17" s="58">
        <f>SUMIFS('Factory Log'!$D:$D,'Factory Log'!$B:$B,Performance!DR$1,'Factory Log'!$J:$J,Performance!DR17,'Factory Log'!$C:$C,"Running")+SUMIFS('Factory Log'!$D:$D,'Factory Log'!$B:$B,Performance!DR$1,'Factory Log'!$J:$J,Performance!DR17,'Factory Log'!$C:$C,"Make Ready")+SUMIFS('Factory Log'!$D:$D,'Factory Log'!$B:$B,Performance!DR$1,'Factory Log'!$J:$J,Performance!DR17,'Factory Log'!$C:$C,"Roll Change")</f>
        <v>0</v>
      </c>
      <c r="DW17" s="3">
        <f>SUMIFS('Factory Log'!$M:$M,'Factory Log'!$B:$B,Performance!DR$1,'Factory Log'!$J:$J,Performance!DR17,'Factory Log'!$C:$C,"Running")</f>
        <v>0</v>
      </c>
      <c r="DX17" s="58" cm="1">
        <f t="array" ref="DX17">IFERROR(INDEX('Factory Log'!$S:$S,MATCH(1,(Performance!DR$1='Factory Log'!$B:$B)*(Performance!DR17='Factory Log'!$A:$A),0)),0)</f>
        <v>0</v>
      </c>
      <c r="DY17" s="3">
        <f>IFERROR(VLOOKUP(DR17,'Factory Log'!$J:$R,9,0),0)</f>
        <v>0</v>
      </c>
      <c r="DZ17" s="64">
        <f t="shared" si="22"/>
        <v>0</v>
      </c>
      <c r="EA17" s="58">
        <f t="shared" si="23"/>
        <v>0</v>
      </c>
      <c r="ED17" s="3">
        <f>IFERROR(VLOOKUP(EC17,'Factory Log'!$J:$O,6,0),0)</f>
        <v>0</v>
      </c>
      <c r="EE17" s="3">
        <f>IFERROR(VLOOKUP(EC17,'Factory Log'!$J:$P,7,0),0)</f>
        <v>0</v>
      </c>
      <c r="EF17" s="3">
        <f>IFERROR(VLOOKUP(EC17,'Factory Log'!$J:$Q,8,0),0)</f>
        <v>0</v>
      </c>
      <c r="EG17" s="58">
        <f>SUMIFS('Factory Log'!$D:$D,'Factory Log'!$B:$B,Performance!EC$1,'Factory Log'!$J:$J,Performance!EC17,'Factory Log'!$C:$C,"Running")+SUMIFS('Factory Log'!$D:$D,'Factory Log'!$B:$B,Performance!EC$1,'Factory Log'!$J:$J,Performance!EC17,'Factory Log'!$C:$C,"Make Ready")+SUMIFS('Factory Log'!$D:$D,'Factory Log'!$B:$B,Performance!EC$1,'Factory Log'!$J:$J,Performance!EC17,'Factory Log'!$C:$C,"Roll Change")</f>
        <v>0</v>
      </c>
      <c r="EH17" s="3">
        <f>SUMIFS('Factory Log'!$M:$M,'Factory Log'!$B:$B,Performance!EC$1,'Factory Log'!$J:$J,Performance!EC17,'Factory Log'!$C:$C,"Running")</f>
        <v>0</v>
      </c>
      <c r="EI17" s="58" cm="1">
        <f t="array" ref="EI17">IFERROR(INDEX('Factory Log'!$S:$S,MATCH(1,(Performance!EC$1='Factory Log'!$B:$B)*(Performance!EC17='Factory Log'!$A:$A),0)),0)</f>
        <v>0</v>
      </c>
      <c r="EJ17" s="3">
        <f>IFERROR(VLOOKUP(EC17,'Factory Log'!$J:$R,9,0),0)</f>
        <v>0</v>
      </c>
      <c r="EK17" s="64">
        <f t="shared" si="24"/>
        <v>0</v>
      </c>
      <c r="EL17" s="58">
        <f t="shared" si="25"/>
        <v>0</v>
      </c>
      <c r="EO17" s="3">
        <f>IFERROR(VLOOKUP(EN17,'Factory Log'!$J:$O,6,0),0)</f>
        <v>0</v>
      </c>
      <c r="EP17" s="3">
        <f>IFERROR(VLOOKUP(EN17,'Factory Log'!$J:$P,7,0),0)</f>
        <v>0</v>
      </c>
      <c r="EQ17" s="3">
        <f>IFERROR(VLOOKUP(EN17,'Factory Log'!$J:$Q,8,0),0)</f>
        <v>0</v>
      </c>
      <c r="ER17" s="58">
        <f>SUMIFS('Factory Log'!$D:$D,'Factory Log'!$B:$B,Performance!EN$1,'Factory Log'!$J:$J,Performance!EN17,'Factory Log'!$C:$C,"Running")+SUMIFS('Factory Log'!$D:$D,'Factory Log'!$B:$B,Performance!EN$1,'Factory Log'!$J:$J,Performance!EN17,'Factory Log'!$C:$C,"Make Ready")+SUMIFS('Factory Log'!$D:$D,'Factory Log'!$B:$B,Performance!EN$1,'Factory Log'!$J:$J,Performance!EN17,'Factory Log'!$C:$C,"Roll Change")</f>
        <v>0</v>
      </c>
      <c r="ES17" s="3">
        <f>SUMIFS('Factory Log'!$M:$M,'Factory Log'!$B:$B,Performance!EN$1,'Factory Log'!$J:$J,Performance!EN17,'Factory Log'!$C:$C,"Running")</f>
        <v>0</v>
      </c>
      <c r="ET17" s="58" cm="1">
        <f t="array" ref="ET17">IFERROR(INDEX('Factory Log'!$S:$S,MATCH(1,(Performance!EN$1='Factory Log'!$B:$B)*(Performance!EN17='Factory Log'!$A:$A),0)),0)</f>
        <v>0</v>
      </c>
      <c r="EU17" s="3">
        <f>IFERROR(VLOOKUP(EN17,'Factory Log'!$J:$R,9,0),0)</f>
        <v>0</v>
      </c>
      <c r="EV17" s="64">
        <f t="shared" si="26"/>
        <v>0</v>
      </c>
      <c r="EW17" s="58">
        <f t="shared" si="27"/>
        <v>0</v>
      </c>
      <c r="EZ17" s="3">
        <f>IFERROR(VLOOKUP(EY17,'Factory Log'!$J:$O,6,0),0)</f>
        <v>0</v>
      </c>
      <c r="FA17" s="3">
        <f>IFERROR(VLOOKUP(EY17,'Factory Log'!$J:$P,7,0),0)</f>
        <v>0</v>
      </c>
      <c r="FB17" s="3">
        <f>IFERROR(VLOOKUP(EY17,'Factory Log'!$J:$Q,8,0),0)</f>
        <v>0</v>
      </c>
      <c r="FC17" s="58">
        <f>SUMIFS('Factory Log'!$D:$D,'Factory Log'!$B:$B,Performance!EY$1,'Factory Log'!$J:$J,Performance!EY17,'Factory Log'!$C:$C,"Running")+SUMIFS('Factory Log'!$D:$D,'Factory Log'!$B:$B,Performance!EY$1,'Factory Log'!$J:$J,Performance!EY17,'Factory Log'!$C:$C,"Make Ready")+SUMIFS('Factory Log'!$D:$D,'Factory Log'!$B:$B,Performance!EY$1,'Factory Log'!$J:$J,Performance!EY17,'Factory Log'!$C:$C,"Roll Change")</f>
        <v>0</v>
      </c>
      <c r="FD17" s="3">
        <f>SUMIFS('Factory Log'!$M:$M,'Factory Log'!$B:$B,Performance!EY$1,'Factory Log'!$J:$J,Performance!EY17,'Factory Log'!$C:$C,"Running")</f>
        <v>0</v>
      </c>
      <c r="FE17" s="58" cm="1">
        <f t="array" ref="FE17">IFERROR(INDEX('Factory Log'!$S:$S,MATCH(1,(Performance!EY$1='Factory Log'!$B:$B)*(Performance!EY17='Factory Log'!$A:$A),0)),0)</f>
        <v>0</v>
      </c>
      <c r="FF17" s="3">
        <f>IFERROR(VLOOKUP(EY17,'Factory Log'!$J:$R,9,0),0)</f>
        <v>0</v>
      </c>
      <c r="FG17" s="64">
        <f t="shared" si="28"/>
        <v>0</v>
      </c>
      <c r="FH17" s="58">
        <f t="shared" si="29"/>
        <v>0</v>
      </c>
    </row>
    <row r="18" spans="2:164" ht="16" customHeight="1" x14ac:dyDescent="0.2">
      <c r="B18" s="3">
        <f>IFERROR(VLOOKUP(A18,'Factory Log'!$J:$O,6,0),0)</f>
        <v>0</v>
      </c>
      <c r="C18" s="3">
        <f>IFERROR(VLOOKUP(A18,'Factory Log'!$J:$P,7,0),0)</f>
        <v>0</v>
      </c>
      <c r="D18" s="3">
        <f>IFERROR(VLOOKUP(A18,'Factory Log'!$J:$Q,8,0),0)</f>
        <v>0</v>
      </c>
      <c r="E18" s="58">
        <f>SUMIFS('Factory Log'!$D:$D,'Factory Log'!$B:$B,Performance!A$1,'Factory Log'!$J:$J,Performance!A18,'Factory Log'!$C:$C,"Running")+SUMIFS('Factory Log'!$D:$D,'Factory Log'!$B:$B,Performance!A$1,'Factory Log'!$J:$J,Performance!A18,'Factory Log'!$C:$C,"Make Ready")+SUMIFS('Factory Log'!$D:$D,'Factory Log'!$B:$B,Performance!A$1,'Factory Log'!$J:$J,Performance!A18,'Factory Log'!$C:$C,"Roll Change")</f>
        <v>0</v>
      </c>
      <c r="F18" s="3">
        <f>SUMIFS('Factory Log'!$M:$M,'Factory Log'!$B:$B,Performance!A$1,'Factory Log'!$J:$J,Performance!A18,'Factory Log'!$C:$C,"Running")</f>
        <v>0</v>
      </c>
      <c r="G18" s="58" cm="1">
        <f t="array" ref="G18">IFERROR(INDEX('Factory Log'!$S:$S,MATCH(1,(Performance!A$1='Factory Log'!$B:$B)*(Performance!A18='Factory Log'!$A:$A),0)),0)</f>
        <v>0</v>
      </c>
      <c r="H18" s="3">
        <f>IFERROR(VLOOKUP(A18,'Factory Log'!$J:$R,9,0),0)</f>
        <v>0</v>
      </c>
      <c r="I18" s="64">
        <f t="shared" si="1"/>
        <v>0</v>
      </c>
      <c r="J18" s="58">
        <f t="shared" si="0"/>
        <v>0</v>
      </c>
      <c r="M18" s="3">
        <f>IFERROR(VLOOKUP(L18,'Factory Log'!$J:$O,6,0),0)</f>
        <v>0</v>
      </c>
      <c r="N18" s="3">
        <f>IFERROR(VLOOKUP(L18,'Factory Log'!$J:$P,7,0),0)</f>
        <v>0</v>
      </c>
      <c r="O18" s="3">
        <f>IFERROR(VLOOKUP(L18,'Factory Log'!$J:$Q,8,0),0)</f>
        <v>0</v>
      </c>
      <c r="P18" s="58">
        <f>SUMIFS('Factory Log'!$D:$D,'Factory Log'!$B:$B,Performance!L$1,'Factory Log'!$J:$J,Performance!L18,'Factory Log'!$C:$C,"Running")+SUMIFS('Factory Log'!$D:$D,'Factory Log'!$B:$B,Performance!L$1,'Factory Log'!$J:$J,Performance!L18,'Factory Log'!$C:$C,"Make Ready")+SUMIFS('Factory Log'!$D:$D,'Factory Log'!$B:$B,Performance!L$1,'Factory Log'!$J:$J,Performance!L18,'Factory Log'!$C:$C,"Roll Change")</f>
        <v>0</v>
      </c>
      <c r="Q18" s="3">
        <f>SUMIFS('Factory Log'!$M:$M,'Factory Log'!$B:$B,Performance!L$1,'Factory Log'!$J:$J,Performance!L18,'Factory Log'!$C:$C,"Running")</f>
        <v>0</v>
      </c>
      <c r="R18" s="58" cm="1">
        <f t="array" ref="R18">IFERROR(INDEX('Factory Log'!$S:$S,MATCH(1,(Performance!L$1='Factory Log'!$B:$B)*(Performance!L18='Factory Log'!$A:$A),0)),0)</f>
        <v>0</v>
      </c>
      <c r="S18" s="3">
        <f>IFERROR(VLOOKUP(L18,'Factory Log'!$J:$R,9,0),0)</f>
        <v>0</v>
      </c>
      <c r="T18" s="64">
        <f t="shared" si="2"/>
        <v>0</v>
      </c>
      <c r="U18" s="58">
        <f t="shared" si="3"/>
        <v>0</v>
      </c>
      <c r="X18" s="3">
        <f>IFERROR(VLOOKUP(W18,'Factory Log'!$J:$O,6,0),0)</f>
        <v>0</v>
      </c>
      <c r="Y18" s="3">
        <f>IFERROR(VLOOKUP(W18,'Factory Log'!$J:$P,7,0),0)</f>
        <v>0</v>
      </c>
      <c r="Z18" s="3">
        <f>IFERROR(VLOOKUP(W18,'Factory Log'!$J:$Q,8,0),0)</f>
        <v>0</v>
      </c>
      <c r="AA18" s="58">
        <f>SUMIFS('Factory Log'!$D:$D,'Factory Log'!$B:$B,Performance!W$1,'Factory Log'!$J:$J,Performance!W18,'Factory Log'!$C:$C,"Running")+SUMIFS('Factory Log'!$D:$D,'Factory Log'!$B:$B,Performance!W$1,'Factory Log'!$J:$J,Performance!W18,'Factory Log'!$C:$C,"Make Ready")+SUMIFS('Factory Log'!$D:$D,'Factory Log'!$B:$B,Performance!W$1,'Factory Log'!$J:$J,Performance!W18,'Factory Log'!$C:$C,"Roll Change")</f>
        <v>0</v>
      </c>
      <c r="AB18" s="3">
        <f>SUMIFS('Factory Log'!$M:$M,'Factory Log'!$B:$B,Performance!W$1,'Factory Log'!$J:$J,Performance!W18,'Factory Log'!$C:$C,"Running")</f>
        <v>0</v>
      </c>
      <c r="AC18" s="58" cm="1">
        <f t="array" ref="AC18">IFERROR(INDEX('Factory Log'!$S:$S,MATCH(1,(Performance!W$1='Factory Log'!$B:$B)*(Performance!W18='Factory Log'!$A:$A),0)),0)</f>
        <v>0</v>
      </c>
      <c r="AD18" s="3">
        <f>IFERROR(VLOOKUP(W18,'Factory Log'!$J:$R,9,0),0)</f>
        <v>0</v>
      </c>
      <c r="AE18" s="64">
        <f t="shared" si="4"/>
        <v>0</v>
      </c>
      <c r="AF18" s="58">
        <f t="shared" si="5"/>
        <v>0</v>
      </c>
      <c r="AI18" s="3">
        <f>IFERROR(VLOOKUP(AH18,'Factory Log'!$J:$O,6,0),0)</f>
        <v>0</v>
      </c>
      <c r="AJ18" s="3">
        <f>IFERROR(VLOOKUP(AH18,'Factory Log'!$J:$P,7,0),0)</f>
        <v>0</v>
      </c>
      <c r="AK18" s="3">
        <f>IFERROR(VLOOKUP(AH18,'Factory Log'!$J:$Q,8,0),0)</f>
        <v>0</v>
      </c>
      <c r="AL18" s="58">
        <f>SUMIFS('Factory Log'!$D:$D,'Factory Log'!$B:$B,Performance!AH$1,'Factory Log'!$J:$J,Performance!AH18,'Factory Log'!$C:$C,"Running")+SUMIFS('Factory Log'!$D:$D,'Factory Log'!$B:$B,Performance!AH$1,'Factory Log'!$J:$J,Performance!AH18,'Factory Log'!$C:$C,"Make Ready")+SUMIFS('Factory Log'!$D:$D,'Factory Log'!$B:$B,Performance!AH$1,'Factory Log'!$J:$J,Performance!AH18,'Factory Log'!$C:$C,"Roll Change")</f>
        <v>0</v>
      </c>
      <c r="AM18" s="3">
        <f>SUMIFS('Factory Log'!$M:$M,'Factory Log'!$B:$B,Performance!AH$1,'Factory Log'!$J:$J,Performance!AH18,'Factory Log'!$C:$C,"Running")</f>
        <v>0</v>
      </c>
      <c r="AN18" s="58" cm="1">
        <f t="array" ref="AN18">IFERROR(INDEX('Factory Log'!$S:$S,MATCH(1,(Performance!AH$1='Factory Log'!$B:$B)*(Performance!AH18='Factory Log'!$A:$A),0)),0)</f>
        <v>0</v>
      </c>
      <c r="AO18" s="3">
        <f>IFERROR(VLOOKUP(AH18,'Factory Log'!$J:$R,9,0),0)</f>
        <v>0</v>
      </c>
      <c r="AP18" s="64">
        <f t="shared" si="6"/>
        <v>0</v>
      </c>
      <c r="AQ18" s="58">
        <f t="shared" si="7"/>
        <v>0</v>
      </c>
      <c r="AT18" s="3">
        <f>IFERROR(VLOOKUP(AS18,'Factory Log'!$J:$O,6,0),0)</f>
        <v>0</v>
      </c>
      <c r="AU18" s="3">
        <f>IFERROR(VLOOKUP(AS18,'Factory Log'!$J:$P,7,0),0)</f>
        <v>0</v>
      </c>
      <c r="AV18" s="3">
        <f>IFERROR(VLOOKUP(AS18,'Factory Log'!$J:$Q,8,0),0)</f>
        <v>0</v>
      </c>
      <c r="AW18" s="58">
        <f>SUMIFS('Factory Log'!$D:$D,'Factory Log'!$B:$B,Performance!AS$1,'Factory Log'!$J:$J,Performance!AS18,'Factory Log'!$C:$C,"Running")+SUMIFS('Factory Log'!$D:$D,'Factory Log'!$B:$B,Performance!AS$1,'Factory Log'!$J:$J,Performance!AS18,'Factory Log'!$C:$C,"Make Ready")+SUMIFS('Factory Log'!$D:$D,'Factory Log'!$B:$B,Performance!AS$1,'Factory Log'!$J:$J,Performance!AS18,'Factory Log'!$C:$C,"Roll Change")</f>
        <v>0</v>
      </c>
      <c r="AX18" s="3">
        <f>SUMIFS('Factory Log'!$M:$M,'Factory Log'!$B:$B,Performance!AS$1,'Factory Log'!$J:$J,Performance!AS18,'Factory Log'!$C:$C,"Running")</f>
        <v>0</v>
      </c>
      <c r="AY18" s="58" cm="1">
        <f t="array" ref="AY18">IFERROR(INDEX('Factory Log'!$S:$S,MATCH(1,(Performance!AS$1='Factory Log'!$B:$B)*(Performance!AS18='Factory Log'!$A:$A),0)),0)</f>
        <v>0</v>
      </c>
      <c r="AZ18" s="3">
        <f>IFERROR(VLOOKUP(AS18,'Factory Log'!$J:$R,9,0),0)</f>
        <v>0</v>
      </c>
      <c r="BA18" s="64">
        <f t="shared" si="8"/>
        <v>0</v>
      </c>
      <c r="BB18" s="58">
        <f t="shared" si="9"/>
        <v>0</v>
      </c>
      <c r="BE18" s="3">
        <f>IFERROR(VLOOKUP(BD18,'Factory Log'!$J:$O,6,0),0)</f>
        <v>0</v>
      </c>
      <c r="BF18" s="3">
        <f>IFERROR(VLOOKUP(BD18,'Factory Log'!$J:$P,7,0),0)</f>
        <v>0</v>
      </c>
      <c r="BG18" s="3">
        <f>IFERROR(VLOOKUP(BD18,'Factory Log'!$J:$Q,8,0),0)</f>
        <v>0</v>
      </c>
      <c r="BH18" s="58">
        <f>SUMIFS('Factory Log'!$D:$D,'Factory Log'!$B:$B,Performance!BD$1,'Factory Log'!$J:$J,Performance!BD18,'Factory Log'!$C:$C,"Running")+SUMIFS('Factory Log'!$D:$D,'Factory Log'!$B:$B,Performance!BD$1,'Factory Log'!$J:$J,Performance!BD18,'Factory Log'!$C:$C,"Make Ready")+SUMIFS('Factory Log'!$D:$D,'Factory Log'!$B:$B,Performance!BD$1,'Factory Log'!$J:$J,Performance!BD18,'Factory Log'!$C:$C,"Roll Change")</f>
        <v>0</v>
      </c>
      <c r="BI18" s="3">
        <f>SUMIFS('Factory Log'!$M:$M,'Factory Log'!$B:$B,Performance!BD$1,'Factory Log'!$J:$J,Performance!BD18,'Factory Log'!$C:$C,"Running")</f>
        <v>0</v>
      </c>
      <c r="BJ18" s="58" cm="1">
        <f t="array" ref="BJ18">IFERROR(INDEX('Factory Log'!$S:$S,MATCH(1,(Performance!BD$1='Factory Log'!$B:$B)*(Performance!BD18='Factory Log'!$A:$A),0)),0)</f>
        <v>0</v>
      </c>
      <c r="BK18" s="3">
        <f>IFERROR(VLOOKUP(BD18,'Factory Log'!$J:$R,9,0),0)</f>
        <v>0</v>
      </c>
      <c r="BL18" s="64">
        <f t="shared" si="10"/>
        <v>0</v>
      </c>
      <c r="BM18" s="58">
        <f t="shared" si="11"/>
        <v>0</v>
      </c>
      <c r="BP18" s="3">
        <f>IFERROR(VLOOKUP(BO18,'Factory Log'!$J:$O,6,0),0)</f>
        <v>0</v>
      </c>
      <c r="BQ18" s="3">
        <f>IFERROR(VLOOKUP(BO18,'Factory Log'!$J:$P,7,0),0)</f>
        <v>0</v>
      </c>
      <c r="BR18" s="3">
        <f>IFERROR(VLOOKUP(BO18,'Factory Log'!$J:$Q,8,0),0)</f>
        <v>0</v>
      </c>
      <c r="BS18" s="58">
        <f>SUMIFS('Factory Log'!$D:$D,'Factory Log'!$B:$B,Performance!BO$1,'Factory Log'!$J:$J,Performance!BO18,'Factory Log'!$C:$C,"Running")+SUMIFS('Factory Log'!$D:$D,'Factory Log'!$B:$B,Performance!BO$1,'Factory Log'!$J:$J,Performance!BO18,'Factory Log'!$C:$C,"Make Ready")+SUMIFS('Factory Log'!$D:$D,'Factory Log'!$B:$B,Performance!BO$1,'Factory Log'!$J:$J,Performance!BO18,'Factory Log'!$C:$C,"Roll Change")</f>
        <v>0</v>
      </c>
      <c r="BT18" s="3">
        <f>SUMIFS('Factory Log'!$M:$M,'Factory Log'!$B:$B,Performance!BO$1,'Factory Log'!$J:$J,Performance!BO18,'Factory Log'!$C:$C,"Running")</f>
        <v>0</v>
      </c>
      <c r="BU18" s="58" cm="1">
        <f t="array" ref="BU18">IFERROR(INDEX('Factory Log'!$S:$S,MATCH(1,(Performance!BO$1='Factory Log'!$B:$B)*(Performance!BO18='Factory Log'!$A:$A),0)),0)</f>
        <v>0</v>
      </c>
      <c r="BV18" s="3">
        <f>IFERROR(VLOOKUP(BO18,'Factory Log'!$J:$R,9,0),0)</f>
        <v>0</v>
      </c>
      <c r="BW18" s="64">
        <f t="shared" si="12"/>
        <v>0</v>
      </c>
      <c r="BX18" s="58">
        <f t="shared" si="13"/>
        <v>0</v>
      </c>
      <c r="CA18" s="3">
        <f>IFERROR(VLOOKUP(BZ18,'Factory Log'!$J:$O,6,0),0)</f>
        <v>0</v>
      </c>
      <c r="CB18" s="3">
        <f>IFERROR(VLOOKUP(BZ18,'Factory Log'!$J:$P,7,0),0)</f>
        <v>0</v>
      </c>
      <c r="CC18" s="3">
        <f>IFERROR(VLOOKUP(BZ18,'Factory Log'!$J:$Q,8,0),0)</f>
        <v>0</v>
      </c>
      <c r="CD18" s="58">
        <f>SUMIFS('Factory Log'!$D:$D,'Factory Log'!$B:$B,Performance!BZ$1,'Factory Log'!$J:$J,Performance!BZ18,'Factory Log'!$C:$C,"Running")+SUMIFS('Factory Log'!$D:$D,'Factory Log'!$B:$B,Performance!BZ$1,'Factory Log'!$J:$J,Performance!BZ18,'Factory Log'!$C:$C,"Make Ready")+SUMIFS('Factory Log'!$D:$D,'Factory Log'!$B:$B,Performance!BZ$1,'Factory Log'!$J:$J,Performance!BZ18,'Factory Log'!$C:$C,"Roll Change")</f>
        <v>0</v>
      </c>
      <c r="CE18" s="3">
        <f>SUMIFS('Factory Log'!$M:$M,'Factory Log'!$B:$B,Performance!BZ$1,'Factory Log'!$J:$J,Performance!BZ18,'Factory Log'!$C:$C,"Running")</f>
        <v>0</v>
      </c>
      <c r="CF18" s="58" cm="1">
        <f t="array" ref="CF18">IFERROR(INDEX('Factory Log'!$S:$S,MATCH(1,(Performance!BZ$1='Factory Log'!$B:$B)*(Performance!BZ18='Factory Log'!$A:$A),0)),0)</f>
        <v>0</v>
      </c>
      <c r="CG18" s="3">
        <f>IFERROR(VLOOKUP(BZ18,'Factory Log'!$J:$R,9,0),0)</f>
        <v>0</v>
      </c>
      <c r="CH18" s="64">
        <f t="shared" si="14"/>
        <v>0</v>
      </c>
      <c r="CI18" s="58">
        <f t="shared" si="15"/>
        <v>0</v>
      </c>
      <c r="CL18" s="3">
        <f>IFERROR(VLOOKUP(CK18,'Factory Log'!$J:$O,6,0),0)</f>
        <v>0</v>
      </c>
      <c r="CM18" s="3">
        <f>IFERROR(VLOOKUP(CK18,'Factory Log'!$J:$P,7,0),0)</f>
        <v>0</v>
      </c>
      <c r="CN18" s="3">
        <f>IFERROR(VLOOKUP(CK18,'Factory Log'!$J:$Q,8,0),0)</f>
        <v>0</v>
      </c>
      <c r="CO18" s="58">
        <f>SUMIFS('Factory Log'!$D:$D,'Factory Log'!$B:$B,Performance!CK$1,'Factory Log'!$J:$J,Performance!CK18,'Factory Log'!$C:$C,"Running")+SUMIFS('Factory Log'!$D:$D,'Factory Log'!$B:$B,Performance!CK$1,'Factory Log'!$J:$J,Performance!CK18,'Factory Log'!$C:$C,"Make Ready")+SUMIFS('Factory Log'!$D:$D,'Factory Log'!$B:$B,Performance!CK$1,'Factory Log'!$J:$J,Performance!CK18,'Factory Log'!$C:$C,"Roll Change")</f>
        <v>0</v>
      </c>
      <c r="CP18" s="3">
        <f>SUMIFS('Factory Log'!$M:$M,'Factory Log'!$B:$B,Performance!CK$1,'Factory Log'!$J:$J,Performance!CK18,'Factory Log'!$C:$C,"Running")</f>
        <v>0</v>
      </c>
      <c r="CQ18" s="58" cm="1">
        <f t="array" ref="CQ18">IFERROR(INDEX('Factory Log'!$S:$S,MATCH(1,(Performance!CK$1='Factory Log'!$B:$B)*(Performance!CK18='Factory Log'!$A:$A),0)),0)</f>
        <v>0</v>
      </c>
      <c r="CR18" s="3">
        <f>IFERROR(VLOOKUP(CK18,'Factory Log'!$J:$R,9,0),0)</f>
        <v>0</v>
      </c>
      <c r="CS18" s="64">
        <f t="shared" si="16"/>
        <v>0</v>
      </c>
      <c r="CT18" s="58">
        <f t="shared" si="17"/>
        <v>0</v>
      </c>
      <c r="CW18" s="3">
        <f>IFERROR(VLOOKUP(CV18,'Factory Log'!$J:$O,6,0),0)</f>
        <v>0</v>
      </c>
      <c r="CX18" s="3">
        <f>IFERROR(VLOOKUP(CV18,'Factory Log'!$J:$P,7,0),0)</f>
        <v>0</v>
      </c>
      <c r="CY18" s="3">
        <f>IFERROR(VLOOKUP(CV18,'Factory Log'!$J:$Q,8,0),0)</f>
        <v>0</v>
      </c>
      <c r="CZ18" s="58">
        <f>SUMIFS('Factory Log'!$D:$D,'Factory Log'!$B:$B,Performance!CV$1,'Factory Log'!$J:$J,Performance!CV18,'Factory Log'!$C:$C,"Running")+SUMIFS('Factory Log'!$D:$D,'Factory Log'!$B:$B,Performance!CV$1,'Factory Log'!$J:$J,Performance!CV18,'Factory Log'!$C:$C,"Make Ready")+SUMIFS('Factory Log'!$D:$D,'Factory Log'!$B:$B,Performance!CV$1,'Factory Log'!$J:$J,Performance!CV18,'Factory Log'!$C:$C,"Roll Change")</f>
        <v>0</v>
      </c>
      <c r="DA18" s="3">
        <f>SUMIFS('Factory Log'!$M:$M,'Factory Log'!$B:$B,Performance!CV$1,'Factory Log'!$J:$J,Performance!CV18,'Factory Log'!$C:$C,"Running")</f>
        <v>0</v>
      </c>
      <c r="DB18" s="58" cm="1">
        <f t="array" ref="DB18">IFERROR(INDEX('Factory Log'!$S:$S,MATCH(1,(Performance!CV$1='Factory Log'!$B:$B)*(Performance!CV18='Factory Log'!$A:$A),0)),0)</f>
        <v>0</v>
      </c>
      <c r="DC18" s="3">
        <f>IFERROR(VLOOKUP(CV18,'Factory Log'!$J:$R,9,0),0)</f>
        <v>0</v>
      </c>
      <c r="DD18" s="64">
        <f t="shared" si="18"/>
        <v>0</v>
      </c>
      <c r="DE18" s="58">
        <f t="shared" si="19"/>
        <v>0</v>
      </c>
      <c r="DH18" s="3">
        <f>IFERROR(VLOOKUP(DG18,'Factory Log'!$J:$O,6,0),0)</f>
        <v>0</v>
      </c>
      <c r="DI18" s="3">
        <f>IFERROR(VLOOKUP(DG18,'Factory Log'!$J:$P,7,0),0)</f>
        <v>0</v>
      </c>
      <c r="DJ18" s="3">
        <f>IFERROR(VLOOKUP(DG18,'Factory Log'!$J:$Q,8,0),0)</f>
        <v>0</v>
      </c>
      <c r="DK18" s="58">
        <f>SUMIFS('Factory Log'!$D:$D,'Factory Log'!$B:$B,Performance!DG$1,'Factory Log'!$J:$J,Performance!DG18,'Factory Log'!$C:$C,"Running")+SUMIFS('Factory Log'!$D:$D,'Factory Log'!$B:$B,Performance!DG$1,'Factory Log'!$J:$J,Performance!DG18,'Factory Log'!$C:$C,"Make Ready")+SUMIFS('Factory Log'!$D:$D,'Factory Log'!$B:$B,Performance!DG$1,'Factory Log'!$J:$J,Performance!DG18,'Factory Log'!$C:$C,"Roll Change")</f>
        <v>0</v>
      </c>
      <c r="DL18" s="3">
        <f>SUMIFS('Factory Log'!$M:$M,'Factory Log'!$B:$B,Performance!DG$1,'Factory Log'!$J:$J,Performance!DG18,'Factory Log'!$C:$C,"Running")</f>
        <v>0</v>
      </c>
      <c r="DM18" s="58" cm="1">
        <f t="array" ref="DM18">IFERROR(INDEX('Factory Log'!$S:$S,MATCH(1,(Performance!DG$1='Factory Log'!$B:$B)*(Performance!DG18='Factory Log'!$A:$A),0)),0)</f>
        <v>0</v>
      </c>
      <c r="DN18" s="3">
        <f>IFERROR(VLOOKUP(DG18,'Factory Log'!$J:$R,9,0),0)</f>
        <v>0</v>
      </c>
      <c r="DO18" s="64">
        <f t="shared" si="20"/>
        <v>0</v>
      </c>
      <c r="DP18" s="58">
        <f t="shared" si="21"/>
        <v>0</v>
      </c>
      <c r="DS18" s="3">
        <f>IFERROR(VLOOKUP(DR18,'Factory Log'!$J:$O,6,0),0)</f>
        <v>0</v>
      </c>
      <c r="DT18" s="3">
        <f>IFERROR(VLOOKUP(DR18,'Factory Log'!$J:$P,7,0),0)</f>
        <v>0</v>
      </c>
      <c r="DU18" s="3">
        <f>IFERROR(VLOOKUP(DR18,'Factory Log'!$J:$Q,8,0),0)</f>
        <v>0</v>
      </c>
      <c r="DV18" s="58">
        <f>SUMIFS('Factory Log'!$D:$D,'Factory Log'!$B:$B,Performance!DR$1,'Factory Log'!$J:$J,Performance!DR18,'Factory Log'!$C:$C,"Running")+SUMIFS('Factory Log'!$D:$D,'Factory Log'!$B:$B,Performance!DR$1,'Factory Log'!$J:$J,Performance!DR18,'Factory Log'!$C:$C,"Make Ready")+SUMIFS('Factory Log'!$D:$D,'Factory Log'!$B:$B,Performance!DR$1,'Factory Log'!$J:$J,Performance!DR18,'Factory Log'!$C:$C,"Roll Change")</f>
        <v>0</v>
      </c>
      <c r="DW18" s="3">
        <f>SUMIFS('Factory Log'!$M:$M,'Factory Log'!$B:$B,Performance!DR$1,'Factory Log'!$J:$J,Performance!DR18,'Factory Log'!$C:$C,"Running")</f>
        <v>0</v>
      </c>
      <c r="DX18" s="58" cm="1">
        <f t="array" ref="DX18">IFERROR(INDEX('Factory Log'!$S:$S,MATCH(1,(Performance!DR$1='Factory Log'!$B:$B)*(Performance!DR18='Factory Log'!$A:$A),0)),0)</f>
        <v>0</v>
      </c>
      <c r="DY18" s="3">
        <f>IFERROR(VLOOKUP(DR18,'Factory Log'!$J:$R,9,0),0)</f>
        <v>0</v>
      </c>
      <c r="DZ18" s="64">
        <f t="shared" si="22"/>
        <v>0</v>
      </c>
      <c r="EA18" s="58">
        <f t="shared" si="23"/>
        <v>0</v>
      </c>
      <c r="ED18" s="3">
        <f>IFERROR(VLOOKUP(EC18,'Factory Log'!$J:$O,6,0),0)</f>
        <v>0</v>
      </c>
      <c r="EE18" s="3">
        <f>IFERROR(VLOOKUP(EC18,'Factory Log'!$J:$P,7,0),0)</f>
        <v>0</v>
      </c>
      <c r="EF18" s="3">
        <f>IFERROR(VLOOKUP(EC18,'Factory Log'!$J:$Q,8,0),0)</f>
        <v>0</v>
      </c>
      <c r="EG18" s="58">
        <f>SUMIFS('Factory Log'!$D:$D,'Factory Log'!$B:$B,Performance!EC$1,'Factory Log'!$J:$J,Performance!EC18,'Factory Log'!$C:$C,"Running")+SUMIFS('Factory Log'!$D:$D,'Factory Log'!$B:$B,Performance!EC$1,'Factory Log'!$J:$J,Performance!EC18,'Factory Log'!$C:$C,"Make Ready")+SUMIFS('Factory Log'!$D:$D,'Factory Log'!$B:$B,Performance!EC$1,'Factory Log'!$J:$J,Performance!EC18,'Factory Log'!$C:$C,"Roll Change")</f>
        <v>0</v>
      </c>
      <c r="EH18" s="3">
        <f>SUMIFS('Factory Log'!$M:$M,'Factory Log'!$B:$B,Performance!EC$1,'Factory Log'!$J:$J,Performance!EC18,'Factory Log'!$C:$C,"Running")</f>
        <v>0</v>
      </c>
      <c r="EI18" s="58" cm="1">
        <f t="array" ref="EI18">IFERROR(INDEX('Factory Log'!$S:$S,MATCH(1,(Performance!EC$1='Factory Log'!$B:$B)*(Performance!EC18='Factory Log'!$A:$A),0)),0)</f>
        <v>0</v>
      </c>
      <c r="EJ18" s="3">
        <f>IFERROR(VLOOKUP(EC18,'Factory Log'!$J:$R,9,0),0)</f>
        <v>0</v>
      </c>
      <c r="EK18" s="64">
        <f t="shared" si="24"/>
        <v>0</v>
      </c>
      <c r="EL18" s="58">
        <f t="shared" si="25"/>
        <v>0</v>
      </c>
      <c r="EO18" s="3">
        <f>IFERROR(VLOOKUP(EN18,'Factory Log'!$J:$O,6,0),0)</f>
        <v>0</v>
      </c>
      <c r="EP18" s="3">
        <f>IFERROR(VLOOKUP(EN18,'Factory Log'!$J:$P,7,0),0)</f>
        <v>0</v>
      </c>
      <c r="EQ18" s="3">
        <f>IFERROR(VLOOKUP(EN18,'Factory Log'!$J:$Q,8,0),0)</f>
        <v>0</v>
      </c>
      <c r="ER18" s="58">
        <f>SUMIFS('Factory Log'!$D:$D,'Factory Log'!$B:$B,Performance!EN$1,'Factory Log'!$J:$J,Performance!EN18,'Factory Log'!$C:$C,"Running")+SUMIFS('Factory Log'!$D:$D,'Factory Log'!$B:$B,Performance!EN$1,'Factory Log'!$J:$J,Performance!EN18,'Factory Log'!$C:$C,"Make Ready")+SUMIFS('Factory Log'!$D:$D,'Factory Log'!$B:$B,Performance!EN$1,'Factory Log'!$J:$J,Performance!EN18,'Factory Log'!$C:$C,"Roll Change")</f>
        <v>0</v>
      </c>
      <c r="ES18" s="3">
        <f>SUMIFS('Factory Log'!$M:$M,'Factory Log'!$B:$B,Performance!EN$1,'Factory Log'!$J:$J,Performance!EN18,'Factory Log'!$C:$C,"Running")</f>
        <v>0</v>
      </c>
      <c r="ET18" s="58" cm="1">
        <f t="array" ref="ET18">IFERROR(INDEX('Factory Log'!$S:$S,MATCH(1,(Performance!EN$1='Factory Log'!$B:$B)*(Performance!EN18='Factory Log'!$A:$A),0)),0)</f>
        <v>0</v>
      </c>
      <c r="EU18" s="3">
        <f>IFERROR(VLOOKUP(EN18,'Factory Log'!$J:$R,9,0),0)</f>
        <v>0</v>
      </c>
      <c r="EV18" s="64">
        <f t="shared" si="26"/>
        <v>0</v>
      </c>
      <c r="EW18" s="58">
        <f t="shared" si="27"/>
        <v>0</v>
      </c>
      <c r="EZ18" s="3">
        <f>IFERROR(VLOOKUP(EY18,'Factory Log'!$J:$O,6,0),0)</f>
        <v>0</v>
      </c>
      <c r="FA18" s="3">
        <f>IFERROR(VLOOKUP(EY18,'Factory Log'!$J:$P,7,0),0)</f>
        <v>0</v>
      </c>
      <c r="FB18" s="3">
        <f>IFERROR(VLOOKUP(EY18,'Factory Log'!$J:$Q,8,0),0)</f>
        <v>0</v>
      </c>
      <c r="FC18" s="58">
        <f>SUMIFS('Factory Log'!$D:$D,'Factory Log'!$B:$B,Performance!EY$1,'Factory Log'!$J:$J,Performance!EY18,'Factory Log'!$C:$C,"Running")+SUMIFS('Factory Log'!$D:$D,'Factory Log'!$B:$B,Performance!EY$1,'Factory Log'!$J:$J,Performance!EY18,'Factory Log'!$C:$C,"Make Ready")+SUMIFS('Factory Log'!$D:$D,'Factory Log'!$B:$B,Performance!EY$1,'Factory Log'!$J:$J,Performance!EY18,'Factory Log'!$C:$C,"Roll Change")</f>
        <v>0</v>
      </c>
      <c r="FD18" s="3">
        <f>SUMIFS('Factory Log'!$M:$M,'Factory Log'!$B:$B,Performance!EY$1,'Factory Log'!$J:$J,Performance!EY18,'Factory Log'!$C:$C,"Running")</f>
        <v>0</v>
      </c>
      <c r="FE18" s="58" cm="1">
        <f t="array" ref="FE18">IFERROR(INDEX('Factory Log'!$S:$S,MATCH(1,(Performance!EY$1='Factory Log'!$B:$B)*(Performance!EY18='Factory Log'!$A:$A),0)),0)</f>
        <v>0</v>
      </c>
      <c r="FF18" s="3">
        <f>IFERROR(VLOOKUP(EY18,'Factory Log'!$J:$R,9,0),0)</f>
        <v>0</v>
      </c>
      <c r="FG18" s="64">
        <f t="shared" si="28"/>
        <v>0</v>
      </c>
      <c r="FH18" s="58">
        <f t="shared" si="29"/>
        <v>0</v>
      </c>
    </row>
    <row r="19" spans="2:164" ht="16" customHeight="1" x14ac:dyDescent="0.2">
      <c r="B19" s="3">
        <f>IFERROR(VLOOKUP(A19,'Factory Log'!$J:$O,6,0),0)</f>
        <v>0</v>
      </c>
      <c r="C19" s="3">
        <f>IFERROR(VLOOKUP(A19,'Factory Log'!$J:$P,7,0),0)</f>
        <v>0</v>
      </c>
      <c r="D19" s="3">
        <f>IFERROR(VLOOKUP(A19,'Factory Log'!$J:$Q,8,0),0)</f>
        <v>0</v>
      </c>
      <c r="E19" s="58">
        <f>SUMIFS('Factory Log'!$D:$D,'Factory Log'!$B:$B,Performance!A$1,'Factory Log'!$J:$J,Performance!A19,'Factory Log'!$C:$C,"Running")+SUMIFS('Factory Log'!$D:$D,'Factory Log'!$B:$B,Performance!A$1,'Factory Log'!$J:$J,Performance!A19,'Factory Log'!$C:$C,"Make Ready")+SUMIFS('Factory Log'!$D:$D,'Factory Log'!$B:$B,Performance!A$1,'Factory Log'!$J:$J,Performance!A19,'Factory Log'!$C:$C,"Roll Change")</f>
        <v>0</v>
      </c>
      <c r="F19" s="3">
        <f>SUMIFS('Factory Log'!$M:$M,'Factory Log'!$B:$B,Performance!A$1,'Factory Log'!$J:$J,Performance!A19,'Factory Log'!$C:$C,"Running")</f>
        <v>0</v>
      </c>
      <c r="G19" s="58" cm="1">
        <f t="array" ref="G19">IFERROR(INDEX('Factory Log'!$S:$S,MATCH(1,(Performance!A$1='Factory Log'!$B:$B)*(Performance!A19='Factory Log'!$A:$A),0)),0)</f>
        <v>0</v>
      </c>
      <c r="H19" s="3">
        <f>IFERROR(VLOOKUP(A19,'Factory Log'!$J:$R,9,0),0)</f>
        <v>0</v>
      </c>
      <c r="I19" s="64">
        <f t="shared" si="1"/>
        <v>0</v>
      </c>
      <c r="J19" s="58">
        <f t="shared" si="0"/>
        <v>0</v>
      </c>
      <c r="M19" s="3">
        <f>IFERROR(VLOOKUP(L19,'Factory Log'!$J:$O,6,0),0)</f>
        <v>0</v>
      </c>
      <c r="N19" s="3">
        <f>IFERROR(VLOOKUP(L19,'Factory Log'!$J:$P,7,0),0)</f>
        <v>0</v>
      </c>
      <c r="O19" s="3">
        <f>IFERROR(VLOOKUP(L19,'Factory Log'!$J:$Q,8,0),0)</f>
        <v>0</v>
      </c>
      <c r="P19" s="58">
        <f>SUMIFS('Factory Log'!$D:$D,'Factory Log'!$B:$B,Performance!L$1,'Factory Log'!$J:$J,Performance!L19,'Factory Log'!$C:$C,"Running")+SUMIFS('Factory Log'!$D:$D,'Factory Log'!$B:$B,Performance!L$1,'Factory Log'!$J:$J,Performance!L19,'Factory Log'!$C:$C,"Make Ready")+SUMIFS('Factory Log'!$D:$D,'Factory Log'!$B:$B,Performance!L$1,'Factory Log'!$J:$J,Performance!L19,'Factory Log'!$C:$C,"Roll Change")</f>
        <v>0</v>
      </c>
      <c r="Q19" s="3">
        <f>SUMIFS('Factory Log'!$M:$M,'Factory Log'!$B:$B,Performance!L$1,'Factory Log'!$J:$J,Performance!L19,'Factory Log'!$C:$C,"Running")</f>
        <v>0</v>
      </c>
      <c r="R19" s="58" cm="1">
        <f t="array" ref="R19">IFERROR(INDEX('Factory Log'!$S:$S,MATCH(1,(Performance!L$1='Factory Log'!$B:$B)*(Performance!L19='Factory Log'!$A:$A),0)),0)</f>
        <v>0</v>
      </c>
      <c r="S19" s="3">
        <f>IFERROR(VLOOKUP(L19,'Factory Log'!$J:$R,9,0),0)</f>
        <v>0</v>
      </c>
      <c r="T19" s="64">
        <f t="shared" si="2"/>
        <v>0</v>
      </c>
      <c r="U19" s="58">
        <f t="shared" si="3"/>
        <v>0</v>
      </c>
      <c r="X19" s="3">
        <f>IFERROR(VLOOKUP(W19,'Factory Log'!$J:$O,6,0),0)</f>
        <v>0</v>
      </c>
      <c r="Y19" s="3">
        <f>IFERROR(VLOOKUP(W19,'Factory Log'!$J:$P,7,0),0)</f>
        <v>0</v>
      </c>
      <c r="Z19" s="3">
        <f>IFERROR(VLOOKUP(W19,'Factory Log'!$J:$Q,8,0),0)</f>
        <v>0</v>
      </c>
      <c r="AA19" s="58">
        <f>SUMIFS('Factory Log'!$D:$D,'Factory Log'!$B:$B,Performance!W$1,'Factory Log'!$J:$J,Performance!W19,'Factory Log'!$C:$C,"Running")+SUMIFS('Factory Log'!$D:$D,'Factory Log'!$B:$B,Performance!W$1,'Factory Log'!$J:$J,Performance!W19,'Factory Log'!$C:$C,"Make Ready")+SUMIFS('Factory Log'!$D:$D,'Factory Log'!$B:$B,Performance!W$1,'Factory Log'!$J:$J,Performance!W19,'Factory Log'!$C:$C,"Roll Change")</f>
        <v>0</v>
      </c>
      <c r="AB19" s="3">
        <f>SUMIFS('Factory Log'!$M:$M,'Factory Log'!$B:$B,Performance!W$1,'Factory Log'!$J:$J,Performance!W19,'Factory Log'!$C:$C,"Running")</f>
        <v>0</v>
      </c>
      <c r="AC19" s="58" cm="1">
        <f t="array" ref="AC19">IFERROR(INDEX('Factory Log'!$S:$S,MATCH(1,(Performance!W$1='Factory Log'!$B:$B)*(Performance!W19='Factory Log'!$A:$A),0)),0)</f>
        <v>0</v>
      </c>
      <c r="AD19" s="3">
        <f>IFERROR(VLOOKUP(W19,'Factory Log'!$J:$R,9,0),0)</f>
        <v>0</v>
      </c>
      <c r="AE19" s="64">
        <f t="shared" si="4"/>
        <v>0</v>
      </c>
      <c r="AF19" s="58">
        <f t="shared" si="5"/>
        <v>0</v>
      </c>
      <c r="AI19" s="3">
        <f>IFERROR(VLOOKUP(AH19,'Factory Log'!$J:$O,6,0),0)</f>
        <v>0</v>
      </c>
      <c r="AJ19" s="3">
        <f>IFERROR(VLOOKUP(AH19,'Factory Log'!$J:$P,7,0),0)</f>
        <v>0</v>
      </c>
      <c r="AK19" s="3">
        <f>IFERROR(VLOOKUP(AH19,'Factory Log'!$J:$Q,8,0),0)</f>
        <v>0</v>
      </c>
      <c r="AL19" s="58">
        <f>SUMIFS('Factory Log'!$D:$D,'Factory Log'!$B:$B,Performance!AH$1,'Factory Log'!$J:$J,Performance!AH19,'Factory Log'!$C:$C,"Running")+SUMIFS('Factory Log'!$D:$D,'Factory Log'!$B:$B,Performance!AH$1,'Factory Log'!$J:$J,Performance!AH19,'Factory Log'!$C:$C,"Make Ready")+SUMIFS('Factory Log'!$D:$D,'Factory Log'!$B:$B,Performance!AH$1,'Factory Log'!$J:$J,Performance!AH19,'Factory Log'!$C:$C,"Roll Change")</f>
        <v>0</v>
      </c>
      <c r="AM19" s="3">
        <f>SUMIFS('Factory Log'!$M:$M,'Factory Log'!$B:$B,Performance!AH$1,'Factory Log'!$J:$J,Performance!AH19,'Factory Log'!$C:$C,"Running")</f>
        <v>0</v>
      </c>
      <c r="AN19" s="58" cm="1">
        <f t="array" ref="AN19">IFERROR(INDEX('Factory Log'!$S:$S,MATCH(1,(Performance!AH$1='Factory Log'!$B:$B)*(Performance!AH19='Factory Log'!$A:$A),0)),0)</f>
        <v>0</v>
      </c>
      <c r="AO19" s="3">
        <f>IFERROR(VLOOKUP(AH19,'Factory Log'!$J:$R,9,0),0)</f>
        <v>0</v>
      </c>
      <c r="AP19" s="64">
        <f t="shared" si="6"/>
        <v>0</v>
      </c>
      <c r="AQ19" s="58">
        <f t="shared" si="7"/>
        <v>0</v>
      </c>
      <c r="AT19" s="3">
        <f>IFERROR(VLOOKUP(AS19,'Factory Log'!$J:$O,6,0),0)</f>
        <v>0</v>
      </c>
      <c r="AU19" s="3">
        <f>IFERROR(VLOOKUP(AS19,'Factory Log'!$J:$P,7,0),0)</f>
        <v>0</v>
      </c>
      <c r="AV19" s="3">
        <f>IFERROR(VLOOKUP(AS19,'Factory Log'!$J:$Q,8,0),0)</f>
        <v>0</v>
      </c>
      <c r="AW19" s="58">
        <f>SUMIFS('Factory Log'!$D:$D,'Factory Log'!$B:$B,Performance!AS$1,'Factory Log'!$J:$J,Performance!AS19,'Factory Log'!$C:$C,"Running")+SUMIFS('Factory Log'!$D:$D,'Factory Log'!$B:$B,Performance!AS$1,'Factory Log'!$J:$J,Performance!AS19,'Factory Log'!$C:$C,"Make Ready")+SUMIFS('Factory Log'!$D:$D,'Factory Log'!$B:$B,Performance!AS$1,'Factory Log'!$J:$J,Performance!AS19,'Factory Log'!$C:$C,"Roll Change")</f>
        <v>0</v>
      </c>
      <c r="AX19" s="3">
        <f>SUMIFS('Factory Log'!$M:$M,'Factory Log'!$B:$B,Performance!AS$1,'Factory Log'!$J:$J,Performance!AS19,'Factory Log'!$C:$C,"Running")</f>
        <v>0</v>
      </c>
      <c r="AY19" s="58" cm="1">
        <f t="array" ref="AY19">IFERROR(INDEX('Factory Log'!$S:$S,MATCH(1,(Performance!AS$1='Factory Log'!$B:$B)*(Performance!AS19='Factory Log'!$A:$A),0)),0)</f>
        <v>0</v>
      </c>
      <c r="AZ19" s="3">
        <f>IFERROR(VLOOKUP(AS19,'Factory Log'!$J:$R,9,0),0)</f>
        <v>0</v>
      </c>
      <c r="BA19" s="64">
        <f t="shared" si="8"/>
        <v>0</v>
      </c>
      <c r="BB19" s="58">
        <f t="shared" si="9"/>
        <v>0</v>
      </c>
      <c r="BE19" s="3">
        <f>IFERROR(VLOOKUP(BD19,'Factory Log'!$J:$O,6,0),0)</f>
        <v>0</v>
      </c>
      <c r="BF19" s="3">
        <f>IFERROR(VLOOKUP(BD19,'Factory Log'!$J:$P,7,0),0)</f>
        <v>0</v>
      </c>
      <c r="BG19" s="3">
        <f>IFERROR(VLOOKUP(BD19,'Factory Log'!$J:$Q,8,0),0)</f>
        <v>0</v>
      </c>
      <c r="BH19" s="58">
        <f>SUMIFS('Factory Log'!$D:$D,'Factory Log'!$B:$B,Performance!BD$1,'Factory Log'!$J:$J,Performance!BD19,'Factory Log'!$C:$C,"Running")+SUMIFS('Factory Log'!$D:$D,'Factory Log'!$B:$B,Performance!BD$1,'Factory Log'!$J:$J,Performance!BD19,'Factory Log'!$C:$C,"Make Ready")+SUMIFS('Factory Log'!$D:$D,'Factory Log'!$B:$B,Performance!BD$1,'Factory Log'!$J:$J,Performance!BD19,'Factory Log'!$C:$C,"Roll Change")</f>
        <v>0</v>
      </c>
      <c r="BI19" s="3">
        <f>SUMIFS('Factory Log'!$M:$M,'Factory Log'!$B:$B,Performance!BD$1,'Factory Log'!$J:$J,Performance!BD19,'Factory Log'!$C:$C,"Running")</f>
        <v>0</v>
      </c>
      <c r="BJ19" s="58" cm="1">
        <f t="array" ref="BJ19">IFERROR(INDEX('Factory Log'!$S:$S,MATCH(1,(Performance!BD$1='Factory Log'!$B:$B)*(Performance!BD19='Factory Log'!$A:$A),0)),0)</f>
        <v>0</v>
      </c>
      <c r="BK19" s="3">
        <f>IFERROR(VLOOKUP(BD19,'Factory Log'!$J:$R,9,0),0)</f>
        <v>0</v>
      </c>
      <c r="BL19" s="64">
        <f t="shared" si="10"/>
        <v>0</v>
      </c>
      <c r="BM19" s="58">
        <f t="shared" si="11"/>
        <v>0</v>
      </c>
      <c r="BP19" s="3">
        <f>IFERROR(VLOOKUP(BO19,'Factory Log'!$J:$O,6,0),0)</f>
        <v>0</v>
      </c>
      <c r="BQ19" s="3">
        <f>IFERROR(VLOOKUP(BO19,'Factory Log'!$J:$P,7,0),0)</f>
        <v>0</v>
      </c>
      <c r="BR19" s="3">
        <f>IFERROR(VLOOKUP(BO19,'Factory Log'!$J:$Q,8,0),0)</f>
        <v>0</v>
      </c>
      <c r="BS19" s="58">
        <f>SUMIFS('Factory Log'!$D:$D,'Factory Log'!$B:$B,Performance!BO$1,'Factory Log'!$J:$J,Performance!BO19,'Factory Log'!$C:$C,"Running")+SUMIFS('Factory Log'!$D:$D,'Factory Log'!$B:$B,Performance!BO$1,'Factory Log'!$J:$J,Performance!BO19,'Factory Log'!$C:$C,"Make Ready")+SUMIFS('Factory Log'!$D:$D,'Factory Log'!$B:$B,Performance!BO$1,'Factory Log'!$J:$J,Performance!BO19,'Factory Log'!$C:$C,"Roll Change")</f>
        <v>0</v>
      </c>
      <c r="BT19" s="3">
        <f>SUMIFS('Factory Log'!$M:$M,'Factory Log'!$B:$B,Performance!BO$1,'Factory Log'!$J:$J,Performance!BO19,'Factory Log'!$C:$C,"Running")</f>
        <v>0</v>
      </c>
      <c r="BU19" s="58" cm="1">
        <f t="array" ref="BU19">IFERROR(INDEX('Factory Log'!$S:$S,MATCH(1,(Performance!BO$1='Factory Log'!$B:$B)*(Performance!BO19='Factory Log'!$A:$A),0)),0)</f>
        <v>0</v>
      </c>
      <c r="BV19" s="3">
        <f>IFERROR(VLOOKUP(BO19,'Factory Log'!$J:$R,9,0),0)</f>
        <v>0</v>
      </c>
      <c r="BW19" s="64">
        <f t="shared" si="12"/>
        <v>0</v>
      </c>
      <c r="BX19" s="58">
        <f t="shared" si="13"/>
        <v>0</v>
      </c>
      <c r="CA19" s="3">
        <f>IFERROR(VLOOKUP(BZ19,'Factory Log'!$J:$O,6,0),0)</f>
        <v>0</v>
      </c>
      <c r="CB19" s="3">
        <f>IFERROR(VLOOKUP(BZ19,'Factory Log'!$J:$P,7,0),0)</f>
        <v>0</v>
      </c>
      <c r="CC19" s="3">
        <f>IFERROR(VLOOKUP(BZ19,'Factory Log'!$J:$Q,8,0),0)</f>
        <v>0</v>
      </c>
      <c r="CD19" s="58">
        <f>SUMIFS('Factory Log'!$D:$D,'Factory Log'!$B:$B,Performance!BZ$1,'Factory Log'!$J:$J,Performance!BZ19,'Factory Log'!$C:$C,"Running")+SUMIFS('Factory Log'!$D:$D,'Factory Log'!$B:$B,Performance!BZ$1,'Factory Log'!$J:$J,Performance!BZ19,'Factory Log'!$C:$C,"Make Ready")+SUMIFS('Factory Log'!$D:$D,'Factory Log'!$B:$B,Performance!BZ$1,'Factory Log'!$J:$J,Performance!BZ19,'Factory Log'!$C:$C,"Roll Change")</f>
        <v>0</v>
      </c>
      <c r="CE19" s="3">
        <f>SUMIFS('Factory Log'!$M:$M,'Factory Log'!$B:$B,Performance!BZ$1,'Factory Log'!$J:$J,Performance!BZ19,'Factory Log'!$C:$C,"Running")</f>
        <v>0</v>
      </c>
      <c r="CF19" s="58" cm="1">
        <f t="array" ref="CF19">IFERROR(INDEX('Factory Log'!$S:$S,MATCH(1,(Performance!BZ$1='Factory Log'!$B:$B)*(Performance!BZ19='Factory Log'!$A:$A),0)),0)</f>
        <v>0</v>
      </c>
      <c r="CG19" s="3">
        <f>IFERROR(VLOOKUP(BZ19,'Factory Log'!$J:$R,9,0),0)</f>
        <v>0</v>
      </c>
      <c r="CH19" s="64">
        <f t="shared" si="14"/>
        <v>0</v>
      </c>
      <c r="CI19" s="58">
        <f t="shared" si="15"/>
        <v>0</v>
      </c>
      <c r="CL19" s="3">
        <f>IFERROR(VLOOKUP(CK19,'Factory Log'!$J:$O,6,0),0)</f>
        <v>0</v>
      </c>
      <c r="CM19" s="3">
        <f>IFERROR(VLOOKUP(CK19,'Factory Log'!$J:$P,7,0),0)</f>
        <v>0</v>
      </c>
      <c r="CN19" s="3">
        <f>IFERROR(VLOOKUP(CK19,'Factory Log'!$J:$Q,8,0),0)</f>
        <v>0</v>
      </c>
      <c r="CO19" s="58">
        <f>SUMIFS('Factory Log'!$D:$D,'Factory Log'!$B:$B,Performance!CK$1,'Factory Log'!$J:$J,Performance!CK19,'Factory Log'!$C:$C,"Running")+SUMIFS('Factory Log'!$D:$D,'Factory Log'!$B:$B,Performance!CK$1,'Factory Log'!$J:$J,Performance!CK19,'Factory Log'!$C:$C,"Make Ready")+SUMIFS('Factory Log'!$D:$D,'Factory Log'!$B:$B,Performance!CK$1,'Factory Log'!$J:$J,Performance!CK19,'Factory Log'!$C:$C,"Roll Change")</f>
        <v>0</v>
      </c>
      <c r="CP19" s="3">
        <f>SUMIFS('Factory Log'!$M:$M,'Factory Log'!$B:$B,Performance!CK$1,'Factory Log'!$J:$J,Performance!CK19,'Factory Log'!$C:$C,"Running")</f>
        <v>0</v>
      </c>
      <c r="CQ19" s="58" cm="1">
        <f t="array" ref="CQ19">IFERROR(INDEX('Factory Log'!$S:$S,MATCH(1,(Performance!CK$1='Factory Log'!$B:$B)*(Performance!CK19='Factory Log'!$A:$A),0)),0)</f>
        <v>0</v>
      </c>
      <c r="CR19" s="3">
        <f>IFERROR(VLOOKUP(CK19,'Factory Log'!$J:$R,9,0),0)</f>
        <v>0</v>
      </c>
      <c r="CS19" s="64">
        <f t="shared" si="16"/>
        <v>0</v>
      </c>
      <c r="CT19" s="58">
        <f t="shared" si="17"/>
        <v>0</v>
      </c>
      <c r="CW19" s="3">
        <f>IFERROR(VLOOKUP(CV19,'Factory Log'!$J:$O,6,0),0)</f>
        <v>0</v>
      </c>
      <c r="CX19" s="3">
        <f>IFERROR(VLOOKUP(CV19,'Factory Log'!$J:$P,7,0),0)</f>
        <v>0</v>
      </c>
      <c r="CY19" s="3">
        <f>IFERROR(VLOOKUP(CV19,'Factory Log'!$J:$Q,8,0),0)</f>
        <v>0</v>
      </c>
      <c r="CZ19" s="58">
        <f>SUMIFS('Factory Log'!$D:$D,'Factory Log'!$B:$B,Performance!CV$1,'Factory Log'!$J:$J,Performance!CV19,'Factory Log'!$C:$C,"Running")+SUMIFS('Factory Log'!$D:$D,'Factory Log'!$B:$B,Performance!CV$1,'Factory Log'!$J:$J,Performance!CV19,'Factory Log'!$C:$C,"Make Ready")+SUMIFS('Factory Log'!$D:$D,'Factory Log'!$B:$B,Performance!CV$1,'Factory Log'!$J:$J,Performance!CV19,'Factory Log'!$C:$C,"Roll Change")</f>
        <v>0</v>
      </c>
      <c r="DA19" s="3">
        <f>SUMIFS('Factory Log'!$M:$M,'Factory Log'!$B:$B,Performance!CV$1,'Factory Log'!$J:$J,Performance!CV19,'Factory Log'!$C:$C,"Running")</f>
        <v>0</v>
      </c>
      <c r="DB19" s="58" cm="1">
        <f t="array" ref="DB19">IFERROR(INDEX('Factory Log'!$S:$S,MATCH(1,(Performance!CV$1='Factory Log'!$B:$B)*(Performance!CV19='Factory Log'!$A:$A),0)),0)</f>
        <v>0</v>
      </c>
      <c r="DC19" s="3">
        <f>IFERROR(VLOOKUP(CV19,'Factory Log'!$J:$R,9,0),0)</f>
        <v>0</v>
      </c>
      <c r="DD19" s="64">
        <f t="shared" si="18"/>
        <v>0</v>
      </c>
      <c r="DE19" s="58">
        <f t="shared" si="19"/>
        <v>0</v>
      </c>
      <c r="DH19" s="3">
        <f>IFERROR(VLOOKUP(DG19,'Factory Log'!$J:$O,6,0),0)</f>
        <v>0</v>
      </c>
      <c r="DI19" s="3">
        <f>IFERROR(VLOOKUP(DG19,'Factory Log'!$J:$P,7,0),0)</f>
        <v>0</v>
      </c>
      <c r="DJ19" s="3">
        <f>IFERROR(VLOOKUP(DG19,'Factory Log'!$J:$Q,8,0),0)</f>
        <v>0</v>
      </c>
      <c r="DK19" s="58">
        <f>SUMIFS('Factory Log'!$D:$D,'Factory Log'!$B:$B,Performance!DG$1,'Factory Log'!$J:$J,Performance!DG19,'Factory Log'!$C:$C,"Running")+SUMIFS('Factory Log'!$D:$D,'Factory Log'!$B:$B,Performance!DG$1,'Factory Log'!$J:$J,Performance!DG19,'Factory Log'!$C:$C,"Make Ready")+SUMIFS('Factory Log'!$D:$D,'Factory Log'!$B:$B,Performance!DG$1,'Factory Log'!$J:$J,Performance!DG19,'Factory Log'!$C:$C,"Roll Change")</f>
        <v>0</v>
      </c>
      <c r="DL19" s="3">
        <f>SUMIFS('Factory Log'!$M:$M,'Factory Log'!$B:$B,Performance!DG$1,'Factory Log'!$J:$J,Performance!DG19,'Factory Log'!$C:$C,"Running")</f>
        <v>0</v>
      </c>
      <c r="DM19" s="58" cm="1">
        <f t="array" ref="DM19">IFERROR(INDEX('Factory Log'!$S:$S,MATCH(1,(Performance!DG$1='Factory Log'!$B:$B)*(Performance!DG19='Factory Log'!$A:$A),0)),0)</f>
        <v>0</v>
      </c>
      <c r="DN19" s="3">
        <f>IFERROR(VLOOKUP(DG19,'Factory Log'!$J:$R,9,0),0)</f>
        <v>0</v>
      </c>
      <c r="DO19" s="64">
        <f t="shared" si="20"/>
        <v>0</v>
      </c>
      <c r="DP19" s="58">
        <f t="shared" si="21"/>
        <v>0</v>
      </c>
      <c r="DS19" s="3">
        <f>IFERROR(VLOOKUP(DR19,'Factory Log'!$J:$O,6,0),0)</f>
        <v>0</v>
      </c>
      <c r="DT19" s="3">
        <f>IFERROR(VLOOKUP(DR19,'Factory Log'!$J:$P,7,0),0)</f>
        <v>0</v>
      </c>
      <c r="DU19" s="3">
        <f>IFERROR(VLOOKUP(DR19,'Factory Log'!$J:$Q,8,0),0)</f>
        <v>0</v>
      </c>
      <c r="DV19" s="58">
        <f>SUMIFS('Factory Log'!$D:$D,'Factory Log'!$B:$B,Performance!DR$1,'Factory Log'!$J:$J,Performance!DR19,'Factory Log'!$C:$C,"Running")+SUMIFS('Factory Log'!$D:$D,'Factory Log'!$B:$B,Performance!DR$1,'Factory Log'!$J:$J,Performance!DR19,'Factory Log'!$C:$C,"Make Ready")+SUMIFS('Factory Log'!$D:$D,'Factory Log'!$B:$B,Performance!DR$1,'Factory Log'!$J:$J,Performance!DR19,'Factory Log'!$C:$C,"Roll Change")</f>
        <v>0</v>
      </c>
      <c r="DW19" s="3">
        <f>SUMIFS('Factory Log'!$M:$M,'Factory Log'!$B:$B,Performance!DR$1,'Factory Log'!$J:$J,Performance!DR19,'Factory Log'!$C:$C,"Running")</f>
        <v>0</v>
      </c>
      <c r="DX19" s="58" cm="1">
        <f t="array" ref="DX19">IFERROR(INDEX('Factory Log'!$S:$S,MATCH(1,(Performance!DR$1='Factory Log'!$B:$B)*(Performance!DR19='Factory Log'!$A:$A),0)),0)</f>
        <v>0</v>
      </c>
      <c r="DY19" s="3">
        <f>IFERROR(VLOOKUP(DR19,'Factory Log'!$J:$R,9,0),0)</f>
        <v>0</v>
      </c>
      <c r="DZ19" s="64">
        <f t="shared" si="22"/>
        <v>0</v>
      </c>
      <c r="EA19" s="58">
        <f t="shared" si="23"/>
        <v>0</v>
      </c>
      <c r="ED19" s="3">
        <f>IFERROR(VLOOKUP(EC19,'Factory Log'!$J:$O,6,0),0)</f>
        <v>0</v>
      </c>
      <c r="EE19" s="3">
        <f>IFERROR(VLOOKUP(EC19,'Factory Log'!$J:$P,7,0),0)</f>
        <v>0</v>
      </c>
      <c r="EF19" s="3">
        <f>IFERROR(VLOOKUP(EC19,'Factory Log'!$J:$Q,8,0),0)</f>
        <v>0</v>
      </c>
      <c r="EG19" s="58">
        <f>SUMIFS('Factory Log'!$D:$D,'Factory Log'!$B:$B,Performance!EC$1,'Factory Log'!$J:$J,Performance!EC19,'Factory Log'!$C:$C,"Running")+SUMIFS('Factory Log'!$D:$D,'Factory Log'!$B:$B,Performance!EC$1,'Factory Log'!$J:$J,Performance!EC19,'Factory Log'!$C:$C,"Make Ready")+SUMIFS('Factory Log'!$D:$D,'Factory Log'!$B:$B,Performance!EC$1,'Factory Log'!$J:$J,Performance!EC19,'Factory Log'!$C:$C,"Roll Change")</f>
        <v>0</v>
      </c>
      <c r="EH19" s="3">
        <f>SUMIFS('Factory Log'!$M:$M,'Factory Log'!$B:$B,Performance!EC$1,'Factory Log'!$J:$J,Performance!EC19,'Factory Log'!$C:$C,"Running")</f>
        <v>0</v>
      </c>
      <c r="EI19" s="58" cm="1">
        <f t="array" ref="EI19">IFERROR(INDEX('Factory Log'!$S:$S,MATCH(1,(Performance!EC$1='Factory Log'!$B:$B)*(Performance!EC19='Factory Log'!$A:$A),0)),0)</f>
        <v>0</v>
      </c>
      <c r="EJ19" s="3">
        <f>IFERROR(VLOOKUP(EC19,'Factory Log'!$J:$R,9,0),0)</f>
        <v>0</v>
      </c>
      <c r="EK19" s="64">
        <f t="shared" si="24"/>
        <v>0</v>
      </c>
      <c r="EL19" s="58">
        <f t="shared" si="25"/>
        <v>0</v>
      </c>
      <c r="EO19" s="3">
        <f>IFERROR(VLOOKUP(EN19,'Factory Log'!$J:$O,6,0),0)</f>
        <v>0</v>
      </c>
      <c r="EP19" s="3">
        <f>IFERROR(VLOOKUP(EN19,'Factory Log'!$J:$P,7,0),0)</f>
        <v>0</v>
      </c>
      <c r="EQ19" s="3">
        <f>IFERROR(VLOOKUP(EN19,'Factory Log'!$J:$Q,8,0),0)</f>
        <v>0</v>
      </c>
      <c r="ER19" s="58">
        <f>SUMIFS('Factory Log'!$D:$D,'Factory Log'!$B:$B,Performance!EN$1,'Factory Log'!$J:$J,Performance!EN19,'Factory Log'!$C:$C,"Running")+SUMIFS('Factory Log'!$D:$D,'Factory Log'!$B:$B,Performance!EN$1,'Factory Log'!$J:$J,Performance!EN19,'Factory Log'!$C:$C,"Make Ready")+SUMIFS('Factory Log'!$D:$D,'Factory Log'!$B:$B,Performance!EN$1,'Factory Log'!$J:$J,Performance!EN19,'Factory Log'!$C:$C,"Roll Change")</f>
        <v>0</v>
      </c>
      <c r="ES19" s="3">
        <f>SUMIFS('Factory Log'!$M:$M,'Factory Log'!$B:$B,Performance!EN$1,'Factory Log'!$J:$J,Performance!EN19,'Factory Log'!$C:$C,"Running")</f>
        <v>0</v>
      </c>
      <c r="ET19" s="58" cm="1">
        <f t="array" ref="ET19">IFERROR(INDEX('Factory Log'!$S:$S,MATCH(1,(Performance!EN$1='Factory Log'!$B:$B)*(Performance!EN19='Factory Log'!$A:$A),0)),0)</f>
        <v>0</v>
      </c>
      <c r="EU19" s="3">
        <f>IFERROR(VLOOKUP(EN19,'Factory Log'!$J:$R,9,0),0)</f>
        <v>0</v>
      </c>
      <c r="EV19" s="64">
        <f t="shared" si="26"/>
        <v>0</v>
      </c>
      <c r="EW19" s="58">
        <f t="shared" si="27"/>
        <v>0</v>
      </c>
      <c r="EZ19" s="3">
        <f>IFERROR(VLOOKUP(EY19,'Factory Log'!$J:$O,6,0),0)</f>
        <v>0</v>
      </c>
      <c r="FA19" s="3">
        <f>IFERROR(VLOOKUP(EY19,'Factory Log'!$J:$P,7,0),0)</f>
        <v>0</v>
      </c>
      <c r="FB19" s="3">
        <f>IFERROR(VLOOKUP(EY19,'Factory Log'!$J:$Q,8,0),0)</f>
        <v>0</v>
      </c>
      <c r="FC19" s="58">
        <f>SUMIFS('Factory Log'!$D:$D,'Factory Log'!$B:$B,Performance!EY$1,'Factory Log'!$J:$J,Performance!EY19,'Factory Log'!$C:$C,"Running")+SUMIFS('Factory Log'!$D:$D,'Factory Log'!$B:$B,Performance!EY$1,'Factory Log'!$J:$J,Performance!EY19,'Factory Log'!$C:$C,"Make Ready")+SUMIFS('Factory Log'!$D:$D,'Factory Log'!$B:$B,Performance!EY$1,'Factory Log'!$J:$J,Performance!EY19,'Factory Log'!$C:$C,"Roll Change")</f>
        <v>0</v>
      </c>
      <c r="FD19" s="3">
        <f>SUMIFS('Factory Log'!$M:$M,'Factory Log'!$B:$B,Performance!EY$1,'Factory Log'!$J:$J,Performance!EY19,'Factory Log'!$C:$C,"Running")</f>
        <v>0</v>
      </c>
      <c r="FE19" s="58" cm="1">
        <f t="array" ref="FE19">IFERROR(INDEX('Factory Log'!$S:$S,MATCH(1,(Performance!EY$1='Factory Log'!$B:$B)*(Performance!EY19='Factory Log'!$A:$A),0)),0)</f>
        <v>0</v>
      </c>
      <c r="FF19" s="3">
        <f>IFERROR(VLOOKUP(EY19,'Factory Log'!$J:$R,9,0),0)</f>
        <v>0</v>
      </c>
      <c r="FG19" s="64">
        <f t="shared" si="28"/>
        <v>0</v>
      </c>
      <c r="FH19" s="58">
        <f t="shared" si="29"/>
        <v>0</v>
      </c>
    </row>
    <row r="20" spans="2:164" ht="16" customHeight="1" x14ac:dyDescent="0.2">
      <c r="B20" s="3">
        <f>IFERROR(VLOOKUP(A20,'Factory Log'!$J:$O,6,0),0)</f>
        <v>0</v>
      </c>
      <c r="C20" s="3">
        <f>IFERROR(VLOOKUP(A20,'Factory Log'!$J:$P,7,0),0)</f>
        <v>0</v>
      </c>
      <c r="D20" s="3">
        <f>IFERROR(VLOOKUP(A20,'Factory Log'!$J:$Q,8,0),0)</f>
        <v>0</v>
      </c>
      <c r="E20" s="58">
        <f>SUMIFS('Factory Log'!$D:$D,'Factory Log'!$B:$B,Performance!A$1,'Factory Log'!$J:$J,Performance!A20,'Factory Log'!$C:$C,"Running")+SUMIFS('Factory Log'!$D:$D,'Factory Log'!$B:$B,Performance!A$1,'Factory Log'!$J:$J,Performance!A20,'Factory Log'!$C:$C,"Make Ready")+SUMIFS('Factory Log'!$D:$D,'Factory Log'!$B:$B,Performance!A$1,'Factory Log'!$J:$J,Performance!A20,'Factory Log'!$C:$C,"Roll Change")</f>
        <v>0</v>
      </c>
      <c r="F20" s="3">
        <f>SUMIFS('Factory Log'!$M:$M,'Factory Log'!$B:$B,Performance!A$1,'Factory Log'!$J:$J,Performance!A20,'Factory Log'!$C:$C,"Running")</f>
        <v>0</v>
      </c>
      <c r="G20" s="58" cm="1">
        <f t="array" ref="G20">IFERROR(INDEX('Factory Log'!$S:$S,MATCH(1,(Performance!A$1='Factory Log'!$B:$B)*(Performance!A20='Factory Log'!$A:$A),0)),0)</f>
        <v>0</v>
      </c>
      <c r="H20" s="3">
        <f>IFERROR(VLOOKUP(A20,'Factory Log'!$J:$R,9,0),0)</f>
        <v>0</v>
      </c>
      <c r="I20" s="64">
        <f t="shared" si="1"/>
        <v>0</v>
      </c>
      <c r="J20" s="58">
        <f t="shared" si="0"/>
        <v>0</v>
      </c>
      <c r="M20" s="3">
        <f>IFERROR(VLOOKUP(L20,'Factory Log'!$J:$O,6,0),0)</f>
        <v>0</v>
      </c>
      <c r="N20" s="3">
        <f>IFERROR(VLOOKUP(L20,'Factory Log'!$J:$P,7,0),0)</f>
        <v>0</v>
      </c>
      <c r="O20" s="3">
        <f>IFERROR(VLOOKUP(L20,'Factory Log'!$J:$Q,8,0),0)</f>
        <v>0</v>
      </c>
      <c r="P20" s="58">
        <f>SUMIFS('Factory Log'!$D:$D,'Factory Log'!$B:$B,Performance!L$1,'Factory Log'!$J:$J,Performance!L20,'Factory Log'!$C:$C,"Running")+SUMIFS('Factory Log'!$D:$D,'Factory Log'!$B:$B,Performance!L$1,'Factory Log'!$J:$J,Performance!L20,'Factory Log'!$C:$C,"Make Ready")+SUMIFS('Factory Log'!$D:$D,'Factory Log'!$B:$B,Performance!L$1,'Factory Log'!$J:$J,Performance!L20,'Factory Log'!$C:$C,"Roll Change")</f>
        <v>0</v>
      </c>
      <c r="Q20" s="3">
        <f>SUMIFS('Factory Log'!$M:$M,'Factory Log'!$B:$B,Performance!L$1,'Factory Log'!$J:$J,Performance!L20,'Factory Log'!$C:$C,"Running")</f>
        <v>0</v>
      </c>
      <c r="R20" s="58" cm="1">
        <f t="array" ref="R20">IFERROR(INDEX('Factory Log'!$S:$S,MATCH(1,(Performance!L$1='Factory Log'!$B:$B)*(Performance!L20='Factory Log'!$A:$A),0)),0)</f>
        <v>0</v>
      </c>
      <c r="S20" s="3">
        <f>IFERROR(VLOOKUP(L20,'Factory Log'!$J:$R,9,0),0)</f>
        <v>0</v>
      </c>
      <c r="T20" s="64">
        <f t="shared" si="2"/>
        <v>0</v>
      </c>
      <c r="U20" s="58">
        <f t="shared" si="3"/>
        <v>0</v>
      </c>
      <c r="X20" s="3">
        <f>IFERROR(VLOOKUP(W20,'Factory Log'!$J:$O,6,0),0)</f>
        <v>0</v>
      </c>
      <c r="Y20" s="3">
        <f>IFERROR(VLOOKUP(W20,'Factory Log'!$J:$P,7,0),0)</f>
        <v>0</v>
      </c>
      <c r="Z20" s="3">
        <f>IFERROR(VLOOKUP(W20,'Factory Log'!$J:$Q,8,0),0)</f>
        <v>0</v>
      </c>
      <c r="AA20" s="58">
        <f>SUMIFS('Factory Log'!$D:$D,'Factory Log'!$B:$B,Performance!W$1,'Factory Log'!$J:$J,Performance!W20,'Factory Log'!$C:$C,"Running")+SUMIFS('Factory Log'!$D:$D,'Factory Log'!$B:$B,Performance!W$1,'Factory Log'!$J:$J,Performance!W20,'Factory Log'!$C:$C,"Make Ready")+SUMIFS('Factory Log'!$D:$D,'Factory Log'!$B:$B,Performance!W$1,'Factory Log'!$J:$J,Performance!W20,'Factory Log'!$C:$C,"Roll Change")</f>
        <v>0</v>
      </c>
      <c r="AB20" s="3">
        <f>SUMIFS('Factory Log'!$M:$M,'Factory Log'!$B:$B,Performance!W$1,'Factory Log'!$J:$J,Performance!W20,'Factory Log'!$C:$C,"Running")</f>
        <v>0</v>
      </c>
      <c r="AC20" s="58" cm="1">
        <f t="array" ref="AC20">IFERROR(INDEX('Factory Log'!$S:$S,MATCH(1,(Performance!W$1='Factory Log'!$B:$B)*(Performance!W20='Factory Log'!$A:$A),0)),0)</f>
        <v>0</v>
      </c>
      <c r="AD20" s="3">
        <f>IFERROR(VLOOKUP(W20,'Factory Log'!$J:$R,9,0),0)</f>
        <v>0</v>
      </c>
      <c r="AE20" s="64">
        <f t="shared" si="4"/>
        <v>0</v>
      </c>
      <c r="AF20" s="58">
        <f t="shared" si="5"/>
        <v>0</v>
      </c>
      <c r="AI20" s="3">
        <f>IFERROR(VLOOKUP(AH20,'Factory Log'!$J:$O,6,0),0)</f>
        <v>0</v>
      </c>
      <c r="AJ20" s="3">
        <f>IFERROR(VLOOKUP(AH20,'Factory Log'!$J:$P,7,0),0)</f>
        <v>0</v>
      </c>
      <c r="AK20" s="3">
        <f>IFERROR(VLOOKUP(AH20,'Factory Log'!$J:$Q,8,0),0)</f>
        <v>0</v>
      </c>
      <c r="AL20" s="58">
        <f>SUMIFS('Factory Log'!$D:$D,'Factory Log'!$B:$B,Performance!AH$1,'Factory Log'!$J:$J,Performance!AH20,'Factory Log'!$C:$C,"Running")+SUMIFS('Factory Log'!$D:$D,'Factory Log'!$B:$B,Performance!AH$1,'Factory Log'!$J:$J,Performance!AH20,'Factory Log'!$C:$C,"Make Ready")+SUMIFS('Factory Log'!$D:$D,'Factory Log'!$B:$B,Performance!AH$1,'Factory Log'!$J:$J,Performance!AH20,'Factory Log'!$C:$C,"Roll Change")</f>
        <v>0</v>
      </c>
      <c r="AM20" s="3">
        <f>SUMIFS('Factory Log'!$M:$M,'Factory Log'!$B:$B,Performance!AH$1,'Factory Log'!$J:$J,Performance!AH20,'Factory Log'!$C:$C,"Running")</f>
        <v>0</v>
      </c>
      <c r="AN20" s="58" cm="1">
        <f t="array" ref="AN20">IFERROR(INDEX('Factory Log'!$S:$S,MATCH(1,(Performance!AH$1='Factory Log'!$B:$B)*(Performance!AH20='Factory Log'!$A:$A),0)),0)</f>
        <v>0</v>
      </c>
      <c r="AO20" s="3">
        <f>IFERROR(VLOOKUP(AH20,'Factory Log'!$J:$R,9,0),0)</f>
        <v>0</v>
      </c>
      <c r="AP20" s="64">
        <f t="shared" si="6"/>
        <v>0</v>
      </c>
      <c r="AQ20" s="58">
        <f t="shared" si="7"/>
        <v>0</v>
      </c>
      <c r="AT20" s="3">
        <f>IFERROR(VLOOKUP(AS20,'Factory Log'!$J:$O,6,0),0)</f>
        <v>0</v>
      </c>
      <c r="AU20" s="3">
        <f>IFERROR(VLOOKUP(AS20,'Factory Log'!$J:$P,7,0),0)</f>
        <v>0</v>
      </c>
      <c r="AV20" s="3">
        <f>IFERROR(VLOOKUP(AS20,'Factory Log'!$J:$Q,8,0),0)</f>
        <v>0</v>
      </c>
      <c r="AW20" s="58">
        <f>SUMIFS('Factory Log'!$D:$D,'Factory Log'!$B:$B,Performance!AS$1,'Factory Log'!$J:$J,Performance!AS20,'Factory Log'!$C:$C,"Running")+SUMIFS('Factory Log'!$D:$D,'Factory Log'!$B:$B,Performance!AS$1,'Factory Log'!$J:$J,Performance!AS20,'Factory Log'!$C:$C,"Make Ready")+SUMIFS('Factory Log'!$D:$D,'Factory Log'!$B:$B,Performance!AS$1,'Factory Log'!$J:$J,Performance!AS20,'Factory Log'!$C:$C,"Roll Change")</f>
        <v>0</v>
      </c>
      <c r="AX20" s="3">
        <f>SUMIFS('Factory Log'!$M:$M,'Factory Log'!$B:$B,Performance!AS$1,'Factory Log'!$J:$J,Performance!AS20,'Factory Log'!$C:$C,"Running")</f>
        <v>0</v>
      </c>
      <c r="AY20" s="58" cm="1">
        <f t="array" ref="AY20">IFERROR(INDEX('Factory Log'!$S:$S,MATCH(1,(Performance!AS$1='Factory Log'!$B:$B)*(Performance!AS20='Factory Log'!$A:$A),0)),0)</f>
        <v>0</v>
      </c>
      <c r="AZ20" s="3">
        <f>IFERROR(VLOOKUP(AS20,'Factory Log'!$J:$R,9,0),0)</f>
        <v>0</v>
      </c>
      <c r="BA20" s="64">
        <f t="shared" si="8"/>
        <v>0</v>
      </c>
      <c r="BB20" s="58">
        <f t="shared" si="9"/>
        <v>0</v>
      </c>
      <c r="BE20" s="3">
        <f>IFERROR(VLOOKUP(BD20,'Factory Log'!$J:$O,6,0),0)</f>
        <v>0</v>
      </c>
      <c r="BF20" s="3">
        <f>IFERROR(VLOOKUP(BD20,'Factory Log'!$J:$P,7,0),0)</f>
        <v>0</v>
      </c>
      <c r="BG20" s="3">
        <f>IFERROR(VLOOKUP(BD20,'Factory Log'!$J:$Q,8,0),0)</f>
        <v>0</v>
      </c>
      <c r="BH20" s="58">
        <f>SUMIFS('Factory Log'!$D:$D,'Factory Log'!$B:$B,Performance!BD$1,'Factory Log'!$J:$J,Performance!BD20,'Factory Log'!$C:$C,"Running")+SUMIFS('Factory Log'!$D:$D,'Factory Log'!$B:$B,Performance!BD$1,'Factory Log'!$J:$J,Performance!BD20,'Factory Log'!$C:$C,"Make Ready")+SUMIFS('Factory Log'!$D:$D,'Factory Log'!$B:$B,Performance!BD$1,'Factory Log'!$J:$J,Performance!BD20,'Factory Log'!$C:$C,"Roll Change")</f>
        <v>0</v>
      </c>
      <c r="BI20" s="3">
        <f>SUMIFS('Factory Log'!$M:$M,'Factory Log'!$B:$B,Performance!BD$1,'Factory Log'!$J:$J,Performance!BD20,'Factory Log'!$C:$C,"Running")</f>
        <v>0</v>
      </c>
      <c r="BJ20" s="58" cm="1">
        <f t="array" ref="BJ20">IFERROR(INDEX('Factory Log'!$S:$S,MATCH(1,(Performance!BD$1='Factory Log'!$B:$B)*(Performance!BD20='Factory Log'!$A:$A),0)),0)</f>
        <v>0</v>
      </c>
      <c r="BK20" s="3">
        <f>IFERROR(VLOOKUP(BD20,'Factory Log'!$J:$R,9,0),0)</f>
        <v>0</v>
      </c>
      <c r="BL20" s="64">
        <f t="shared" si="10"/>
        <v>0</v>
      </c>
      <c r="BM20" s="58">
        <f t="shared" si="11"/>
        <v>0</v>
      </c>
      <c r="BP20" s="3">
        <f>IFERROR(VLOOKUP(BO20,'Factory Log'!$J:$O,6,0),0)</f>
        <v>0</v>
      </c>
      <c r="BQ20" s="3">
        <f>IFERROR(VLOOKUP(BO20,'Factory Log'!$J:$P,7,0),0)</f>
        <v>0</v>
      </c>
      <c r="BR20" s="3">
        <f>IFERROR(VLOOKUP(BO20,'Factory Log'!$J:$Q,8,0),0)</f>
        <v>0</v>
      </c>
      <c r="BS20" s="58">
        <f>SUMIFS('Factory Log'!$D:$D,'Factory Log'!$B:$B,Performance!BO$1,'Factory Log'!$J:$J,Performance!BO20,'Factory Log'!$C:$C,"Running")+SUMIFS('Factory Log'!$D:$D,'Factory Log'!$B:$B,Performance!BO$1,'Factory Log'!$J:$J,Performance!BO20,'Factory Log'!$C:$C,"Make Ready")+SUMIFS('Factory Log'!$D:$D,'Factory Log'!$B:$B,Performance!BO$1,'Factory Log'!$J:$J,Performance!BO20,'Factory Log'!$C:$C,"Roll Change")</f>
        <v>0</v>
      </c>
      <c r="BT20" s="3">
        <f>SUMIFS('Factory Log'!$M:$M,'Factory Log'!$B:$B,Performance!BO$1,'Factory Log'!$J:$J,Performance!BO20,'Factory Log'!$C:$C,"Running")</f>
        <v>0</v>
      </c>
      <c r="BU20" s="58" cm="1">
        <f t="array" ref="BU20">IFERROR(INDEX('Factory Log'!$S:$S,MATCH(1,(Performance!BO$1='Factory Log'!$B:$B)*(Performance!BO20='Factory Log'!$A:$A),0)),0)</f>
        <v>0</v>
      </c>
      <c r="BV20" s="3">
        <f>IFERROR(VLOOKUP(BO20,'Factory Log'!$J:$R,9,0),0)</f>
        <v>0</v>
      </c>
      <c r="BW20" s="64">
        <f t="shared" si="12"/>
        <v>0</v>
      </c>
      <c r="BX20" s="58">
        <f t="shared" si="13"/>
        <v>0</v>
      </c>
      <c r="CA20" s="3">
        <f>IFERROR(VLOOKUP(BZ20,'Factory Log'!$J:$O,6,0),0)</f>
        <v>0</v>
      </c>
      <c r="CB20" s="3">
        <f>IFERROR(VLOOKUP(BZ20,'Factory Log'!$J:$P,7,0),0)</f>
        <v>0</v>
      </c>
      <c r="CC20" s="3">
        <f>IFERROR(VLOOKUP(BZ20,'Factory Log'!$J:$Q,8,0),0)</f>
        <v>0</v>
      </c>
      <c r="CD20" s="58">
        <f>SUMIFS('Factory Log'!$D:$D,'Factory Log'!$B:$B,Performance!BZ$1,'Factory Log'!$J:$J,Performance!BZ20,'Factory Log'!$C:$C,"Running")+SUMIFS('Factory Log'!$D:$D,'Factory Log'!$B:$B,Performance!BZ$1,'Factory Log'!$J:$J,Performance!BZ20,'Factory Log'!$C:$C,"Make Ready")+SUMIFS('Factory Log'!$D:$D,'Factory Log'!$B:$B,Performance!BZ$1,'Factory Log'!$J:$J,Performance!BZ20,'Factory Log'!$C:$C,"Roll Change")</f>
        <v>0</v>
      </c>
      <c r="CE20" s="3">
        <f>SUMIFS('Factory Log'!$M:$M,'Factory Log'!$B:$B,Performance!BZ$1,'Factory Log'!$J:$J,Performance!BZ20,'Factory Log'!$C:$C,"Running")</f>
        <v>0</v>
      </c>
      <c r="CF20" s="58" cm="1">
        <f t="array" ref="CF20">IFERROR(INDEX('Factory Log'!$S:$S,MATCH(1,(Performance!BZ$1='Factory Log'!$B:$B)*(Performance!BZ20='Factory Log'!$A:$A),0)),0)</f>
        <v>0</v>
      </c>
      <c r="CG20" s="3">
        <f>IFERROR(VLOOKUP(BZ20,'Factory Log'!$J:$R,9,0),0)</f>
        <v>0</v>
      </c>
      <c r="CH20" s="64">
        <f t="shared" si="14"/>
        <v>0</v>
      </c>
      <c r="CI20" s="58">
        <f t="shared" si="15"/>
        <v>0</v>
      </c>
      <c r="CL20" s="3">
        <f>IFERROR(VLOOKUP(CK20,'Factory Log'!$J:$O,6,0),0)</f>
        <v>0</v>
      </c>
      <c r="CM20" s="3">
        <f>IFERROR(VLOOKUP(CK20,'Factory Log'!$J:$P,7,0),0)</f>
        <v>0</v>
      </c>
      <c r="CN20" s="3">
        <f>IFERROR(VLOOKUP(CK20,'Factory Log'!$J:$Q,8,0),0)</f>
        <v>0</v>
      </c>
      <c r="CO20" s="58">
        <f>SUMIFS('Factory Log'!$D:$D,'Factory Log'!$B:$B,Performance!CK$1,'Factory Log'!$J:$J,Performance!CK20,'Factory Log'!$C:$C,"Running")+SUMIFS('Factory Log'!$D:$D,'Factory Log'!$B:$B,Performance!CK$1,'Factory Log'!$J:$J,Performance!CK20,'Factory Log'!$C:$C,"Make Ready")+SUMIFS('Factory Log'!$D:$D,'Factory Log'!$B:$B,Performance!CK$1,'Factory Log'!$J:$J,Performance!CK20,'Factory Log'!$C:$C,"Roll Change")</f>
        <v>0</v>
      </c>
      <c r="CP20" s="3">
        <f>SUMIFS('Factory Log'!$M:$M,'Factory Log'!$B:$B,Performance!CK$1,'Factory Log'!$J:$J,Performance!CK20,'Factory Log'!$C:$C,"Running")</f>
        <v>0</v>
      </c>
      <c r="CQ20" s="58" cm="1">
        <f t="array" ref="CQ20">IFERROR(INDEX('Factory Log'!$S:$S,MATCH(1,(Performance!CK$1='Factory Log'!$B:$B)*(Performance!CK20='Factory Log'!$A:$A),0)),0)</f>
        <v>0</v>
      </c>
      <c r="CR20" s="3">
        <f>IFERROR(VLOOKUP(CK20,'Factory Log'!$J:$R,9,0),0)</f>
        <v>0</v>
      </c>
      <c r="CS20" s="64">
        <f t="shared" si="16"/>
        <v>0</v>
      </c>
      <c r="CT20" s="58">
        <f t="shared" si="17"/>
        <v>0</v>
      </c>
      <c r="CW20" s="3">
        <f>IFERROR(VLOOKUP(CV20,'Factory Log'!$J:$O,6,0),0)</f>
        <v>0</v>
      </c>
      <c r="CX20" s="3">
        <f>IFERROR(VLOOKUP(CV20,'Factory Log'!$J:$P,7,0),0)</f>
        <v>0</v>
      </c>
      <c r="CY20" s="3">
        <f>IFERROR(VLOOKUP(CV20,'Factory Log'!$J:$Q,8,0),0)</f>
        <v>0</v>
      </c>
      <c r="CZ20" s="58">
        <f>SUMIFS('Factory Log'!$D:$D,'Factory Log'!$B:$B,Performance!CV$1,'Factory Log'!$J:$J,Performance!CV20,'Factory Log'!$C:$C,"Running")+SUMIFS('Factory Log'!$D:$D,'Factory Log'!$B:$B,Performance!CV$1,'Factory Log'!$J:$J,Performance!CV20,'Factory Log'!$C:$C,"Make Ready")+SUMIFS('Factory Log'!$D:$D,'Factory Log'!$B:$B,Performance!CV$1,'Factory Log'!$J:$J,Performance!CV20,'Factory Log'!$C:$C,"Roll Change")</f>
        <v>0</v>
      </c>
      <c r="DA20" s="3">
        <f>SUMIFS('Factory Log'!$M:$M,'Factory Log'!$B:$B,Performance!CV$1,'Factory Log'!$J:$J,Performance!CV20,'Factory Log'!$C:$C,"Running")</f>
        <v>0</v>
      </c>
      <c r="DB20" s="58" cm="1">
        <f t="array" ref="DB20">IFERROR(INDEX('Factory Log'!$S:$S,MATCH(1,(Performance!CV$1='Factory Log'!$B:$B)*(Performance!CV20='Factory Log'!$A:$A),0)),0)</f>
        <v>0</v>
      </c>
      <c r="DC20" s="3">
        <f>IFERROR(VLOOKUP(CV20,'Factory Log'!$J:$R,9,0),0)</f>
        <v>0</v>
      </c>
      <c r="DD20" s="64">
        <f t="shared" si="18"/>
        <v>0</v>
      </c>
      <c r="DE20" s="58">
        <f t="shared" si="19"/>
        <v>0</v>
      </c>
      <c r="DH20" s="3">
        <f>IFERROR(VLOOKUP(DG20,'Factory Log'!$J:$O,6,0),0)</f>
        <v>0</v>
      </c>
      <c r="DI20" s="3">
        <f>IFERROR(VLOOKUP(DG20,'Factory Log'!$J:$P,7,0),0)</f>
        <v>0</v>
      </c>
      <c r="DJ20" s="3">
        <f>IFERROR(VLOOKUP(DG20,'Factory Log'!$J:$Q,8,0),0)</f>
        <v>0</v>
      </c>
      <c r="DK20" s="58">
        <f>SUMIFS('Factory Log'!$D:$D,'Factory Log'!$B:$B,Performance!DG$1,'Factory Log'!$J:$J,Performance!DG20,'Factory Log'!$C:$C,"Running")+SUMIFS('Factory Log'!$D:$D,'Factory Log'!$B:$B,Performance!DG$1,'Factory Log'!$J:$J,Performance!DG20,'Factory Log'!$C:$C,"Make Ready")+SUMIFS('Factory Log'!$D:$D,'Factory Log'!$B:$B,Performance!DG$1,'Factory Log'!$J:$J,Performance!DG20,'Factory Log'!$C:$C,"Roll Change")</f>
        <v>0</v>
      </c>
      <c r="DL20" s="3">
        <f>SUMIFS('Factory Log'!$M:$M,'Factory Log'!$B:$B,Performance!DG$1,'Factory Log'!$J:$J,Performance!DG20,'Factory Log'!$C:$C,"Running")</f>
        <v>0</v>
      </c>
      <c r="DM20" s="58" cm="1">
        <f t="array" ref="DM20">IFERROR(INDEX('Factory Log'!$S:$S,MATCH(1,(Performance!DG$1='Factory Log'!$B:$B)*(Performance!DG20='Factory Log'!$A:$A),0)),0)</f>
        <v>0</v>
      </c>
      <c r="DN20" s="3">
        <f>IFERROR(VLOOKUP(DG20,'Factory Log'!$J:$R,9,0),0)</f>
        <v>0</v>
      </c>
      <c r="DO20" s="64">
        <f t="shared" si="20"/>
        <v>0</v>
      </c>
      <c r="DP20" s="58">
        <f t="shared" si="21"/>
        <v>0</v>
      </c>
      <c r="DS20" s="3">
        <f>IFERROR(VLOOKUP(DR20,'Factory Log'!$J:$O,6,0),0)</f>
        <v>0</v>
      </c>
      <c r="DT20" s="3">
        <f>IFERROR(VLOOKUP(DR20,'Factory Log'!$J:$P,7,0),0)</f>
        <v>0</v>
      </c>
      <c r="DU20" s="3">
        <f>IFERROR(VLOOKUP(DR20,'Factory Log'!$J:$Q,8,0),0)</f>
        <v>0</v>
      </c>
      <c r="DV20" s="58">
        <f>SUMIFS('Factory Log'!$D:$D,'Factory Log'!$B:$B,Performance!DR$1,'Factory Log'!$J:$J,Performance!DR20,'Factory Log'!$C:$C,"Running")+SUMIFS('Factory Log'!$D:$D,'Factory Log'!$B:$B,Performance!DR$1,'Factory Log'!$J:$J,Performance!DR20,'Factory Log'!$C:$C,"Make Ready")+SUMIFS('Factory Log'!$D:$D,'Factory Log'!$B:$B,Performance!DR$1,'Factory Log'!$J:$J,Performance!DR20,'Factory Log'!$C:$C,"Roll Change")</f>
        <v>0</v>
      </c>
      <c r="DW20" s="3">
        <f>SUMIFS('Factory Log'!$M:$M,'Factory Log'!$B:$B,Performance!DR$1,'Factory Log'!$J:$J,Performance!DR20,'Factory Log'!$C:$C,"Running")</f>
        <v>0</v>
      </c>
      <c r="DX20" s="58" cm="1">
        <f t="array" ref="DX20">IFERROR(INDEX('Factory Log'!$S:$S,MATCH(1,(Performance!DR$1='Factory Log'!$B:$B)*(Performance!DR20='Factory Log'!$A:$A),0)),0)</f>
        <v>0</v>
      </c>
      <c r="DY20" s="3">
        <f>IFERROR(VLOOKUP(DR20,'Factory Log'!$J:$R,9,0),0)</f>
        <v>0</v>
      </c>
      <c r="DZ20" s="64">
        <f t="shared" si="22"/>
        <v>0</v>
      </c>
      <c r="EA20" s="58">
        <f t="shared" si="23"/>
        <v>0</v>
      </c>
      <c r="ED20" s="3">
        <f>IFERROR(VLOOKUP(EC20,'Factory Log'!$J:$O,6,0),0)</f>
        <v>0</v>
      </c>
      <c r="EE20" s="3">
        <f>IFERROR(VLOOKUP(EC20,'Factory Log'!$J:$P,7,0),0)</f>
        <v>0</v>
      </c>
      <c r="EF20" s="3">
        <f>IFERROR(VLOOKUP(EC20,'Factory Log'!$J:$Q,8,0),0)</f>
        <v>0</v>
      </c>
      <c r="EG20" s="58">
        <f>SUMIFS('Factory Log'!$D:$D,'Factory Log'!$B:$B,Performance!EC$1,'Factory Log'!$J:$J,Performance!EC20,'Factory Log'!$C:$C,"Running")+SUMIFS('Factory Log'!$D:$D,'Factory Log'!$B:$B,Performance!EC$1,'Factory Log'!$J:$J,Performance!EC20,'Factory Log'!$C:$C,"Make Ready")+SUMIFS('Factory Log'!$D:$D,'Factory Log'!$B:$B,Performance!EC$1,'Factory Log'!$J:$J,Performance!EC20,'Factory Log'!$C:$C,"Roll Change")</f>
        <v>0</v>
      </c>
      <c r="EH20" s="3">
        <f>SUMIFS('Factory Log'!$M:$M,'Factory Log'!$B:$B,Performance!EC$1,'Factory Log'!$J:$J,Performance!EC20,'Factory Log'!$C:$C,"Running")</f>
        <v>0</v>
      </c>
      <c r="EI20" s="58" cm="1">
        <f t="array" ref="EI20">IFERROR(INDEX('Factory Log'!$S:$S,MATCH(1,(Performance!EC$1='Factory Log'!$B:$B)*(Performance!EC20='Factory Log'!$A:$A),0)),0)</f>
        <v>0</v>
      </c>
      <c r="EJ20" s="3">
        <f>IFERROR(VLOOKUP(EC20,'Factory Log'!$J:$R,9,0),0)</f>
        <v>0</v>
      </c>
      <c r="EK20" s="64">
        <f t="shared" si="24"/>
        <v>0</v>
      </c>
      <c r="EL20" s="58">
        <f t="shared" si="25"/>
        <v>0</v>
      </c>
      <c r="EO20" s="3">
        <f>IFERROR(VLOOKUP(EN20,'Factory Log'!$J:$O,6,0),0)</f>
        <v>0</v>
      </c>
      <c r="EP20" s="3">
        <f>IFERROR(VLOOKUP(EN20,'Factory Log'!$J:$P,7,0),0)</f>
        <v>0</v>
      </c>
      <c r="EQ20" s="3">
        <f>IFERROR(VLOOKUP(EN20,'Factory Log'!$J:$Q,8,0),0)</f>
        <v>0</v>
      </c>
      <c r="ER20" s="58">
        <f>SUMIFS('Factory Log'!$D:$D,'Factory Log'!$B:$B,Performance!EN$1,'Factory Log'!$J:$J,Performance!EN20,'Factory Log'!$C:$C,"Running")+SUMIFS('Factory Log'!$D:$D,'Factory Log'!$B:$B,Performance!EN$1,'Factory Log'!$J:$J,Performance!EN20,'Factory Log'!$C:$C,"Make Ready")+SUMIFS('Factory Log'!$D:$D,'Factory Log'!$B:$B,Performance!EN$1,'Factory Log'!$J:$J,Performance!EN20,'Factory Log'!$C:$C,"Roll Change")</f>
        <v>0</v>
      </c>
      <c r="ES20" s="3">
        <f>SUMIFS('Factory Log'!$M:$M,'Factory Log'!$B:$B,Performance!EN$1,'Factory Log'!$J:$J,Performance!EN20,'Factory Log'!$C:$C,"Running")</f>
        <v>0</v>
      </c>
      <c r="ET20" s="58" cm="1">
        <f t="array" ref="ET20">IFERROR(INDEX('Factory Log'!$S:$S,MATCH(1,(Performance!EN$1='Factory Log'!$B:$B)*(Performance!EN20='Factory Log'!$A:$A),0)),0)</f>
        <v>0</v>
      </c>
      <c r="EU20" s="3">
        <f>IFERROR(VLOOKUP(EN20,'Factory Log'!$J:$R,9,0),0)</f>
        <v>0</v>
      </c>
      <c r="EV20" s="64">
        <f t="shared" si="26"/>
        <v>0</v>
      </c>
      <c r="EW20" s="58">
        <f t="shared" si="27"/>
        <v>0</v>
      </c>
      <c r="EZ20" s="3">
        <f>IFERROR(VLOOKUP(EY20,'Factory Log'!$J:$O,6,0),0)</f>
        <v>0</v>
      </c>
      <c r="FA20" s="3">
        <f>IFERROR(VLOOKUP(EY20,'Factory Log'!$J:$P,7,0),0)</f>
        <v>0</v>
      </c>
      <c r="FB20" s="3">
        <f>IFERROR(VLOOKUP(EY20,'Factory Log'!$J:$Q,8,0),0)</f>
        <v>0</v>
      </c>
      <c r="FC20" s="58">
        <f>SUMIFS('Factory Log'!$D:$D,'Factory Log'!$B:$B,Performance!EY$1,'Factory Log'!$J:$J,Performance!EY20,'Factory Log'!$C:$C,"Running")+SUMIFS('Factory Log'!$D:$D,'Factory Log'!$B:$B,Performance!EY$1,'Factory Log'!$J:$J,Performance!EY20,'Factory Log'!$C:$C,"Make Ready")+SUMIFS('Factory Log'!$D:$D,'Factory Log'!$B:$B,Performance!EY$1,'Factory Log'!$J:$J,Performance!EY20,'Factory Log'!$C:$C,"Roll Change")</f>
        <v>0</v>
      </c>
      <c r="FD20" s="3">
        <f>SUMIFS('Factory Log'!$M:$M,'Factory Log'!$B:$B,Performance!EY$1,'Factory Log'!$J:$J,Performance!EY20,'Factory Log'!$C:$C,"Running")</f>
        <v>0</v>
      </c>
      <c r="FE20" s="58" cm="1">
        <f t="array" ref="FE20">IFERROR(INDEX('Factory Log'!$S:$S,MATCH(1,(Performance!EY$1='Factory Log'!$B:$B)*(Performance!EY20='Factory Log'!$A:$A),0)),0)</f>
        <v>0</v>
      </c>
      <c r="FF20" s="3">
        <f>IFERROR(VLOOKUP(EY20,'Factory Log'!$J:$R,9,0),0)</f>
        <v>0</v>
      </c>
      <c r="FG20" s="64">
        <f t="shared" si="28"/>
        <v>0</v>
      </c>
      <c r="FH20" s="58">
        <f t="shared" si="29"/>
        <v>0</v>
      </c>
    </row>
    <row r="21" spans="2:164" ht="16" customHeight="1" x14ac:dyDescent="0.2">
      <c r="B21" s="3">
        <f>IFERROR(VLOOKUP(A21,'Factory Log'!$J:$O,6,0),0)</f>
        <v>0</v>
      </c>
      <c r="C21" s="3">
        <f>IFERROR(VLOOKUP(A21,'Factory Log'!$J:$P,7,0),0)</f>
        <v>0</v>
      </c>
      <c r="D21" s="3">
        <f>IFERROR(VLOOKUP(A21,'Factory Log'!$J:$Q,8,0),0)</f>
        <v>0</v>
      </c>
      <c r="E21" s="58">
        <f>SUMIFS('Factory Log'!$D:$D,'Factory Log'!$B:$B,Performance!A$1,'Factory Log'!$J:$J,Performance!A21,'Factory Log'!$C:$C,"Running")+SUMIFS('Factory Log'!$D:$D,'Factory Log'!$B:$B,Performance!A$1,'Factory Log'!$J:$J,Performance!A21,'Factory Log'!$C:$C,"Make Ready")+SUMIFS('Factory Log'!$D:$D,'Factory Log'!$B:$B,Performance!A$1,'Factory Log'!$J:$J,Performance!A21,'Factory Log'!$C:$C,"Roll Change")</f>
        <v>0</v>
      </c>
      <c r="F21" s="3">
        <f>SUMIFS('Factory Log'!$M:$M,'Factory Log'!$B:$B,Performance!A$1,'Factory Log'!$J:$J,Performance!A21,'Factory Log'!$C:$C,"Running")</f>
        <v>0</v>
      </c>
      <c r="G21" s="58" cm="1">
        <f t="array" ref="G21">IFERROR(INDEX('Factory Log'!$S:$S,MATCH(1,(Performance!A$1='Factory Log'!$B:$B)*(Performance!A21='Factory Log'!$A:$A),0)),0)</f>
        <v>0</v>
      </c>
      <c r="H21" s="3">
        <f>IFERROR(VLOOKUP(A21,'Factory Log'!$J:$R,9,0),0)</f>
        <v>0</v>
      </c>
      <c r="I21" s="64">
        <f t="shared" si="1"/>
        <v>0</v>
      </c>
      <c r="J21" s="58">
        <f t="shared" si="0"/>
        <v>0</v>
      </c>
      <c r="M21" s="3">
        <f>IFERROR(VLOOKUP(L21,'Factory Log'!$J:$O,6,0),0)</f>
        <v>0</v>
      </c>
      <c r="N21" s="3">
        <f>IFERROR(VLOOKUP(L21,'Factory Log'!$J:$P,7,0),0)</f>
        <v>0</v>
      </c>
      <c r="O21" s="3">
        <f>IFERROR(VLOOKUP(L21,'Factory Log'!$J:$Q,8,0),0)</f>
        <v>0</v>
      </c>
      <c r="P21" s="58">
        <f>SUMIFS('Factory Log'!$D:$D,'Factory Log'!$B:$B,Performance!L$1,'Factory Log'!$J:$J,Performance!L21,'Factory Log'!$C:$C,"Running")+SUMIFS('Factory Log'!$D:$D,'Factory Log'!$B:$B,Performance!L$1,'Factory Log'!$J:$J,Performance!L21,'Factory Log'!$C:$C,"Make Ready")+SUMIFS('Factory Log'!$D:$D,'Factory Log'!$B:$B,Performance!L$1,'Factory Log'!$J:$J,Performance!L21,'Factory Log'!$C:$C,"Roll Change")</f>
        <v>0</v>
      </c>
      <c r="Q21" s="3">
        <f>SUMIFS('Factory Log'!$M:$M,'Factory Log'!$B:$B,Performance!L$1,'Factory Log'!$J:$J,Performance!L21,'Factory Log'!$C:$C,"Running")</f>
        <v>0</v>
      </c>
      <c r="R21" s="58" cm="1">
        <f t="array" ref="R21">IFERROR(INDEX('Factory Log'!$S:$S,MATCH(1,(Performance!L$1='Factory Log'!$B:$B)*(Performance!L21='Factory Log'!$A:$A),0)),0)</f>
        <v>0</v>
      </c>
      <c r="S21" s="3">
        <f>IFERROR(VLOOKUP(L21,'Factory Log'!$J:$R,9,0),0)</f>
        <v>0</v>
      </c>
      <c r="T21" s="64">
        <f t="shared" si="2"/>
        <v>0</v>
      </c>
      <c r="U21" s="58">
        <f t="shared" si="3"/>
        <v>0</v>
      </c>
      <c r="X21" s="3">
        <f>IFERROR(VLOOKUP(W21,'Factory Log'!$J:$O,6,0),0)</f>
        <v>0</v>
      </c>
      <c r="Y21" s="3">
        <f>IFERROR(VLOOKUP(W21,'Factory Log'!$J:$P,7,0),0)</f>
        <v>0</v>
      </c>
      <c r="Z21" s="3">
        <f>IFERROR(VLOOKUP(W21,'Factory Log'!$J:$Q,8,0),0)</f>
        <v>0</v>
      </c>
      <c r="AA21" s="58">
        <f>SUMIFS('Factory Log'!$D:$D,'Factory Log'!$B:$B,Performance!W$1,'Factory Log'!$J:$J,Performance!W21,'Factory Log'!$C:$C,"Running")+SUMIFS('Factory Log'!$D:$D,'Factory Log'!$B:$B,Performance!W$1,'Factory Log'!$J:$J,Performance!W21,'Factory Log'!$C:$C,"Make Ready")+SUMIFS('Factory Log'!$D:$D,'Factory Log'!$B:$B,Performance!W$1,'Factory Log'!$J:$J,Performance!W21,'Factory Log'!$C:$C,"Roll Change")</f>
        <v>0</v>
      </c>
      <c r="AB21" s="3">
        <f>SUMIFS('Factory Log'!$M:$M,'Factory Log'!$B:$B,Performance!W$1,'Factory Log'!$J:$J,Performance!W21,'Factory Log'!$C:$C,"Running")</f>
        <v>0</v>
      </c>
      <c r="AC21" s="58" cm="1">
        <f t="array" ref="AC21">IFERROR(INDEX('Factory Log'!$S:$S,MATCH(1,(Performance!W$1='Factory Log'!$B:$B)*(Performance!W21='Factory Log'!$A:$A),0)),0)</f>
        <v>0</v>
      </c>
      <c r="AD21" s="3">
        <f>IFERROR(VLOOKUP(W21,'Factory Log'!$J:$R,9,0),0)</f>
        <v>0</v>
      </c>
      <c r="AE21" s="64">
        <f t="shared" si="4"/>
        <v>0</v>
      </c>
      <c r="AF21" s="58">
        <f t="shared" si="5"/>
        <v>0</v>
      </c>
      <c r="AI21" s="3">
        <f>IFERROR(VLOOKUP(AH21,'Factory Log'!$J:$O,6,0),0)</f>
        <v>0</v>
      </c>
      <c r="AJ21" s="3">
        <f>IFERROR(VLOOKUP(AH21,'Factory Log'!$J:$P,7,0),0)</f>
        <v>0</v>
      </c>
      <c r="AK21" s="3">
        <f>IFERROR(VLOOKUP(AH21,'Factory Log'!$J:$Q,8,0),0)</f>
        <v>0</v>
      </c>
      <c r="AL21" s="58">
        <f>SUMIFS('Factory Log'!$D:$D,'Factory Log'!$B:$B,Performance!AH$1,'Factory Log'!$J:$J,Performance!AH21,'Factory Log'!$C:$C,"Running")+SUMIFS('Factory Log'!$D:$D,'Factory Log'!$B:$B,Performance!AH$1,'Factory Log'!$J:$J,Performance!AH21,'Factory Log'!$C:$C,"Make Ready")+SUMIFS('Factory Log'!$D:$D,'Factory Log'!$B:$B,Performance!AH$1,'Factory Log'!$J:$J,Performance!AH21,'Factory Log'!$C:$C,"Roll Change")</f>
        <v>0</v>
      </c>
      <c r="AM21" s="3">
        <f>SUMIFS('Factory Log'!$M:$M,'Factory Log'!$B:$B,Performance!AH$1,'Factory Log'!$J:$J,Performance!AH21,'Factory Log'!$C:$C,"Running")</f>
        <v>0</v>
      </c>
      <c r="AN21" s="58" cm="1">
        <f t="array" ref="AN21">IFERROR(INDEX('Factory Log'!$S:$S,MATCH(1,(Performance!AH$1='Factory Log'!$B:$B)*(Performance!AH21='Factory Log'!$A:$A),0)),0)</f>
        <v>0</v>
      </c>
      <c r="AO21" s="3">
        <f>IFERROR(VLOOKUP(AH21,'Factory Log'!$J:$R,9,0),0)</f>
        <v>0</v>
      </c>
      <c r="AP21" s="64">
        <f t="shared" si="6"/>
        <v>0</v>
      </c>
      <c r="AQ21" s="58">
        <f t="shared" si="7"/>
        <v>0</v>
      </c>
      <c r="AT21" s="3">
        <f>IFERROR(VLOOKUP(AS21,'Factory Log'!$J:$O,6,0),0)</f>
        <v>0</v>
      </c>
      <c r="AU21" s="3">
        <f>IFERROR(VLOOKUP(AS21,'Factory Log'!$J:$P,7,0),0)</f>
        <v>0</v>
      </c>
      <c r="AV21" s="3">
        <f>IFERROR(VLOOKUP(AS21,'Factory Log'!$J:$Q,8,0),0)</f>
        <v>0</v>
      </c>
      <c r="AW21" s="58">
        <f>SUMIFS('Factory Log'!$D:$D,'Factory Log'!$B:$B,Performance!AS$1,'Factory Log'!$J:$J,Performance!AS21,'Factory Log'!$C:$C,"Running")+SUMIFS('Factory Log'!$D:$D,'Factory Log'!$B:$B,Performance!AS$1,'Factory Log'!$J:$J,Performance!AS21,'Factory Log'!$C:$C,"Make Ready")+SUMIFS('Factory Log'!$D:$D,'Factory Log'!$B:$B,Performance!AS$1,'Factory Log'!$J:$J,Performance!AS21,'Factory Log'!$C:$C,"Roll Change")</f>
        <v>0</v>
      </c>
      <c r="AX21" s="3">
        <f>SUMIFS('Factory Log'!$M:$M,'Factory Log'!$B:$B,Performance!AS$1,'Factory Log'!$J:$J,Performance!AS21,'Factory Log'!$C:$C,"Running")</f>
        <v>0</v>
      </c>
      <c r="AY21" s="58" cm="1">
        <f t="array" ref="AY21">IFERROR(INDEX('Factory Log'!$S:$S,MATCH(1,(Performance!AS$1='Factory Log'!$B:$B)*(Performance!AS21='Factory Log'!$A:$A),0)),0)</f>
        <v>0</v>
      </c>
      <c r="AZ21" s="3">
        <f>IFERROR(VLOOKUP(AS21,'Factory Log'!$J:$R,9,0),0)</f>
        <v>0</v>
      </c>
      <c r="BA21" s="64">
        <f t="shared" si="8"/>
        <v>0</v>
      </c>
      <c r="BB21" s="58">
        <f t="shared" si="9"/>
        <v>0</v>
      </c>
      <c r="BE21" s="3">
        <f>IFERROR(VLOOKUP(BD21,'Factory Log'!$J:$O,6,0),0)</f>
        <v>0</v>
      </c>
      <c r="BF21" s="3">
        <f>IFERROR(VLOOKUP(BD21,'Factory Log'!$J:$P,7,0),0)</f>
        <v>0</v>
      </c>
      <c r="BG21" s="3">
        <f>IFERROR(VLOOKUP(BD21,'Factory Log'!$J:$Q,8,0),0)</f>
        <v>0</v>
      </c>
      <c r="BH21" s="58">
        <f>SUMIFS('Factory Log'!$D:$D,'Factory Log'!$B:$B,Performance!BD$1,'Factory Log'!$J:$J,Performance!BD21,'Factory Log'!$C:$C,"Running")+SUMIFS('Factory Log'!$D:$D,'Factory Log'!$B:$B,Performance!BD$1,'Factory Log'!$J:$J,Performance!BD21,'Factory Log'!$C:$C,"Make Ready")+SUMIFS('Factory Log'!$D:$D,'Factory Log'!$B:$B,Performance!BD$1,'Factory Log'!$J:$J,Performance!BD21,'Factory Log'!$C:$C,"Roll Change")</f>
        <v>0</v>
      </c>
      <c r="BI21" s="3">
        <f>SUMIFS('Factory Log'!$M:$M,'Factory Log'!$B:$B,Performance!BD$1,'Factory Log'!$J:$J,Performance!BD21,'Factory Log'!$C:$C,"Running")</f>
        <v>0</v>
      </c>
      <c r="BJ21" s="58" cm="1">
        <f t="array" ref="BJ21">IFERROR(INDEX('Factory Log'!$S:$S,MATCH(1,(Performance!BD$1='Factory Log'!$B:$B)*(Performance!BD21='Factory Log'!$A:$A),0)),0)</f>
        <v>0</v>
      </c>
      <c r="BK21" s="3">
        <f>IFERROR(VLOOKUP(BD21,'Factory Log'!$J:$R,9,0),0)</f>
        <v>0</v>
      </c>
      <c r="BL21" s="64">
        <f t="shared" si="10"/>
        <v>0</v>
      </c>
      <c r="BM21" s="58">
        <f t="shared" si="11"/>
        <v>0</v>
      </c>
      <c r="BP21" s="3">
        <f>IFERROR(VLOOKUP(BO21,'Factory Log'!$J:$O,6,0),0)</f>
        <v>0</v>
      </c>
      <c r="BQ21" s="3">
        <f>IFERROR(VLOOKUP(BO21,'Factory Log'!$J:$P,7,0),0)</f>
        <v>0</v>
      </c>
      <c r="BR21" s="3">
        <f>IFERROR(VLOOKUP(BO21,'Factory Log'!$J:$Q,8,0),0)</f>
        <v>0</v>
      </c>
      <c r="BS21" s="58">
        <f>SUMIFS('Factory Log'!$D:$D,'Factory Log'!$B:$B,Performance!BO$1,'Factory Log'!$J:$J,Performance!BO21,'Factory Log'!$C:$C,"Running")+SUMIFS('Factory Log'!$D:$D,'Factory Log'!$B:$B,Performance!BO$1,'Factory Log'!$J:$J,Performance!BO21,'Factory Log'!$C:$C,"Make Ready")+SUMIFS('Factory Log'!$D:$D,'Factory Log'!$B:$B,Performance!BO$1,'Factory Log'!$J:$J,Performance!BO21,'Factory Log'!$C:$C,"Roll Change")</f>
        <v>0</v>
      </c>
      <c r="BT21" s="3">
        <f>SUMIFS('Factory Log'!$M:$M,'Factory Log'!$B:$B,Performance!BO$1,'Factory Log'!$J:$J,Performance!BO21,'Factory Log'!$C:$C,"Running")</f>
        <v>0</v>
      </c>
      <c r="BU21" s="58" cm="1">
        <f t="array" ref="BU21">IFERROR(INDEX('Factory Log'!$S:$S,MATCH(1,(Performance!BO$1='Factory Log'!$B:$B)*(Performance!BO21='Factory Log'!$A:$A),0)),0)</f>
        <v>0</v>
      </c>
      <c r="BV21" s="3">
        <f>IFERROR(VLOOKUP(BO21,'Factory Log'!$J:$R,9,0),0)</f>
        <v>0</v>
      </c>
      <c r="BW21" s="64">
        <f t="shared" si="12"/>
        <v>0</v>
      </c>
      <c r="BX21" s="58">
        <f t="shared" si="13"/>
        <v>0</v>
      </c>
      <c r="CA21" s="3">
        <f>IFERROR(VLOOKUP(BZ21,'Factory Log'!$J:$O,6,0),0)</f>
        <v>0</v>
      </c>
      <c r="CB21" s="3">
        <f>IFERROR(VLOOKUP(BZ21,'Factory Log'!$J:$P,7,0),0)</f>
        <v>0</v>
      </c>
      <c r="CC21" s="3">
        <f>IFERROR(VLOOKUP(BZ21,'Factory Log'!$J:$Q,8,0),0)</f>
        <v>0</v>
      </c>
      <c r="CD21" s="58">
        <f>SUMIFS('Factory Log'!$D:$D,'Factory Log'!$B:$B,Performance!BZ$1,'Factory Log'!$J:$J,Performance!BZ21,'Factory Log'!$C:$C,"Running")+SUMIFS('Factory Log'!$D:$D,'Factory Log'!$B:$B,Performance!BZ$1,'Factory Log'!$J:$J,Performance!BZ21,'Factory Log'!$C:$C,"Make Ready")+SUMIFS('Factory Log'!$D:$D,'Factory Log'!$B:$B,Performance!BZ$1,'Factory Log'!$J:$J,Performance!BZ21,'Factory Log'!$C:$C,"Roll Change")</f>
        <v>0</v>
      </c>
      <c r="CE21" s="3">
        <f>SUMIFS('Factory Log'!$M:$M,'Factory Log'!$B:$B,Performance!BZ$1,'Factory Log'!$J:$J,Performance!BZ21,'Factory Log'!$C:$C,"Running")</f>
        <v>0</v>
      </c>
      <c r="CF21" s="58" cm="1">
        <f t="array" ref="CF21">IFERROR(INDEX('Factory Log'!$S:$S,MATCH(1,(Performance!BZ$1='Factory Log'!$B:$B)*(Performance!BZ21='Factory Log'!$A:$A),0)),0)</f>
        <v>0</v>
      </c>
      <c r="CG21" s="3">
        <f>IFERROR(VLOOKUP(BZ21,'Factory Log'!$J:$R,9,0),0)</f>
        <v>0</v>
      </c>
      <c r="CH21" s="64">
        <f t="shared" si="14"/>
        <v>0</v>
      </c>
      <c r="CI21" s="58">
        <f t="shared" si="15"/>
        <v>0</v>
      </c>
      <c r="CL21" s="3">
        <f>IFERROR(VLOOKUP(CK21,'Factory Log'!$J:$O,6,0),0)</f>
        <v>0</v>
      </c>
      <c r="CM21" s="3">
        <f>IFERROR(VLOOKUP(CK21,'Factory Log'!$J:$P,7,0),0)</f>
        <v>0</v>
      </c>
      <c r="CN21" s="3">
        <f>IFERROR(VLOOKUP(CK21,'Factory Log'!$J:$Q,8,0),0)</f>
        <v>0</v>
      </c>
      <c r="CO21" s="58">
        <f>SUMIFS('Factory Log'!$D:$D,'Factory Log'!$B:$B,Performance!CK$1,'Factory Log'!$J:$J,Performance!CK21,'Factory Log'!$C:$C,"Running")+SUMIFS('Factory Log'!$D:$D,'Factory Log'!$B:$B,Performance!CK$1,'Factory Log'!$J:$J,Performance!CK21,'Factory Log'!$C:$C,"Make Ready")+SUMIFS('Factory Log'!$D:$D,'Factory Log'!$B:$B,Performance!CK$1,'Factory Log'!$J:$J,Performance!CK21,'Factory Log'!$C:$C,"Roll Change")</f>
        <v>0</v>
      </c>
      <c r="CP21" s="3">
        <f>SUMIFS('Factory Log'!$M:$M,'Factory Log'!$B:$B,Performance!CK$1,'Factory Log'!$J:$J,Performance!CK21,'Factory Log'!$C:$C,"Running")</f>
        <v>0</v>
      </c>
      <c r="CQ21" s="58" cm="1">
        <f t="array" ref="CQ21">IFERROR(INDEX('Factory Log'!$S:$S,MATCH(1,(Performance!CK$1='Factory Log'!$B:$B)*(Performance!CK21='Factory Log'!$A:$A),0)),0)</f>
        <v>0</v>
      </c>
      <c r="CR21" s="3">
        <f>IFERROR(VLOOKUP(CK21,'Factory Log'!$J:$R,9,0),0)</f>
        <v>0</v>
      </c>
      <c r="CS21" s="64">
        <f t="shared" si="16"/>
        <v>0</v>
      </c>
      <c r="CT21" s="58">
        <f t="shared" si="17"/>
        <v>0</v>
      </c>
      <c r="CW21" s="3">
        <f>IFERROR(VLOOKUP(CV21,'Factory Log'!$J:$O,6,0),0)</f>
        <v>0</v>
      </c>
      <c r="CX21" s="3">
        <f>IFERROR(VLOOKUP(CV21,'Factory Log'!$J:$P,7,0),0)</f>
        <v>0</v>
      </c>
      <c r="CY21" s="3">
        <f>IFERROR(VLOOKUP(CV21,'Factory Log'!$J:$Q,8,0),0)</f>
        <v>0</v>
      </c>
      <c r="CZ21" s="58">
        <f>SUMIFS('Factory Log'!$D:$D,'Factory Log'!$B:$B,Performance!CV$1,'Factory Log'!$J:$J,Performance!CV21,'Factory Log'!$C:$C,"Running")+SUMIFS('Factory Log'!$D:$D,'Factory Log'!$B:$B,Performance!CV$1,'Factory Log'!$J:$J,Performance!CV21,'Factory Log'!$C:$C,"Make Ready")+SUMIFS('Factory Log'!$D:$D,'Factory Log'!$B:$B,Performance!CV$1,'Factory Log'!$J:$J,Performance!CV21,'Factory Log'!$C:$C,"Roll Change")</f>
        <v>0</v>
      </c>
      <c r="DA21" s="3">
        <f>SUMIFS('Factory Log'!$M:$M,'Factory Log'!$B:$B,Performance!CV$1,'Factory Log'!$J:$J,Performance!CV21,'Factory Log'!$C:$C,"Running")</f>
        <v>0</v>
      </c>
      <c r="DB21" s="58" cm="1">
        <f t="array" ref="DB21">IFERROR(INDEX('Factory Log'!$S:$S,MATCH(1,(Performance!CV$1='Factory Log'!$B:$B)*(Performance!CV21='Factory Log'!$A:$A),0)),0)</f>
        <v>0</v>
      </c>
      <c r="DC21" s="3">
        <f>IFERROR(VLOOKUP(CV21,'Factory Log'!$J:$R,9,0),0)</f>
        <v>0</v>
      </c>
      <c r="DD21" s="64">
        <f t="shared" si="18"/>
        <v>0</v>
      </c>
      <c r="DE21" s="58">
        <f t="shared" si="19"/>
        <v>0</v>
      </c>
      <c r="DH21" s="3">
        <f>IFERROR(VLOOKUP(DG21,'Factory Log'!$J:$O,6,0),0)</f>
        <v>0</v>
      </c>
      <c r="DI21" s="3">
        <f>IFERROR(VLOOKUP(DG21,'Factory Log'!$J:$P,7,0),0)</f>
        <v>0</v>
      </c>
      <c r="DJ21" s="3">
        <f>IFERROR(VLOOKUP(DG21,'Factory Log'!$J:$Q,8,0),0)</f>
        <v>0</v>
      </c>
      <c r="DK21" s="58">
        <f>SUMIFS('Factory Log'!$D:$D,'Factory Log'!$B:$B,Performance!DG$1,'Factory Log'!$J:$J,Performance!DG21,'Factory Log'!$C:$C,"Running")+SUMIFS('Factory Log'!$D:$D,'Factory Log'!$B:$B,Performance!DG$1,'Factory Log'!$J:$J,Performance!DG21,'Factory Log'!$C:$C,"Make Ready")+SUMIFS('Factory Log'!$D:$D,'Factory Log'!$B:$B,Performance!DG$1,'Factory Log'!$J:$J,Performance!DG21,'Factory Log'!$C:$C,"Roll Change")</f>
        <v>0</v>
      </c>
      <c r="DL21" s="3">
        <f>SUMIFS('Factory Log'!$M:$M,'Factory Log'!$B:$B,Performance!DG$1,'Factory Log'!$J:$J,Performance!DG21,'Factory Log'!$C:$C,"Running")</f>
        <v>0</v>
      </c>
      <c r="DM21" s="58" cm="1">
        <f t="array" ref="DM21">IFERROR(INDEX('Factory Log'!$S:$S,MATCH(1,(Performance!DG$1='Factory Log'!$B:$B)*(Performance!DG21='Factory Log'!$A:$A),0)),0)</f>
        <v>0</v>
      </c>
      <c r="DN21" s="3">
        <f>IFERROR(VLOOKUP(DG21,'Factory Log'!$J:$R,9,0),0)</f>
        <v>0</v>
      </c>
      <c r="DO21" s="64">
        <f t="shared" si="20"/>
        <v>0</v>
      </c>
      <c r="DP21" s="58">
        <f t="shared" si="21"/>
        <v>0</v>
      </c>
      <c r="DS21" s="3">
        <f>IFERROR(VLOOKUP(DR21,'Factory Log'!$J:$O,6,0),0)</f>
        <v>0</v>
      </c>
      <c r="DT21" s="3">
        <f>IFERROR(VLOOKUP(DR21,'Factory Log'!$J:$P,7,0),0)</f>
        <v>0</v>
      </c>
      <c r="DU21" s="3">
        <f>IFERROR(VLOOKUP(DR21,'Factory Log'!$J:$Q,8,0),0)</f>
        <v>0</v>
      </c>
      <c r="DV21" s="58">
        <f>SUMIFS('Factory Log'!$D:$D,'Factory Log'!$B:$B,Performance!DR$1,'Factory Log'!$J:$J,Performance!DR21,'Factory Log'!$C:$C,"Running")+SUMIFS('Factory Log'!$D:$D,'Factory Log'!$B:$B,Performance!DR$1,'Factory Log'!$J:$J,Performance!DR21,'Factory Log'!$C:$C,"Make Ready")+SUMIFS('Factory Log'!$D:$D,'Factory Log'!$B:$B,Performance!DR$1,'Factory Log'!$J:$J,Performance!DR21,'Factory Log'!$C:$C,"Roll Change")</f>
        <v>0</v>
      </c>
      <c r="DW21" s="3">
        <f>SUMIFS('Factory Log'!$M:$M,'Factory Log'!$B:$B,Performance!DR$1,'Factory Log'!$J:$J,Performance!DR21,'Factory Log'!$C:$C,"Running")</f>
        <v>0</v>
      </c>
      <c r="DX21" s="58" cm="1">
        <f t="array" ref="DX21">IFERROR(INDEX('Factory Log'!$S:$S,MATCH(1,(Performance!DR$1='Factory Log'!$B:$B)*(Performance!DR21='Factory Log'!$A:$A),0)),0)</f>
        <v>0</v>
      </c>
      <c r="DY21" s="3">
        <f>IFERROR(VLOOKUP(DR21,'Factory Log'!$J:$R,9,0),0)</f>
        <v>0</v>
      </c>
      <c r="DZ21" s="64">
        <f t="shared" si="22"/>
        <v>0</v>
      </c>
      <c r="EA21" s="58">
        <f t="shared" si="23"/>
        <v>0</v>
      </c>
      <c r="ED21" s="3">
        <f>IFERROR(VLOOKUP(EC21,'Factory Log'!$J:$O,6,0),0)</f>
        <v>0</v>
      </c>
      <c r="EE21" s="3">
        <f>IFERROR(VLOOKUP(EC21,'Factory Log'!$J:$P,7,0),0)</f>
        <v>0</v>
      </c>
      <c r="EF21" s="3">
        <f>IFERROR(VLOOKUP(EC21,'Factory Log'!$J:$Q,8,0),0)</f>
        <v>0</v>
      </c>
      <c r="EG21" s="58">
        <f>SUMIFS('Factory Log'!$D:$D,'Factory Log'!$B:$B,Performance!EC$1,'Factory Log'!$J:$J,Performance!EC21,'Factory Log'!$C:$C,"Running")+SUMIFS('Factory Log'!$D:$D,'Factory Log'!$B:$B,Performance!EC$1,'Factory Log'!$J:$J,Performance!EC21,'Factory Log'!$C:$C,"Make Ready")+SUMIFS('Factory Log'!$D:$D,'Factory Log'!$B:$B,Performance!EC$1,'Factory Log'!$J:$J,Performance!EC21,'Factory Log'!$C:$C,"Roll Change")</f>
        <v>0</v>
      </c>
      <c r="EH21" s="3">
        <f>SUMIFS('Factory Log'!$M:$M,'Factory Log'!$B:$B,Performance!EC$1,'Factory Log'!$J:$J,Performance!EC21,'Factory Log'!$C:$C,"Running")</f>
        <v>0</v>
      </c>
      <c r="EI21" s="58" cm="1">
        <f t="array" ref="EI21">IFERROR(INDEX('Factory Log'!$S:$S,MATCH(1,(Performance!EC$1='Factory Log'!$B:$B)*(Performance!EC21='Factory Log'!$A:$A),0)),0)</f>
        <v>0</v>
      </c>
      <c r="EJ21" s="3">
        <f>IFERROR(VLOOKUP(EC21,'Factory Log'!$J:$R,9,0),0)</f>
        <v>0</v>
      </c>
      <c r="EK21" s="64">
        <f t="shared" si="24"/>
        <v>0</v>
      </c>
      <c r="EL21" s="58">
        <f t="shared" si="25"/>
        <v>0</v>
      </c>
      <c r="EO21" s="3">
        <f>IFERROR(VLOOKUP(EN21,'Factory Log'!$J:$O,6,0),0)</f>
        <v>0</v>
      </c>
      <c r="EP21" s="3">
        <f>IFERROR(VLOOKUP(EN21,'Factory Log'!$J:$P,7,0),0)</f>
        <v>0</v>
      </c>
      <c r="EQ21" s="3">
        <f>IFERROR(VLOOKUP(EN21,'Factory Log'!$J:$Q,8,0),0)</f>
        <v>0</v>
      </c>
      <c r="ER21" s="58">
        <f>SUMIFS('Factory Log'!$D:$D,'Factory Log'!$B:$B,Performance!EN$1,'Factory Log'!$J:$J,Performance!EN21,'Factory Log'!$C:$C,"Running")+SUMIFS('Factory Log'!$D:$D,'Factory Log'!$B:$B,Performance!EN$1,'Factory Log'!$J:$J,Performance!EN21,'Factory Log'!$C:$C,"Make Ready")+SUMIFS('Factory Log'!$D:$D,'Factory Log'!$B:$B,Performance!EN$1,'Factory Log'!$J:$J,Performance!EN21,'Factory Log'!$C:$C,"Roll Change")</f>
        <v>0</v>
      </c>
      <c r="ES21" s="3">
        <f>SUMIFS('Factory Log'!$M:$M,'Factory Log'!$B:$B,Performance!EN$1,'Factory Log'!$J:$J,Performance!EN21,'Factory Log'!$C:$C,"Running")</f>
        <v>0</v>
      </c>
      <c r="ET21" s="58" cm="1">
        <f t="array" ref="ET21">IFERROR(INDEX('Factory Log'!$S:$S,MATCH(1,(Performance!EN$1='Factory Log'!$B:$B)*(Performance!EN21='Factory Log'!$A:$A),0)),0)</f>
        <v>0</v>
      </c>
      <c r="EU21" s="3">
        <f>IFERROR(VLOOKUP(EN21,'Factory Log'!$J:$R,9,0),0)</f>
        <v>0</v>
      </c>
      <c r="EV21" s="64">
        <f t="shared" si="26"/>
        <v>0</v>
      </c>
      <c r="EW21" s="58">
        <f t="shared" si="27"/>
        <v>0</v>
      </c>
      <c r="EZ21" s="3">
        <f>IFERROR(VLOOKUP(EY21,'Factory Log'!$J:$O,6,0),0)</f>
        <v>0</v>
      </c>
      <c r="FA21" s="3">
        <f>IFERROR(VLOOKUP(EY21,'Factory Log'!$J:$P,7,0),0)</f>
        <v>0</v>
      </c>
      <c r="FB21" s="3">
        <f>IFERROR(VLOOKUP(EY21,'Factory Log'!$J:$Q,8,0),0)</f>
        <v>0</v>
      </c>
      <c r="FC21" s="58">
        <f>SUMIFS('Factory Log'!$D:$D,'Factory Log'!$B:$B,Performance!EY$1,'Factory Log'!$J:$J,Performance!EY21,'Factory Log'!$C:$C,"Running")+SUMIFS('Factory Log'!$D:$D,'Factory Log'!$B:$B,Performance!EY$1,'Factory Log'!$J:$J,Performance!EY21,'Factory Log'!$C:$C,"Make Ready")+SUMIFS('Factory Log'!$D:$D,'Factory Log'!$B:$B,Performance!EY$1,'Factory Log'!$J:$J,Performance!EY21,'Factory Log'!$C:$C,"Roll Change")</f>
        <v>0</v>
      </c>
      <c r="FD21" s="3">
        <f>SUMIFS('Factory Log'!$M:$M,'Factory Log'!$B:$B,Performance!EY$1,'Factory Log'!$J:$J,Performance!EY21,'Factory Log'!$C:$C,"Running")</f>
        <v>0</v>
      </c>
      <c r="FE21" s="58" cm="1">
        <f t="array" ref="FE21">IFERROR(INDEX('Factory Log'!$S:$S,MATCH(1,(Performance!EY$1='Factory Log'!$B:$B)*(Performance!EY21='Factory Log'!$A:$A),0)),0)</f>
        <v>0</v>
      </c>
      <c r="FF21" s="3">
        <f>IFERROR(VLOOKUP(EY21,'Factory Log'!$J:$R,9,0),0)</f>
        <v>0</v>
      </c>
      <c r="FG21" s="64">
        <f t="shared" si="28"/>
        <v>0</v>
      </c>
      <c r="FH21" s="58">
        <f t="shared" si="29"/>
        <v>0</v>
      </c>
    </row>
    <row r="22" spans="2:164" ht="16" customHeight="1" x14ac:dyDescent="0.2">
      <c r="B22" s="3">
        <f>IFERROR(VLOOKUP(A22,'Factory Log'!$J:$O,6,0),0)</f>
        <v>0</v>
      </c>
      <c r="C22" s="3">
        <f>IFERROR(VLOOKUP(A22,'Factory Log'!$J:$P,7,0),0)</f>
        <v>0</v>
      </c>
      <c r="D22" s="3">
        <f>IFERROR(VLOOKUP(A22,'Factory Log'!$J:$Q,8,0),0)</f>
        <v>0</v>
      </c>
      <c r="E22" s="58">
        <f>SUMIFS('Factory Log'!$D:$D,'Factory Log'!$B:$B,Performance!A$1,'Factory Log'!$J:$J,Performance!A22,'Factory Log'!$C:$C,"Running")+SUMIFS('Factory Log'!$D:$D,'Factory Log'!$B:$B,Performance!A$1,'Factory Log'!$J:$J,Performance!A22,'Factory Log'!$C:$C,"Make Ready")+SUMIFS('Factory Log'!$D:$D,'Factory Log'!$B:$B,Performance!A$1,'Factory Log'!$J:$J,Performance!A22,'Factory Log'!$C:$C,"Roll Change")</f>
        <v>0</v>
      </c>
      <c r="F22" s="3">
        <f>SUMIFS('Factory Log'!$M:$M,'Factory Log'!$B:$B,Performance!A$1,'Factory Log'!$J:$J,Performance!A22,'Factory Log'!$C:$C,"Running")</f>
        <v>0</v>
      </c>
      <c r="G22" s="58" cm="1">
        <f t="array" ref="G22">IFERROR(INDEX('Factory Log'!$S:$S,MATCH(1,(Performance!A$1='Factory Log'!$B:$B)*(Performance!A22='Factory Log'!$A:$A),0)),0)</f>
        <v>0</v>
      </c>
      <c r="H22" s="3">
        <f>IFERROR(VLOOKUP(A22,'Factory Log'!$J:$R,9,0),0)</f>
        <v>0</v>
      </c>
      <c r="I22" s="64">
        <f t="shared" si="1"/>
        <v>0</v>
      </c>
      <c r="J22" s="58">
        <f t="shared" si="0"/>
        <v>0</v>
      </c>
      <c r="M22" s="3">
        <f>IFERROR(VLOOKUP(L22,'Factory Log'!$J:$O,6,0),0)</f>
        <v>0</v>
      </c>
      <c r="N22" s="3">
        <f>IFERROR(VLOOKUP(L22,'Factory Log'!$J:$P,7,0),0)</f>
        <v>0</v>
      </c>
      <c r="O22" s="3">
        <f>IFERROR(VLOOKUP(L22,'Factory Log'!$J:$Q,8,0),0)</f>
        <v>0</v>
      </c>
      <c r="P22" s="58">
        <f>SUMIFS('Factory Log'!$D:$D,'Factory Log'!$B:$B,Performance!L$1,'Factory Log'!$J:$J,Performance!L22,'Factory Log'!$C:$C,"Running")+SUMIFS('Factory Log'!$D:$D,'Factory Log'!$B:$B,Performance!L$1,'Factory Log'!$J:$J,Performance!L22,'Factory Log'!$C:$C,"Make Ready")+SUMIFS('Factory Log'!$D:$D,'Factory Log'!$B:$B,Performance!L$1,'Factory Log'!$J:$J,Performance!L22,'Factory Log'!$C:$C,"Roll Change")</f>
        <v>0</v>
      </c>
      <c r="Q22" s="3">
        <f>SUMIFS('Factory Log'!$M:$M,'Factory Log'!$B:$B,Performance!L$1,'Factory Log'!$J:$J,Performance!L22,'Factory Log'!$C:$C,"Running")</f>
        <v>0</v>
      </c>
      <c r="R22" s="58" cm="1">
        <f t="array" ref="R22">IFERROR(INDEX('Factory Log'!$S:$S,MATCH(1,(Performance!L$1='Factory Log'!$B:$B)*(Performance!L22='Factory Log'!$A:$A),0)),0)</f>
        <v>0</v>
      </c>
      <c r="S22" s="3">
        <f>IFERROR(VLOOKUP(L22,'Factory Log'!$J:$R,9,0),0)</f>
        <v>0</v>
      </c>
      <c r="T22" s="64">
        <f t="shared" si="2"/>
        <v>0</v>
      </c>
      <c r="U22" s="58">
        <f t="shared" si="3"/>
        <v>0</v>
      </c>
      <c r="X22" s="3">
        <f>IFERROR(VLOOKUP(W22,'Factory Log'!$J:$O,6,0),0)</f>
        <v>0</v>
      </c>
      <c r="Y22" s="3">
        <f>IFERROR(VLOOKUP(W22,'Factory Log'!$J:$P,7,0),0)</f>
        <v>0</v>
      </c>
      <c r="Z22" s="3">
        <f>IFERROR(VLOOKUP(W22,'Factory Log'!$J:$Q,8,0),0)</f>
        <v>0</v>
      </c>
      <c r="AA22" s="58">
        <f>SUMIFS('Factory Log'!$D:$D,'Factory Log'!$B:$B,Performance!W$1,'Factory Log'!$J:$J,Performance!W22,'Factory Log'!$C:$C,"Running")+SUMIFS('Factory Log'!$D:$D,'Factory Log'!$B:$B,Performance!W$1,'Factory Log'!$J:$J,Performance!W22,'Factory Log'!$C:$C,"Make Ready")+SUMIFS('Factory Log'!$D:$D,'Factory Log'!$B:$B,Performance!W$1,'Factory Log'!$J:$J,Performance!W22,'Factory Log'!$C:$C,"Roll Change")</f>
        <v>0</v>
      </c>
      <c r="AB22" s="3">
        <f>SUMIFS('Factory Log'!$M:$M,'Factory Log'!$B:$B,Performance!W$1,'Factory Log'!$J:$J,Performance!W22,'Factory Log'!$C:$C,"Running")</f>
        <v>0</v>
      </c>
      <c r="AC22" s="58" cm="1">
        <f t="array" ref="AC22">IFERROR(INDEX('Factory Log'!$S:$S,MATCH(1,(Performance!W$1='Factory Log'!$B:$B)*(Performance!W22='Factory Log'!$A:$A),0)),0)</f>
        <v>0</v>
      </c>
      <c r="AD22" s="3">
        <f>IFERROR(VLOOKUP(W22,'Factory Log'!$J:$R,9,0),0)</f>
        <v>0</v>
      </c>
      <c r="AE22" s="64">
        <f t="shared" si="4"/>
        <v>0</v>
      </c>
      <c r="AF22" s="58">
        <f t="shared" si="5"/>
        <v>0</v>
      </c>
      <c r="AI22" s="3">
        <f>IFERROR(VLOOKUP(AH22,'Factory Log'!$J:$O,6,0),0)</f>
        <v>0</v>
      </c>
      <c r="AJ22" s="3">
        <f>IFERROR(VLOOKUP(AH22,'Factory Log'!$J:$P,7,0),0)</f>
        <v>0</v>
      </c>
      <c r="AK22" s="3">
        <f>IFERROR(VLOOKUP(AH22,'Factory Log'!$J:$Q,8,0),0)</f>
        <v>0</v>
      </c>
      <c r="AL22" s="58">
        <f>SUMIFS('Factory Log'!$D:$D,'Factory Log'!$B:$B,Performance!AH$1,'Factory Log'!$J:$J,Performance!AH22,'Factory Log'!$C:$C,"Running")+SUMIFS('Factory Log'!$D:$D,'Factory Log'!$B:$B,Performance!AH$1,'Factory Log'!$J:$J,Performance!AH22,'Factory Log'!$C:$C,"Make Ready")+SUMIFS('Factory Log'!$D:$D,'Factory Log'!$B:$B,Performance!AH$1,'Factory Log'!$J:$J,Performance!AH22,'Factory Log'!$C:$C,"Roll Change")</f>
        <v>0</v>
      </c>
      <c r="AM22" s="3">
        <f>SUMIFS('Factory Log'!$M:$M,'Factory Log'!$B:$B,Performance!AH$1,'Factory Log'!$J:$J,Performance!AH22,'Factory Log'!$C:$C,"Running")</f>
        <v>0</v>
      </c>
      <c r="AN22" s="58" cm="1">
        <f t="array" ref="AN22">IFERROR(INDEX('Factory Log'!$S:$S,MATCH(1,(Performance!AH$1='Factory Log'!$B:$B)*(Performance!AH22='Factory Log'!$A:$A),0)),0)</f>
        <v>0</v>
      </c>
      <c r="AO22" s="3">
        <f>IFERROR(VLOOKUP(AH22,'Factory Log'!$J:$R,9,0),0)</f>
        <v>0</v>
      </c>
      <c r="AP22" s="64">
        <f t="shared" si="6"/>
        <v>0</v>
      </c>
      <c r="AQ22" s="58">
        <f t="shared" si="7"/>
        <v>0</v>
      </c>
      <c r="AT22" s="3">
        <f>IFERROR(VLOOKUP(AS22,'Factory Log'!$J:$O,6,0),0)</f>
        <v>0</v>
      </c>
      <c r="AU22" s="3">
        <f>IFERROR(VLOOKUP(AS22,'Factory Log'!$J:$P,7,0),0)</f>
        <v>0</v>
      </c>
      <c r="AV22" s="3">
        <f>IFERROR(VLOOKUP(AS22,'Factory Log'!$J:$Q,8,0),0)</f>
        <v>0</v>
      </c>
      <c r="AW22" s="58">
        <f>SUMIFS('Factory Log'!$D:$D,'Factory Log'!$B:$B,Performance!AS$1,'Factory Log'!$J:$J,Performance!AS22,'Factory Log'!$C:$C,"Running")+SUMIFS('Factory Log'!$D:$D,'Factory Log'!$B:$B,Performance!AS$1,'Factory Log'!$J:$J,Performance!AS22,'Factory Log'!$C:$C,"Make Ready")+SUMIFS('Factory Log'!$D:$D,'Factory Log'!$B:$B,Performance!AS$1,'Factory Log'!$J:$J,Performance!AS22,'Factory Log'!$C:$C,"Roll Change")</f>
        <v>0</v>
      </c>
      <c r="AX22" s="3">
        <f>SUMIFS('Factory Log'!$M:$M,'Factory Log'!$B:$B,Performance!AS$1,'Factory Log'!$J:$J,Performance!AS22,'Factory Log'!$C:$C,"Running")</f>
        <v>0</v>
      </c>
      <c r="AY22" s="58" cm="1">
        <f t="array" ref="AY22">IFERROR(INDEX('Factory Log'!$S:$S,MATCH(1,(Performance!AS$1='Factory Log'!$B:$B)*(Performance!AS22='Factory Log'!$A:$A),0)),0)</f>
        <v>0</v>
      </c>
      <c r="AZ22" s="3">
        <f>IFERROR(VLOOKUP(AS22,'Factory Log'!$J:$R,9,0),0)</f>
        <v>0</v>
      </c>
      <c r="BA22" s="64">
        <f t="shared" si="8"/>
        <v>0</v>
      </c>
      <c r="BB22" s="58">
        <f t="shared" si="9"/>
        <v>0</v>
      </c>
      <c r="BE22" s="3">
        <f>IFERROR(VLOOKUP(BD22,'Factory Log'!$J:$O,6,0),0)</f>
        <v>0</v>
      </c>
      <c r="BF22" s="3">
        <f>IFERROR(VLOOKUP(BD22,'Factory Log'!$J:$P,7,0),0)</f>
        <v>0</v>
      </c>
      <c r="BG22" s="3">
        <f>IFERROR(VLOOKUP(BD22,'Factory Log'!$J:$Q,8,0),0)</f>
        <v>0</v>
      </c>
      <c r="BH22" s="58">
        <f>SUMIFS('Factory Log'!$D:$D,'Factory Log'!$B:$B,Performance!BD$1,'Factory Log'!$J:$J,Performance!BD22,'Factory Log'!$C:$C,"Running")+SUMIFS('Factory Log'!$D:$D,'Factory Log'!$B:$B,Performance!BD$1,'Factory Log'!$J:$J,Performance!BD22,'Factory Log'!$C:$C,"Make Ready")+SUMIFS('Factory Log'!$D:$D,'Factory Log'!$B:$B,Performance!BD$1,'Factory Log'!$J:$J,Performance!BD22,'Factory Log'!$C:$C,"Roll Change")</f>
        <v>0</v>
      </c>
      <c r="BI22" s="3">
        <f>SUMIFS('Factory Log'!$M:$M,'Factory Log'!$B:$B,Performance!BD$1,'Factory Log'!$J:$J,Performance!BD22,'Factory Log'!$C:$C,"Running")</f>
        <v>0</v>
      </c>
      <c r="BJ22" s="58" cm="1">
        <f t="array" ref="BJ22">IFERROR(INDEX('Factory Log'!$S:$S,MATCH(1,(Performance!BD$1='Factory Log'!$B:$B)*(Performance!BD22='Factory Log'!$A:$A),0)),0)</f>
        <v>0</v>
      </c>
      <c r="BK22" s="3">
        <f>IFERROR(VLOOKUP(BD22,'Factory Log'!$J:$R,9,0),0)</f>
        <v>0</v>
      </c>
      <c r="BL22" s="64">
        <f t="shared" si="10"/>
        <v>0</v>
      </c>
      <c r="BM22" s="58">
        <f t="shared" si="11"/>
        <v>0</v>
      </c>
      <c r="BP22" s="3">
        <f>IFERROR(VLOOKUP(BO22,'Factory Log'!$J:$O,6,0),0)</f>
        <v>0</v>
      </c>
      <c r="BQ22" s="3">
        <f>IFERROR(VLOOKUP(BO22,'Factory Log'!$J:$P,7,0),0)</f>
        <v>0</v>
      </c>
      <c r="BR22" s="3">
        <f>IFERROR(VLOOKUP(BO22,'Factory Log'!$J:$Q,8,0),0)</f>
        <v>0</v>
      </c>
      <c r="BS22" s="58">
        <f>SUMIFS('Factory Log'!$D:$D,'Factory Log'!$B:$B,Performance!BO$1,'Factory Log'!$J:$J,Performance!BO22,'Factory Log'!$C:$C,"Running")+SUMIFS('Factory Log'!$D:$D,'Factory Log'!$B:$B,Performance!BO$1,'Factory Log'!$J:$J,Performance!BO22,'Factory Log'!$C:$C,"Make Ready")+SUMIFS('Factory Log'!$D:$D,'Factory Log'!$B:$B,Performance!BO$1,'Factory Log'!$J:$J,Performance!BO22,'Factory Log'!$C:$C,"Roll Change")</f>
        <v>0</v>
      </c>
      <c r="BT22" s="3">
        <f>SUMIFS('Factory Log'!$M:$M,'Factory Log'!$B:$B,Performance!BO$1,'Factory Log'!$J:$J,Performance!BO22,'Factory Log'!$C:$C,"Running")</f>
        <v>0</v>
      </c>
      <c r="BU22" s="58" cm="1">
        <f t="array" ref="BU22">IFERROR(INDEX('Factory Log'!$S:$S,MATCH(1,(Performance!BO$1='Factory Log'!$B:$B)*(Performance!BO22='Factory Log'!$A:$A),0)),0)</f>
        <v>0</v>
      </c>
      <c r="BV22" s="3">
        <f>IFERROR(VLOOKUP(BO22,'Factory Log'!$J:$R,9,0),0)</f>
        <v>0</v>
      </c>
      <c r="BW22" s="64">
        <f t="shared" si="12"/>
        <v>0</v>
      </c>
      <c r="BX22" s="58">
        <f t="shared" si="13"/>
        <v>0</v>
      </c>
      <c r="CA22" s="3">
        <f>IFERROR(VLOOKUP(BZ22,'Factory Log'!$J:$O,6,0),0)</f>
        <v>0</v>
      </c>
      <c r="CB22" s="3">
        <f>IFERROR(VLOOKUP(BZ22,'Factory Log'!$J:$P,7,0),0)</f>
        <v>0</v>
      </c>
      <c r="CC22" s="3">
        <f>IFERROR(VLOOKUP(BZ22,'Factory Log'!$J:$Q,8,0),0)</f>
        <v>0</v>
      </c>
      <c r="CD22" s="58">
        <f>SUMIFS('Factory Log'!$D:$D,'Factory Log'!$B:$B,Performance!BZ$1,'Factory Log'!$J:$J,Performance!BZ22,'Factory Log'!$C:$C,"Running")+SUMIFS('Factory Log'!$D:$D,'Factory Log'!$B:$B,Performance!BZ$1,'Factory Log'!$J:$J,Performance!BZ22,'Factory Log'!$C:$C,"Make Ready")+SUMIFS('Factory Log'!$D:$D,'Factory Log'!$B:$B,Performance!BZ$1,'Factory Log'!$J:$J,Performance!BZ22,'Factory Log'!$C:$C,"Roll Change")</f>
        <v>0</v>
      </c>
      <c r="CE22" s="3">
        <f>SUMIFS('Factory Log'!$M:$M,'Factory Log'!$B:$B,Performance!BZ$1,'Factory Log'!$J:$J,Performance!BZ22,'Factory Log'!$C:$C,"Running")</f>
        <v>0</v>
      </c>
      <c r="CF22" s="58" cm="1">
        <f t="array" ref="CF22">IFERROR(INDEX('Factory Log'!$S:$S,MATCH(1,(Performance!BZ$1='Factory Log'!$B:$B)*(Performance!BZ22='Factory Log'!$A:$A),0)),0)</f>
        <v>0</v>
      </c>
      <c r="CG22" s="3">
        <f>IFERROR(VLOOKUP(BZ22,'Factory Log'!$J:$R,9,0),0)</f>
        <v>0</v>
      </c>
      <c r="CH22" s="64">
        <f t="shared" si="14"/>
        <v>0</v>
      </c>
      <c r="CI22" s="58">
        <f t="shared" si="15"/>
        <v>0</v>
      </c>
      <c r="CL22" s="3">
        <f>IFERROR(VLOOKUP(CK22,'Factory Log'!$J:$O,6,0),0)</f>
        <v>0</v>
      </c>
      <c r="CM22" s="3">
        <f>IFERROR(VLOOKUP(CK22,'Factory Log'!$J:$P,7,0),0)</f>
        <v>0</v>
      </c>
      <c r="CN22" s="3">
        <f>IFERROR(VLOOKUP(CK22,'Factory Log'!$J:$Q,8,0),0)</f>
        <v>0</v>
      </c>
      <c r="CO22" s="58">
        <f>SUMIFS('Factory Log'!$D:$D,'Factory Log'!$B:$B,Performance!CK$1,'Factory Log'!$J:$J,Performance!CK22,'Factory Log'!$C:$C,"Running")+SUMIFS('Factory Log'!$D:$D,'Factory Log'!$B:$B,Performance!CK$1,'Factory Log'!$J:$J,Performance!CK22,'Factory Log'!$C:$C,"Make Ready")+SUMIFS('Factory Log'!$D:$D,'Factory Log'!$B:$B,Performance!CK$1,'Factory Log'!$J:$J,Performance!CK22,'Factory Log'!$C:$C,"Roll Change")</f>
        <v>0</v>
      </c>
      <c r="CP22" s="3">
        <f>SUMIFS('Factory Log'!$M:$M,'Factory Log'!$B:$B,Performance!CK$1,'Factory Log'!$J:$J,Performance!CK22,'Factory Log'!$C:$C,"Running")</f>
        <v>0</v>
      </c>
      <c r="CQ22" s="58" cm="1">
        <f t="array" ref="CQ22">IFERROR(INDEX('Factory Log'!$S:$S,MATCH(1,(Performance!CK$1='Factory Log'!$B:$B)*(Performance!CK22='Factory Log'!$A:$A),0)),0)</f>
        <v>0</v>
      </c>
      <c r="CR22" s="3">
        <f>IFERROR(VLOOKUP(CK22,'Factory Log'!$J:$R,9,0),0)</f>
        <v>0</v>
      </c>
      <c r="CS22" s="64">
        <f t="shared" si="16"/>
        <v>0</v>
      </c>
      <c r="CT22" s="58">
        <f t="shared" si="17"/>
        <v>0</v>
      </c>
      <c r="CW22" s="3">
        <f>IFERROR(VLOOKUP(CV22,'Factory Log'!$J:$O,6,0),0)</f>
        <v>0</v>
      </c>
      <c r="CX22" s="3">
        <f>IFERROR(VLOOKUP(CV22,'Factory Log'!$J:$P,7,0),0)</f>
        <v>0</v>
      </c>
      <c r="CY22" s="3">
        <f>IFERROR(VLOOKUP(CV22,'Factory Log'!$J:$Q,8,0),0)</f>
        <v>0</v>
      </c>
      <c r="CZ22" s="58">
        <f>SUMIFS('Factory Log'!$D:$D,'Factory Log'!$B:$B,Performance!CV$1,'Factory Log'!$J:$J,Performance!CV22,'Factory Log'!$C:$C,"Running")+SUMIFS('Factory Log'!$D:$D,'Factory Log'!$B:$B,Performance!CV$1,'Factory Log'!$J:$J,Performance!CV22,'Factory Log'!$C:$C,"Make Ready")+SUMIFS('Factory Log'!$D:$D,'Factory Log'!$B:$B,Performance!CV$1,'Factory Log'!$J:$J,Performance!CV22,'Factory Log'!$C:$C,"Roll Change")</f>
        <v>0</v>
      </c>
      <c r="DA22" s="3">
        <f>SUMIFS('Factory Log'!$M:$M,'Factory Log'!$B:$B,Performance!CV$1,'Factory Log'!$J:$J,Performance!CV22,'Factory Log'!$C:$C,"Running")</f>
        <v>0</v>
      </c>
      <c r="DB22" s="58" cm="1">
        <f t="array" ref="DB22">IFERROR(INDEX('Factory Log'!$S:$S,MATCH(1,(Performance!CV$1='Factory Log'!$B:$B)*(Performance!CV22='Factory Log'!$A:$A),0)),0)</f>
        <v>0</v>
      </c>
      <c r="DC22" s="3">
        <f>IFERROR(VLOOKUP(CV22,'Factory Log'!$J:$R,9,0),0)</f>
        <v>0</v>
      </c>
      <c r="DD22" s="64">
        <f t="shared" si="18"/>
        <v>0</v>
      </c>
      <c r="DE22" s="58">
        <f t="shared" si="19"/>
        <v>0</v>
      </c>
      <c r="DH22" s="3">
        <f>IFERROR(VLOOKUP(DG22,'Factory Log'!$J:$O,6,0),0)</f>
        <v>0</v>
      </c>
      <c r="DI22" s="3">
        <f>IFERROR(VLOOKUP(DG22,'Factory Log'!$J:$P,7,0),0)</f>
        <v>0</v>
      </c>
      <c r="DJ22" s="3">
        <f>IFERROR(VLOOKUP(DG22,'Factory Log'!$J:$Q,8,0),0)</f>
        <v>0</v>
      </c>
      <c r="DK22" s="58">
        <f>SUMIFS('Factory Log'!$D:$D,'Factory Log'!$B:$B,Performance!DG$1,'Factory Log'!$J:$J,Performance!DG22,'Factory Log'!$C:$C,"Running")+SUMIFS('Factory Log'!$D:$D,'Factory Log'!$B:$B,Performance!DG$1,'Factory Log'!$J:$J,Performance!DG22,'Factory Log'!$C:$C,"Make Ready")+SUMIFS('Factory Log'!$D:$D,'Factory Log'!$B:$B,Performance!DG$1,'Factory Log'!$J:$J,Performance!DG22,'Factory Log'!$C:$C,"Roll Change")</f>
        <v>0</v>
      </c>
      <c r="DL22" s="3">
        <f>SUMIFS('Factory Log'!$M:$M,'Factory Log'!$B:$B,Performance!DG$1,'Factory Log'!$J:$J,Performance!DG22,'Factory Log'!$C:$C,"Running")</f>
        <v>0</v>
      </c>
      <c r="DM22" s="58" cm="1">
        <f t="array" ref="DM22">IFERROR(INDEX('Factory Log'!$S:$S,MATCH(1,(Performance!DG$1='Factory Log'!$B:$B)*(Performance!DG22='Factory Log'!$A:$A),0)),0)</f>
        <v>0</v>
      </c>
      <c r="DN22" s="3">
        <f>IFERROR(VLOOKUP(DG22,'Factory Log'!$J:$R,9,0),0)</f>
        <v>0</v>
      </c>
      <c r="DO22" s="64">
        <f t="shared" si="20"/>
        <v>0</v>
      </c>
      <c r="DP22" s="58">
        <f t="shared" si="21"/>
        <v>0</v>
      </c>
      <c r="DS22" s="3">
        <f>IFERROR(VLOOKUP(DR22,'Factory Log'!$J:$O,6,0),0)</f>
        <v>0</v>
      </c>
      <c r="DT22" s="3">
        <f>IFERROR(VLOOKUP(DR22,'Factory Log'!$J:$P,7,0),0)</f>
        <v>0</v>
      </c>
      <c r="DU22" s="3">
        <f>IFERROR(VLOOKUP(DR22,'Factory Log'!$J:$Q,8,0),0)</f>
        <v>0</v>
      </c>
      <c r="DV22" s="58">
        <f>SUMIFS('Factory Log'!$D:$D,'Factory Log'!$B:$B,Performance!DR$1,'Factory Log'!$J:$J,Performance!DR22,'Factory Log'!$C:$C,"Running")+SUMIFS('Factory Log'!$D:$D,'Factory Log'!$B:$B,Performance!DR$1,'Factory Log'!$J:$J,Performance!DR22,'Factory Log'!$C:$C,"Make Ready")+SUMIFS('Factory Log'!$D:$D,'Factory Log'!$B:$B,Performance!DR$1,'Factory Log'!$J:$J,Performance!DR22,'Factory Log'!$C:$C,"Roll Change")</f>
        <v>0</v>
      </c>
      <c r="DW22" s="3">
        <f>SUMIFS('Factory Log'!$M:$M,'Factory Log'!$B:$B,Performance!DR$1,'Factory Log'!$J:$J,Performance!DR22,'Factory Log'!$C:$C,"Running")</f>
        <v>0</v>
      </c>
      <c r="DX22" s="58" cm="1">
        <f t="array" ref="DX22">IFERROR(INDEX('Factory Log'!$S:$S,MATCH(1,(Performance!DR$1='Factory Log'!$B:$B)*(Performance!DR22='Factory Log'!$A:$A),0)),0)</f>
        <v>0</v>
      </c>
      <c r="DY22" s="3">
        <f>IFERROR(VLOOKUP(DR22,'Factory Log'!$J:$R,9,0),0)</f>
        <v>0</v>
      </c>
      <c r="DZ22" s="64">
        <f t="shared" si="22"/>
        <v>0</v>
      </c>
      <c r="EA22" s="58">
        <f t="shared" si="23"/>
        <v>0</v>
      </c>
      <c r="ED22" s="3">
        <f>IFERROR(VLOOKUP(EC22,'Factory Log'!$J:$O,6,0),0)</f>
        <v>0</v>
      </c>
      <c r="EE22" s="3">
        <f>IFERROR(VLOOKUP(EC22,'Factory Log'!$J:$P,7,0),0)</f>
        <v>0</v>
      </c>
      <c r="EF22" s="3">
        <f>IFERROR(VLOOKUP(EC22,'Factory Log'!$J:$Q,8,0),0)</f>
        <v>0</v>
      </c>
      <c r="EG22" s="58">
        <f>SUMIFS('Factory Log'!$D:$D,'Factory Log'!$B:$B,Performance!EC$1,'Factory Log'!$J:$J,Performance!EC22,'Factory Log'!$C:$C,"Running")+SUMIFS('Factory Log'!$D:$D,'Factory Log'!$B:$B,Performance!EC$1,'Factory Log'!$J:$J,Performance!EC22,'Factory Log'!$C:$C,"Make Ready")+SUMIFS('Factory Log'!$D:$D,'Factory Log'!$B:$B,Performance!EC$1,'Factory Log'!$J:$J,Performance!EC22,'Factory Log'!$C:$C,"Roll Change")</f>
        <v>0</v>
      </c>
      <c r="EH22" s="3">
        <f>SUMIFS('Factory Log'!$M:$M,'Factory Log'!$B:$B,Performance!EC$1,'Factory Log'!$J:$J,Performance!EC22,'Factory Log'!$C:$C,"Running")</f>
        <v>0</v>
      </c>
      <c r="EI22" s="58" cm="1">
        <f t="array" ref="EI22">IFERROR(INDEX('Factory Log'!$S:$S,MATCH(1,(Performance!EC$1='Factory Log'!$B:$B)*(Performance!EC22='Factory Log'!$A:$A),0)),0)</f>
        <v>0</v>
      </c>
      <c r="EJ22" s="3">
        <f>IFERROR(VLOOKUP(EC22,'Factory Log'!$J:$R,9,0),0)</f>
        <v>0</v>
      </c>
      <c r="EK22" s="64">
        <f t="shared" si="24"/>
        <v>0</v>
      </c>
      <c r="EL22" s="58">
        <f t="shared" si="25"/>
        <v>0</v>
      </c>
      <c r="EO22" s="3">
        <f>IFERROR(VLOOKUP(EN22,'Factory Log'!$J:$O,6,0),0)</f>
        <v>0</v>
      </c>
      <c r="EP22" s="3">
        <f>IFERROR(VLOOKUP(EN22,'Factory Log'!$J:$P,7,0),0)</f>
        <v>0</v>
      </c>
      <c r="EQ22" s="3">
        <f>IFERROR(VLOOKUP(EN22,'Factory Log'!$J:$Q,8,0),0)</f>
        <v>0</v>
      </c>
      <c r="ER22" s="58">
        <f>SUMIFS('Factory Log'!$D:$D,'Factory Log'!$B:$B,Performance!EN$1,'Factory Log'!$J:$J,Performance!EN22,'Factory Log'!$C:$C,"Running")+SUMIFS('Factory Log'!$D:$D,'Factory Log'!$B:$B,Performance!EN$1,'Factory Log'!$J:$J,Performance!EN22,'Factory Log'!$C:$C,"Make Ready")+SUMIFS('Factory Log'!$D:$D,'Factory Log'!$B:$B,Performance!EN$1,'Factory Log'!$J:$J,Performance!EN22,'Factory Log'!$C:$C,"Roll Change")</f>
        <v>0</v>
      </c>
      <c r="ES22" s="3">
        <f>SUMIFS('Factory Log'!$M:$M,'Factory Log'!$B:$B,Performance!EN$1,'Factory Log'!$J:$J,Performance!EN22,'Factory Log'!$C:$C,"Running")</f>
        <v>0</v>
      </c>
      <c r="ET22" s="58" cm="1">
        <f t="array" ref="ET22">IFERROR(INDEX('Factory Log'!$S:$S,MATCH(1,(Performance!EN$1='Factory Log'!$B:$B)*(Performance!EN22='Factory Log'!$A:$A),0)),0)</f>
        <v>0</v>
      </c>
      <c r="EU22" s="3">
        <f>IFERROR(VLOOKUP(EN22,'Factory Log'!$J:$R,9,0),0)</f>
        <v>0</v>
      </c>
      <c r="EV22" s="64">
        <f t="shared" si="26"/>
        <v>0</v>
      </c>
      <c r="EW22" s="58">
        <f t="shared" si="27"/>
        <v>0</v>
      </c>
      <c r="EZ22" s="3">
        <f>IFERROR(VLOOKUP(EY22,'Factory Log'!$J:$O,6,0),0)</f>
        <v>0</v>
      </c>
      <c r="FA22" s="3">
        <f>IFERROR(VLOOKUP(EY22,'Factory Log'!$J:$P,7,0),0)</f>
        <v>0</v>
      </c>
      <c r="FB22" s="3">
        <f>IFERROR(VLOOKUP(EY22,'Factory Log'!$J:$Q,8,0),0)</f>
        <v>0</v>
      </c>
      <c r="FC22" s="58">
        <f>SUMIFS('Factory Log'!$D:$D,'Factory Log'!$B:$B,Performance!EY$1,'Factory Log'!$J:$J,Performance!EY22,'Factory Log'!$C:$C,"Running")+SUMIFS('Factory Log'!$D:$D,'Factory Log'!$B:$B,Performance!EY$1,'Factory Log'!$J:$J,Performance!EY22,'Factory Log'!$C:$C,"Make Ready")+SUMIFS('Factory Log'!$D:$D,'Factory Log'!$B:$B,Performance!EY$1,'Factory Log'!$J:$J,Performance!EY22,'Factory Log'!$C:$C,"Roll Change")</f>
        <v>0</v>
      </c>
      <c r="FD22" s="3">
        <f>SUMIFS('Factory Log'!$M:$M,'Factory Log'!$B:$B,Performance!EY$1,'Factory Log'!$J:$J,Performance!EY22,'Factory Log'!$C:$C,"Running")</f>
        <v>0</v>
      </c>
      <c r="FE22" s="58" cm="1">
        <f t="array" ref="FE22">IFERROR(INDEX('Factory Log'!$S:$S,MATCH(1,(Performance!EY$1='Factory Log'!$B:$B)*(Performance!EY22='Factory Log'!$A:$A),0)),0)</f>
        <v>0</v>
      </c>
      <c r="FF22" s="3">
        <f>IFERROR(VLOOKUP(EY22,'Factory Log'!$J:$R,9,0),0)</f>
        <v>0</v>
      </c>
      <c r="FG22" s="64">
        <f t="shared" si="28"/>
        <v>0</v>
      </c>
      <c r="FH22" s="58">
        <f t="shared" si="29"/>
        <v>0</v>
      </c>
    </row>
    <row r="23" spans="2:164" ht="16" customHeight="1" x14ac:dyDescent="0.2">
      <c r="B23" s="3">
        <f>IFERROR(VLOOKUP(A23,'Factory Log'!$J:$O,6,0),0)</f>
        <v>0</v>
      </c>
      <c r="C23" s="3">
        <f>IFERROR(VLOOKUP(A23,'Factory Log'!$J:$P,7,0),0)</f>
        <v>0</v>
      </c>
      <c r="D23" s="3">
        <f>IFERROR(VLOOKUP(A23,'Factory Log'!$J:$Q,8,0),0)</f>
        <v>0</v>
      </c>
      <c r="E23" s="58">
        <f>SUMIFS('Factory Log'!$D:$D,'Factory Log'!$B:$B,Performance!A$1,'Factory Log'!$J:$J,Performance!A23,'Factory Log'!$C:$C,"Running")+SUMIFS('Factory Log'!$D:$D,'Factory Log'!$B:$B,Performance!A$1,'Factory Log'!$J:$J,Performance!A23,'Factory Log'!$C:$C,"Make Ready")+SUMIFS('Factory Log'!$D:$D,'Factory Log'!$B:$B,Performance!A$1,'Factory Log'!$J:$J,Performance!A23,'Factory Log'!$C:$C,"Roll Change")</f>
        <v>0</v>
      </c>
      <c r="F23" s="3">
        <f>SUMIFS('Factory Log'!$M:$M,'Factory Log'!$B:$B,Performance!A$1,'Factory Log'!$J:$J,Performance!A23,'Factory Log'!$C:$C,"Running")</f>
        <v>0</v>
      </c>
      <c r="G23" s="58" cm="1">
        <f t="array" ref="G23">IFERROR(INDEX('Factory Log'!$S:$S,MATCH(1,(Performance!A$1='Factory Log'!$B:$B)*(Performance!A23='Factory Log'!$A:$A),0)),0)</f>
        <v>0</v>
      </c>
      <c r="H23" s="3">
        <f>IFERROR(VLOOKUP(A23,'Factory Log'!$J:$R,9,0),0)</f>
        <v>0</v>
      </c>
      <c r="I23" s="64">
        <f t="shared" si="1"/>
        <v>0</v>
      </c>
      <c r="J23" s="58">
        <f t="shared" si="0"/>
        <v>0</v>
      </c>
      <c r="M23" s="3">
        <f>IFERROR(VLOOKUP(L23,'Factory Log'!$J:$O,6,0),0)</f>
        <v>0</v>
      </c>
      <c r="N23" s="3">
        <f>IFERROR(VLOOKUP(L23,'Factory Log'!$J:$P,7,0),0)</f>
        <v>0</v>
      </c>
      <c r="O23" s="3">
        <f>IFERROR(VLOOKUP(L23,'Factory Log'!$J:$Q,8,0),0)</f>
        <v>0</v>
      </c>
      <c r="P23" s="58">
        <f>SUMIFS('Factory Log'!$D:$D,'Factory Log'!$B:$B,Performance!L$1,'Factory Log'!$J:$J,Performance!L23,'Factory Log'!$C:$C,"Running")+SUMIFS('Factory Log'!$D:$D,'Factory Log'!$B:$B,Performance!L$1,'Factory Log'!$J:$J,Performance!L23,'Factory Log'!$C:$C,"Make Ready")+SUMIFS('Factory Log'!$D:$D,'Factory Log'!$B:$B,Performance!L$1,'Factory Log'!$J:$J,Performance!L23,'Factory Log'!$C:$C,"Roll Change")</f>
        <v>0</v>
      </c>
      <c r="Q23" s="3">
        <f>SUMIFS('Factory Log'!$M:$M,'Factory Log'!$B:$B,Performance!L$1,'Factory Log'!$J:$J,Performance!L23,'Factory Log'!$C:$C,"Running")</f>
        <v>0</v>
      </c>
      <c r="R23" s="58" cm="1">
        <f t="array" ref="R23">IFERROR(INDEX('Factory Log'!$S:$S,MATCH(1,(Performance!L$1='Factory Log'!$B:$B)*(Performance!L23='Factory Log'!$A:$A),0)),0)</f>
        <v>0</v>
      </c>
      <c r="S23" s="3">
        <f>IFERROR(VLOOKUP(L23,'Factory Log'!$J:$R,9,0),0)</f>
        <v>0</v>
      </c>
      <c r="T23" s="64">
        <f t="shared" si="2"/>
        <v>0</v>
      </c>
      <c r="U23" s="58">
        <f t="shared" si="3"/>
        <v>0</v>
      </c>
      <c r="X23" s="3">
        <f>IFERROR(VLOOKUP(W23,'Factory Log'!$J:$O,6,0),0)</f>
        <v>0</v>
      </c>
      <c r="Y23" s="3">
        <f>IFERROR(VLOOKUP(W23,'Factory Log'!$J:$P,7,0),0)</f>
        <v>0</v>
      </c>
      <c r="Z23" s="3">
        <f>IFERROR(VLOOKUP(W23,'Factory Log'!$J:$Q,8,0),0)</f>
        <v>0</v>
      </c>
      <c r="AA23" s="58">
        <f>SUMIFS('Factory Log'!$D:$D,'Factory Log'!$B:$B,Performance!W$1,'Factory Log'!$J:$J,Performance!W23,'Factory Log'!$C:$C,"Running")+SUMIFS('Factory Log'!$D:$D,'Factory Log'!$B:$B,Performance!W$1,'Factory Log'!$J:$J,Performance!W23,'Factory Log'!$C:$C,"Make Ready")+SUMIFS('Factory Log'!$D:$D,'Factory Log'!$B:$B,Performance!W$1,'Factory Log'!$J:$J,Performance!W23,'Factory Log'!$C:$C,"Roll Change")</f>
        <v>0</v>
      </c>
      <c r="AB23" s="3">
        <f>SUMIFS('Factory Log'!$M:$M,'Factory Log'!$B:$B,Performance!W$1,'Factory Log'!$J:$J,Performance!W23,'Factory Log'!$C:$C,"Running")</f>
        <v>0</v>
      </c>
      <c r="AC23" s="58" cm="1">
        <f t="array" ref="AC23">IFERROR(INDEX('Factory Log'!$S:$S,MATCH(1,(Performance!W$1='Factory Log'!$B:$B)*(Performance!W23='Factory Log'!$A:$A),0)),0)</f>
        <v>0</v>
      </c>
      <c r="AD23" s="3">
        <f>IFERROR(VLOOKUP(W23,'Factory Log'!$J:$R,9,0),0)</f>
        <v>0</v>
      </c>
      <c r="AE23" s="64">
        <f t="shared" si="4"/>
        <v>0</v>
      </c>
      <c r="AF23" s="58">
        <f t="shared" si="5"/>
        <v>0</v>
      </c>
      <c r="AI23" s="3">
        <f>IFERROR(VLOOKUP(AH23,'Factory Log'!$J:$O,6,0),0)</f>
        <v>0</v>
      </c>
      <c r="AJ23" s="3">
        <f>IFERROR(VLOOKUP(AH23,'Factory Log'!$J:$P,7,0),0)</f>
        <v>0</v>
      </c>
      <c r="AK23" s="3">
        <f>IFERROR(VLOOKUP(AH23,'Factory Log'!$J:$Q,8,0),0)</f>
        <v>0</v>
      </c>
      <c r="AL23" s="58">
        <f>SUMIFS('Factory Log'!$D:$D,'Factory Log'!$B:$B,Performance!AH$1,'Factory Log'!$J:$J,Performance!AH23,'Factory Log'!$C:$C,"Running")+SUMIFS('Factory Log'!$D:$D,'Factory Log'!$B:$B,Performance!AH$1,'Factory Log'!$J:$J,Performance!AH23,'Factory Log'!$C:$C,"Make Ready")+SUMIFS('Factory Log'!$D:$D,'Factory Log'!$B:$B,Performance!AH$1,'Factory Log'!$J:$J,Performance!AH23,'Factory Log'!$C:$C,"Roll Change")</f>
        <v>0</v>
      </c>
      <c r="AM23" s="3">
        <f>SUMIFS('Factory Log'!$M:$M,'Factory Log'!$B:$B,Performance!AH$1,'Factory Log'!$J:$J,Performance!AH23,'Factory Log'!$C:$C,"Running")</f>
        <v>0</v>
      </c>
      <c r="AN23" s="58" cm="1">
        <f t="array" ref="AN23">IFERROR(INDEX('Factory Log'!$S:$S,MATCH(1,(Performance!AH$1='Factory Log'!$B:$B)*(Performance!AH23='Factory Log'!$A:$A),0)),0)</f>
        <v>0</v>
      </c>
      <c r="AO23" s="3">
        <f>IFERROR(VLOOKUP(AH23,'Factory Log'!$J:$R,9,0),0)</f>
        <v>0</v>
      </c>
      <c r="AP23" s="64">
        <f t="shared" si="6"/>
        <v>0</v>
      </c>
      <c r="AQ23" s="58">
        <f t="shared" si="7"/>
        <v>0</v>
      </c>
      <c r="AT23" s="3">
        <f>IFERROR(VLOOKUP(AS23,'Factory Log'!$J:$O,6,0),0)</f>
        <v>0</v>
      </c>
      <c r="AU23" s="3">
        <f>IFERROR(VLOOKUP(AS23,'Factory Log'!$J:$P,7,0),0)</f>
        <v>0</v>
      </c>
      <c r="AV23" s="3">
        <f>IFERROR(VLOOKUP(AS23,'Factory Log'!$J:$Q,8,0),0)</f>
        <v>0</v>
      </c>
      <c r="AW23" s="58">
        <f>SUMIFS('Factory Log'!$D:$D,'Factory Log'!$B:$B,Performance!AS$1,'Factory Log'!$J:$J,Performance!AS23,'Factory Log'!$C:$C,"Running")+SUMIFS('Factory Log'!$D:$D,'Factory Log'!$B:$B,Performance!AS$1,'Factory Log'!$J:$J,Performance!AS23,'Factory Log'!$C:$C,"Make Ready")+SUMIFS('Factory Log'!$D:$D,'Factory Log'!$B:$B,Performance!AS$1,'Factory Log'!$J:$J,Performance!AS23,'Factory Log'!$C:$C,"Roll Change")</f>
        <v>0</v>
      </c>
      <c r="AX23" s="3">
        <f>SUMIFS('Factory Log'!$M:$M,'Factory Log'!$B:$B,Performance!AS$1,'Factory Log'!$J:$J,Performance!AS23,'Factory Log'!$C:$C,"Running")</f>
        <v>0</v>
      </c>
      <c r="AY23" s="58" cm="1">
        <f t="array" ref="AY23">IFERROR(INDEX('Factory Log'!$S:$S,MATCH(1,(Performance!AS$1='Factory Log'!$B:$B)*(Performance!AS23='Factory Log'!$A:$A),0)),0)</f>
        <v>0</v>
      </c>
      <c r="AZ23" s="3">
        <f>IFERROR(VLOOKUP(AS23,'Factory Log'!$J:$R,9,0),0)</f>
        <v>0</v>
      </c>
      <c r="BA23" s="64">
        <f t="shared" si="8"/>
        <v>0</v>
      </c>
      <c r="BB23" s="58">
        <f t="shared" si="9"/>
        <v>0</v>
      </c>
      <c r="BE23" s="3">
        <f>IFERROR(VLOOKUP(BD23,'Factory Log'!$J:$O,6,0),0)</f>
        <v>0</v>
      </c>
      <c r="BF23" s="3">
        <f>IFERROR(VLOOKUP(BD23,'Factory Log'!$J:$P,7,0),0)</f>
        <v>0</v>
      </c>
      <c r="BG23" s="3">
        <f>IFERROR(VLOOKUP(BD23,'Factory Log'!$J:$Q,8,0),0)</f>
        <v>0</v>
      </c>
      <c r="BH23" s="58">
        <f>SUMIFS('Factory Log'!$D:$D,'Factory Log'!$B:$B,Performance!BD$1,'Factory Log'!$J:$J,Performance!BD23,'Factory Log'!$C:$C,"Running")+SUMIFS('Factory Log'!$D:$D,'Factory Log'!$B:$B,Performance!BD$1,'Factory Log'!$J:$J,Performance!BD23,'Factory Log'!$C:$C,"Make Ready")+SUMIFS('Factory Log'!$D:$D,'Factory Log'!$B:$B,Performance!BD$1,'Factory Log'!$J:$J,Performance!BD23,'Factory Log'!$C:$C,"Roll Change")</f>
        <v>0</v>
      </c>
      <c r="BI23" s="3">
        <f>SUMIFS('Factory Log'!$M:$M,'Factory Log'!$B:$B,Performance!BD$1,'Factory Log'!$J:$J,Performance!BD23,'Factory Log'!$C:$C,"Running")</f>
        <v>0</v>
      </c>
      <c r="BJ23" s="58" cm="1">
        <f t="array" ref="BJ23">IFERROR(INDEX('Factory Log'!$S:$S,MATCH(1,(Performance!BD$1='Factory Log'!$B:$B)*(Performance!BD23='Factory Log'!$A:$A),0)),0)</f>
        <v>0</v>
      </c>
      <c r="BK23" s="3">
        <f>IFERROR(VLOOKUP(BD23,'Factory Log'!$J:$R,9,0),0)</f>
        <v>0</v>
      </c>
      <c r="BL23" s="64">
        <f t="shared" si="10"/>
        <v>0</v>
      </c>
      <c r="BM23" s="58">
        <f t="shared" si="11"/>
        <v>0</v>
      </c>
      <c r="BP23" s="3">
        <f>IFERROR(VLOOKUP(BO23,'Factory Log'!$J:$O,6,0),0)</f>
        <v>0</v>
      </c>
      <c r="BQ23" s="3">
        <f>IFERROR(VLOOKUP(BO23,'Factory Log'!$J:$P,7,0),0)</f>
        <v>0</v>
      </c>
      <c r="BR23" s="3">
        <f>IFERROR(VLOOKUP(BO23,'Factory Log'!$J:$Q,8,0),0)</f>
        <v>0</v>
      </c>
      <c r="BS23" s="58">
        <f>SUMIFS('Factory Log'!$D:$D,'Factory Log'!$B:$B,Performance!BO$1,'Factory Log'!$J:$J,Performance!BO23,'Factory Log'!$C:$C,"Running")+SUMIFS('Factory Log'!$D:$D,'Factory Log'!$B:$B,Performance!BO$1,'Factory Log'!$J:$J,Performance!BO23,'Factory Log'!$C:$C,"Make Ready")+SUMIFS('Factory Log'!$D:$D,'Factory Log'!$B:$B,Performance!BO$1,'Factory Log'!$J:$J,Performance!BO23,'Factory Log'!$C:$C,"Roll Change")</f>
        <v>0</v>
      </c>
      <c r="BT23" s="3">
        <f>SUMIFS('Factory Log'!$M:$M,'Factory Log'!$B:$B,Performance!BO$1,'Factory Log'!$J:$J,Performance!BO23,'Factory Log'!$C:$C,"Running")</f>
        <v>0</v>
      </c>
      <c r="BU23" s="58" cm="1">
        <f t="array" ref="BU23">IFERROR(INDEX('Factory Log'!$S:$S,MATCH(1,(Performance!BO$1='Factory Log'!$B:$B)*(Performance!BO23='Factory Log'!$A:$A),0)),0)</f>
        <v>0</v>
      </c>
      <c r="BV23" s="3">
        <f>IFERROR(VLOOKUP(BO23,'Factory Log'!$J:$R,9,0),0)</f>
        <v>0</v>
      </c>
      <c r="BW23" s="64">
        <f t="shared" si="12"/>
        <v>0</v>
      </c>
      <c r="BX23" s="58">
        <f t="shared" si="13"/>
        <v>0</v>
      </c>
      <c r="CA23" s="3">
        <f>IFERROR(VLOOKUP(BZ23,'Factory Log'!$J:$O,6,0),0)</f>
        <v>0</v>
      </c>
      <c r="CB23" s="3">
        <f>IFERROR(VLOOKUP(BZ23,'Factory Log'!$J:$P,7,0),0)</f>
        <v>0</v>
      </c>
      <c r="CC23" s="3">
        <f>IFERROR(VLOOKUP(BZ23,'Factory Log'!$J:$Q,8,0),0)</f>
        <v>0</v>
      </c>
      <c r="CD23" s="58">
        <f>SUMIFS('Factory Log'!$D:$D,'Factory Log'!$B:$B,Performance!BZ$1,'Factory Log'!$J:$J,Performance!BZ23,'Factory Log'!$C:$C,"Running")+SUMIFS('Factory Log'!$D:$D,'Factory Log'!$B:$B,Performance!BZ$1,'Factory Log'!$J:$J,Performance!BZ23,'Factory Log'!$C:$C,"Make Ready")+SUMIFS('Factory Log'!$D:$D,'Factory Log'!$B:$B,Performance!BZ$1,'Factory Log'!$J:$J,Performance!BZ23,'Factory Log'!$C:$C,"Roll Change")</f>
        <v>0</v>
      </c>
      <c r="CE23" s="3">
        <f>SUMIFS('Factory Log'!$M:$M,'Factory Log'!$B:$B,Performance!BZ$1,'Factory Log'!$J:$J,Performance!BZ23,'Factory Log'!$C:$C,"Running")</f>
        <v>0</v>
      </c>
      <c r="CF23" s="58" cm="1">
        <f t="array" ref="CF23">IFERROR(INDEX('Factory Log'!$S:$S,MATCH(1,(Performance!BZ$1='Factory Log'!$B:$B)*(Performance!BZ23='Factory Log'!$A:$A),0)),0)</f>
        <v>0</v>
      </c>
      <c r="CG23" s="3">
        <f>IFERROR(VLOOKUP(BZ23,'Factory Log'!$J:$R,9,0),0)</f>
        <v>0</v>
      </c>
      <c r="CH23" s="64">
        <f t="shared" si="14"/>
        <v>0</v>
      </c>
      <c r="CI23" s="58">
        <f t="shared" si="15"/>
        <v>0</v>
      </c>
      <c r="CL23" s="3">
        <f>IFERROR(VLOOKUP(CK23,'Factory Log'!$J:$O,6,0),0)</f>
        <v>0</v>
      </c>
      <c r="CM23" s="3">
        <f>IFERROR(VLOOKUP(CK23,'Factory Log'!$J:$P,7,0),0)</f>
        <v>0</v>
      </c>
      <c r="CN23" s="3">
        <f>IFERROR(VLOOKUP(CK23,'Factory Log'!$J:$Q,8,0),0)</f>
        <v>0</v>
      </c>
      <c r="CO23" s="58">
        <f>SUMIFS('Factory Log'!$D:$D,'Factory Log'!$B:$B,Performance!CK$1,'Factory Log'!$J:$J,Performance!CK23,'Factory Log'!$C:$C,"Running")+SUMIFS('Factory Log'!$D:$D,'Factory Log'!$B:$B,Performance!CK$1,'Factory Log'!$J:$J,Performance!CK23,'Factory Log'!$C:$C,"Make Ready")+SUMIFS('Factory Log'!$D:$D,'Factory Log'!$B:$B,Performance!CK$1,'Factory Log'!$J:$J,Performance!CK23,'Factory Log'!$C:$C,"Roll Change")</f>
        <v>0</v>
      </c>
      <c r="CP23" s="3">
        <f>SUMIFS('Factory Log'!$M:$M,'Factory Log'!$B:$B,Performance!CK$1,'Factory Log'!$J:$J,Performance!CK23,'Factory Log'!$C:$C,"Running")</f>
        <v>0</v>
      </c>
      <c r="CQ23" s="58" cm="1">
        <f t="array" ref="CQ23">IFERROR(INDEX('Factory Log'!$S:$S,MATCH(1,(Performance!CK$1='Factory Log'!$B:$B)*(Performance!CK23='Factory Log'!$A:$A),0)),0)</f>
        <v>0</v>
      </c>
      <c r="CR23" s="3">
        <f>IFERROR(VLOOKUP(CK23,'Factory Log'!$J:$R,9,0),0)</f>
        <v>0</v>
      </c>
      <c r="CS23" s="64">
        <f t="shared" si="16"/>
        <v>0</v>
      </c>
      <c r="CT23" s="58">
        <f t="shared" si="17"/>
        <v>0</v>
      </c>
      <c r="CW23" s="3">
        <f>IFERROR(VLOOKUP(CV23,'Factory Log'!$J:$O,6,0),0)</f>
        <v>0</v>
      </c>
      <c r="CX23" s="3">
        <f>IFERROR(VLOOKUP(CV23,'Factory Log'!$J:$P,7,0),0)</f>
        <v>0</v>
      </c>
      <c r="CY23" s="3">
        <f>IFERROR(VLOOKUP(CV23,'Factory Log'!$J:$Q,8,0),0)</f>
        <v>0</v>
      </c>
      <c r="CZ23" s="58">
        <f>SUMIFS('Factory Log'!$D:$D,'Factory Log'!$B:$B,Performance!CV$1,'Factory Log'!$J:$J,Performance!CV23,'Factory Log'!$C:$C,"Running")+SUMIFS('Factory Log'!$D:$D,'Factory Log'!$B:$B,Performance!CV$1,'Factory Log'!$J:$J,Performance!CV23,'Factory Log'!$C:$C,"Make Ready")+SUMIFS('Factory Log'!$D:$D,'Factory Log'!$B:$B,Performance!CV$1,'Factory Log'!$J:$J,Performance!CV23,'Factory Log'!$C:$C,"Roll Change")</f>
        <v>0</v>
      </c>
      <c r="DA23" s="3">
        <f>SUMIFS('Factory Log'!$M:$M,'Factory Log'!$B:$B,Performance!CV$1,'Factory Log'!$J:$J,Performance!CV23,'Factory Log'!$C:$C,"Running")</f>
        <v>0</v>
      </c>
      <c r="DB23" s="58" cm="1">
        <f t="array" ref="DB23">IFERROR(INDEX('Factory Log'!$S:$S,MATCH(1,(Performance!CV$1='Factory Log'!$B:$B)*(Performance!CV23='Factory Log'!$A:$A),0)),0)</f>
        <v>0</v>
      </c>
      <c r="DC23" s="3">
        <f>IFERROR(VLOOKUP(CV23,'Factory Log'!$J:$R,9,0),0)</f>
        <v>0</v>
      </c>
      <c r="DD23" s="64">
        <f t="shared" si="18"/>
        <v>0</v>
      </c>
      <c r="DE23" s="58">
        <f t="shared" si="19"/>
        <v>0</v>
      </c>
      <c r="DH23" s="3">
        <f>IFERROR(VLOOKUP(DG23,'Factory Log'!$J:$O,6,0),0)</f>
        <v>0</v>
      </c>
      <c r="DI23" s="3">
        <f>IFERROR(VLOOKUP(DG23,'Factory Log'!$J:$P,7,0),0)</f>
        <v>0</v>
      </c>
      <c r="DJ23" s="3">
        <f>IFERROR(VLOOKUP(DG23,'Factory Log'!$J:$Q,8,0),0)</f>
        <v>0</v>
      </c>
      <c r="DK23" s="58">
        <f>SUMIFS('Factory Log'!$D:$D,'Factory Log'!$B:$B,Performance!DG$1,'Factory Log'!$J:$J,Performance!DG23,'Factory Log'!$C:$C,"Running")+SUMIFS('Factory Log'!$D:$D,'Factory Log'!$B:$B,Performance!DG$1,'Factory Log'!$J:$J,Performance!DG23,'Factory Log'!$C:$C,"Make Ready")+SUMIFS('Factory Log'!$D:$D,'Factory Log'!$B:$B,Performance!DG$1,'Factory Log'!$J:$J,Performance!DG23,'Factory Log'!$C:$C,"Roll Change")</f>
        <v>0</v>
      </c>
      <c r="DL23" s="3">
        <f>SUMIFS('Factory Log'!$M:$M,'Factory Log'!$B:$B,Performance!DG$1,'Factory Log'!$J:$J,Performance!DG23,'Factory Log'!$C:$C,"Running")</f>
        <v>0</v>
      </c>
      <c r="DM23" s="58" cm="1">
        <f t="array" ref="DM23">IFERROR(INDEX('Factory Log'!$S:$S,MATCH(1,(Performance!DG$1='Factory Log'!$B:$B)*(Performance!DG23='Factory Log'!$A:$A),0)),0)</f>
        <v>0</v>
      </c>
      <c r="DN23" s="3">
        <f>IFERROR(VLOOKUP(DG23,'Factory Log'!$J:$R,9,0),0)</f>
        <v>0</v>
      </c>
      <c r="DO23" s="64">
        <f t="shared" si="20"/>
        <v>0</v>
      </c>
      <c r="DP23" s="58">
        <f t="shared" si="21"/>
        <v>0</v>
      </c>
      <c r="DS23" s="3">
        <f>IFERROR(VLOOKUP(DR23,'Factory Log'!$J:$O,6,0),0)</f>
        <v>0</v>
      </c>
      <c r="DT23" s="3">
        <f>IFERROR(VLOOKUP(DR23,'Factory Log'!$J:$P,7,0),0)</f>
        <v>0</v>
      </c>
      <c r="DU23" s="3">
        <f>IFERROR(VLOOKUP(DR23,'Factory Log'!$J:$Q,8,0),0)</f>
        <v>0</v>
      </c>
      <c r="DV23" s="58">
        <f>SUMIFS('Factory Log'!$D:$D,'Factory Log'!$B:$B,Performance!DR$1,'Factory Log'!$J:$J,Performance!DR23,'Factory Log'!$C:$C,"Running")+SUMIFS('Factory Log'!$D:$D,'Factory Log'!$B:$B,Performance!DR$1,'Factory Log'!$J:$J,Performance!DR23,'Factory Log'!$C:$C,"Make Ready")+SUMIFS('Factory Log'!$D:$D,'Factory Log'!$B:$B,Performance!DR$1,'Factory Log'!$J:$J,Performance!DR23,'Factory Log'!$C:$C,"Roll Change")</f>
        <v>0</v>
      </c>
      <c r="DW23" s="3">
        <f>SUMIFS('Factory Log'!$M:$M,'Factory Log'!$B:$B,Performance!DR$1,'Factory Log'!$J:$J,Performance!DR23,'Factory Log'!$C:$C,"Running")</f>
        <v>0</v>
      </c>
      <c r="DX23" s="58" cm="1">
        <f t="array" ref="DX23">IFERROR(INDEX('Factory Log'!$S:$S,MATCH(1,(Performance!DR$1='Factory Log'!$B:$B)*(Performance!DR23='Factory Log'!$A:$A),0)),0)</f>
        <v>0</v>
      </c>
      <c r="DY23" s="3">
        <f>IFERROR(VLOOKUP(DR23,'Factory Log'!$J:$R,9,0),0)</f>
        <v>0</v>
      </c>
      <c r="DZ23" s="64">
        <f t="shared" si="22"/>
        <v>0</v>
      </c>
      <c r="EA23" s="58">
        <f t="shared" si="23"/>
        <v>0</v>
      </c>
      <c r="ED23" s="3">
        <f>IFERROR(VLOOKUP(EC23,'Factory Log'!$J:$O,6,0),0)</f>
        <v>0</v>
      </c>
      <c r="EE23" s="3">
        <f>IFERROR(VLOOKUP(EC23,'Factory Log'!$J:$P,7,0),0)</f>
        <v>0</v>
      </c>
      <c r="EF23" s="3">
        <f>IFERROR(VLOOKUP(EC23,'Factory Log'!$J:$Q,8,0),0)</f>
        <v>0</v>
      </c>
      <c r="EG23" s="58">
        <f>SUMIFS('Factory Log'!$D:$D,'Factory Log'!$B:$B,Performance!EC$1,'Factory Log'!$J:$J,Performance!EC23,'Factory Log'!$C:$C,"Running")+SUMIFS('Factory Log'!$D:$D,'Factory Log'!$B:$B,Performance!EC$1,'Factory Log'!$J:$J,Performance!EC23,'Factory Log'!$C:$C,"Make Ready")+SUMIFS('Factory Log'!$D:$D,'Factory Log'!$B:$B,Performance!EC$1,'Factory Log'!$J:$J,Performance!EC23,'Factory Log'!$C:$C,"Roll Change")</f>
        <v>0</v>
      </c>
      <c r="EH23" s="3">
        <f>SUMIFS('Factory Log'!$M:$M,'Factory Log'!$B:$B,Performance!EC$1,'Factory Log'!$J:$J,Performance!EC23,'Factory Log'!$C:$C,"Running")</f>
        <v>0</v>
      </c>
      <c r="EI23" s="58" cm="1">
        <f t="array" ref="EI23">IFERROR(INDEX('Factory Log'!$S:$S,MATCH(1,(Performance!EC$1='Factory Log'!$B:$B)*(Performance!EC23='Factory Log'!$A:$A),0)),0)</f>
        <v>0</v>
      </c>
      <c r="EJ23" s="3">
        <f>IFERROR(VLOOKUP(EC23,'Factory Log'!$J:$R,9,0),0)</f>
        <v>0</v>
      </c>
      <c r="EK23" s="64">
        <f t="shared" si="24"/>
        <v>0</v>
      </c>
      <c r="EL23" s="58">
        <f t="shared" si="25"/>
        <v>0</v>
      </c>
      <c r="EO23" s="3">
        <f>IFERROR(VLOOKUP(EN23,'Factory Log'!$J:$O,6,0),0)</f>
        <v>0</v>
      </c>
      <c r="EP23" s="3">
        <f>IFERROR(VLOOKUP(EN23,'Factory Log'!$J:$P,7,0),0)</f>
        <v>0</v>
      </c>
      <c r="EQ23" s="3">
        <f>IFERROR(VLOOKUP(EN23,'Factory Log'!$J:$Q,8,0),0)</f>
        <v>0</v>
      </c>
      <c r="ER23" s="58">
        <f>SUMIFS('Factory Log'!$D:$D,'Factory Log'!$B:$B,Performance!EN$1,'Factory Log'!$J:$J,Performance!EN23,'Factory Log'!$C:$C,"Running")+SUMIFS('Factory Log'!$D:$D,'Factory Log'!$B:$B,Performance!EN$1,'Factory Log'!$J:$J,Performance!EN23,'Factory Log'!$C:$C,"Make Ready")+SUMIFS('Factory Log'!$D:$D,'Factory Log'!$B:$B,Performance!EN$1,'Factory Log'!$J:$J,Performance!EN23,'Factory Log'!$C:$C,"Roll Change")</f>
        <v>0</v>
      </c>
      <c r="ES23" s="3">
        <f>SUMIFS('Factory Log'!$M:$M,'Factory Log'!$B:$B,Performance!EN$1,'Factory Log'!$J:$J,Performance!EN23,'Factory Log'!$C:$C,"Running")</f>
        <v>0</v>
      </c>
      <c r="ET23" s="58" cm="1">
        <f t="array" ref="ET23">IFERROR(INDEX('Factory Log'!$S:$S,MATCH(1,(Performance!EN$1='Factory Log'!$B:$B)*(Performance!EN23='Factory Log'!$A:$A),0)),0)</f>
        <v>0</v>
      </c>
      <c r="EU23" s="3">
        <f>IFERROR(VLOOKUP(EN23,'Factory Log'!$J:$R,9,0),0)</f>
        <v>0</v>
      </c>
      <c r="EV23" s="64">
        <f t="shared" si="26"/>
        <v>0</v>
      </c>
      <c r="EW23" s="58">
        <f t="shared" si="27"/>
        <v>0</v>
      </c>
      <c r="EZ23" s="3">
        <f>IFERROR(VLOOKUP(EY23,'Factory Log'!$J:$O,6,0),0)</f>
        <v>0</v>
      </c>
      <c r="FA23" s="3">
        <f>IFERROR(VLOOKUP(EY23,'Factory Log'!$J:$P,7,0),0)</f>
        <v>0</v>
      </c>
      <c r="FB23" s="3">
        <f>IFERROR(VLOOKUP(EY23,'Factory Log'!$J:$Q,8,0),0)</f>
        <v>0</v>
      </c>
      <c r="FC23" s="58">
        <f>SUMIFS('Factory Log'!$D:$D,'Factory Log'!$B:$B,Performance!EY$1,'Factory Log'!$J:$J,Performance!EY23,'Factory Log'!$C:$C,"Running")+SUMIFS('Factory Log'!$D:$D,'Factory Log'!$B:$B,Performance!EY$1,'Factory Log'!$J:$J,Performance!EY23,'Factory Log'!$C:$C,"Make Ready")+SUMIFS('Factory Log'!$D:$D,'Factory Log'!$B:$B,Performance!EY$1,'Factory Log'!$J:$J,Performance!EY23,'Factory Log'!$C:$C,"Roll Change")</f>
        <v>0</v>
      </c>
      <c r="FD23" s="3">
        <f>SUMIFS('Factory Log'!$M:$M,'Factory Log'!$B:$B,Performance!EY$1,'Factory Log'!$J:$J,Performance!EY23,'Factory Log'!$C:$C,"Running")</f>
        <v>0</v>
      </c>
      <c r="FE23" s="58" cm="1">
        <f t="array" ref="FE23">IFERROR(INDEX('Factory Log'!$S:$S,MATCH(1,(Performance!EY$1='Factory Log'!$B:$B)*(Performance!EY23='Factory Log'!$A:$A),0)),0)</f>
        <v>0</v>
      </c>
      <c r="FF23" s="3">
        <f>IFERROR(VLOOKUP(EY23,'Factory Log'!$J:$R,9,0),0)</f>
        <v>0</v>
      </c>
      <c r="FG23" s="64">
        <f t="shared" si="28"/>
        <v>0</v>
      </c>
      <c r="FH23" s="58">
        <f t="shared" si="29"/>
        <v>0</v>
      </c>
    </row>
    <row r="24" spans="2:164" ht="16" customHeight="1" x14ac:dyDescent="0.2">
      <c r="B24" s="3">
        <f>IFERROR(VLOOKUP(A24,'Factory Log'!$J:$O,6,0),0)</f>
        <v>0</v>
      </c>
      <c r="C24" s="3">
        <f>IFERROR(VLOOKUP(A24,'Factory Log'!$J:$P,7,0),0)</f>
        <v>0</v>
      </c>
      <c r="D24" s="3">
        <f>IFERROR(VLOOKUP(A24,'Factory Log'!$J:$Q,8,0),0)</f>
        <v>0</v>
      </c>
      <c r="E24" s="58">
        <f>SUMIFS('Factory Log'!$D:$D,'Factory Log'!$B:$B,Performance!A$1,'Factory Log'!$J:$J,Performance!A24,'Factory Log'!$C:$C,"Running")+SUMIFS('Factory Log'!$D:$D,'Factory Log'!$B:$B,Performance!A$1,'Factory Log'!$J:$J,Performance!A24,'Factory Log'!$C:$C,"Make Ready")+SUMIFS('Factory Log'!$D:$D,'Factory Log'!$B:$B,Performance!A$1,'Factory Log'!$J:$J,Performance!A24,'Factory Log'!$C:$C,"Roll Change")</f>
        <v>0</v>
      </c>
      <c r="F24" s="3">
        <f>SUMIFS('Factory Log'!$M:$M,'Factory Log'!$B:$B,Performance!A$1,'Factory Log'!$J:$J,Performance!A24,'Factory Log'!$C:$C,"Running")</f>
        <v>0</v>
      </c>
      <c r="G24" s="58" cm="1">
        <f t="array" ref="G24">IFERROR(INDEX('Factory Log'!$S:$S,MATCH(1,(Performance!A$1='Factory Log'!$B:$B)*(Performance!A24='Factory Log'!$A:$A),0)),0)</f>
        <v>0</v>
      </c>
      <c r="H24" s="3">
        <f>IFERROR(VLOOKUP(A24,'Factory Log'!$J:$R,9,0),0)</f>
        <v>0</v>
      </c>
      <c r="I24" s="64">
        <f t="shared" si="1"/>
        <v>0</v>
      </c>
      <c r="J24" s="58">
        <f t="shared" ref="J24:J44" si="30">IFERROR(G24*I24,0)</f>
        <v>0</v>
      </c>
      <c r="M24" s="3">
        <f>IFERROR(VLOOKUP(L24,'Factory Log'!$J:$O,6,0),0)</f>
        <v>0</v>
      </c>
      <c r="N24" s="3">
        <f>IFERROR(VLOOKUP(L24,'Factory Log'!$J:$P,7,0),0)</f>
        <v>0</v>
      </c>
      <c r="O24" s="3">
        <f>IFERROR(VLOOKUP(L24,'Factory Log'!$J:$Q,8,0),0)</f>
        <v>0</v>
      </c>
      <c r="P24" s="58">
        <f>SUMIFS('Factory Log'!$D:$D,'Factory Log'!$B:$B,Performance!L$1,'Factory Log'!$J:$J,Performance!L24,'Factory Log'!$C:$C,"Running")+SUMIFS('Factory Log'!$D:$D,'Factory Log'!$B:$B,Performance!L$1,'Factory Log'!$J:$J,Performance!L24,'Factory Log'!$C:$C,"Make Ready")+SUMIFS('Factory Log'!$D:$D,'Factory Log'!$B:$B,Performance!L$1,'Factory Log'!$J:$J,Performance!L24,'Factory Log'!$C:$C,"Roll Change")</f>
        <v>0</v>
      </c>
      <c r="Q24" s="3">
        <f>SUMIFS('Factory Log'!$M:$M,'Factory Log'!$B:$B,Performance!L$1,'Factory Log'!$J:$J,Performance!L24,'Factory Log'!$C:$C,"Running")</f>
        <v>0</v>
      </c>
      <c r="R24" s="58" cm="1">
        <f t="array" ref="R24">IFERROR(INDEX('Factory Log'!$S:$S,MATCH(1,(Performance!L$1='Factory Log'!$B:$B)*(Performance!L24='Factory Log'!$A:$A),0)),0)</f>
        <v>0</v>
      </c>
      <c r="S24" s="3">
        <f>IFERROR(VLOOKUP(L24,'Factory Log'!$J:$R,9,0),0)</f>
        <v>0</v>
      </c>
      <c r="T24" s="64">
        <f t="shared" si="2"/>
        <v>0</v>
      </c>
      <c r="U24" s="58">
        <f t="shared" ref="U24:U44" si="31">IFERROR(R24*T24,0)</f>
        <v>0</v>
      </c>
      <c r="X24" s="3">
        <f>IFERROR(VLOOKUP(W24,'Factory Log'!$J:$O,6,0),0)</f>
        <v>0</v>
      </c>
      <c r="Y24" s="3">
        <f>IFERROR(VLOOKUP(W24,'Factory Log'!$J:$P,7,0),0)</f>
        <v>0</v>
      </c>
      <c r="Z24" s="3">
        <f>IFERROR(VLOOKUP(W24,'Factory Log'!$J:$Q,8,0),0)</f>
        <v>0</v>
      </c>
      <c r="AA24" s="58">
        <f>SUMIFS('Factory Log'!$D:$D,'Factory Log'!$B:$B,Performance!W$1,'Factory Log'!$J:$J,Performance!W24,'Factory Log'!$C:$C,"Running")+SUMIFS('Factory Log'!$D:$D,'Factory Log'!$B:$B,Performance!W$1,'Factory Log'!$J:$J,Performance!W24,'Factory Log'!$C:$C,"Make Ready")+SUMIFS('Factory Log'!$D:$D,'Factory Log'!$B:$B,Performance!W$1,'Factory Log'!$J:$J,Performance!W24,'Factory Log'!$C:$C,"Roll Change")</f>
        <v>0</v>
      </c>
      <c r="AB24" s="3">
        <f>SUMIFS('Factory Log'!$M:$M,'Factory Log'!$B:$B,Performance!W$1,'Factory Log'!$J:$J,Performance!W24,'Factory Log'!$C:$C,"Running")</f>
        <v>0</v>
      </c>
      <c r="AC24" s="58" cm="1">
        <f t="array" ref="AC24">IFERROR(INDEX('Factory Log'!$S:$S,MATCH(1,(Performance!W$1='Factory Log'!$B:$B)*(Performance!W24='Factory Log'!$A:$A),0)),0)</f>
        <v>0</v>
      </c>
      <c r="AD24" s="3">
        <f>IFERROR(VLOOKUP(W24,'Factory Log'!$J:$R,9,0),0)</f>
        <v>0</v>
      </c>
      <c r="AE24" s="64">
        <f t="shared" si="4"/>
        <v>0</v>
      </c>
      <c r="AF24" s="58">
        <f t="shared" ref="AF24:AF25" si="32">IFERROR(AC24*AE24,0)</f>
        <v>0</v>
      </c>
      <c r="AI24" s="3">
        <f>IFERROR(VLOOKUP(AH24,'Factory Log'!$J:$O,6,0),0)</f>
        <v>0</v>
      </c>
      <c r="AJ24" s="3">
        <f>IFERROR(VLOOKUP(AH24,'Factory Log'!$J:$P,7,0),0)</f>
        <v>0</v>
      </c>
      <c r="AK24" s="3">
        <f>IFERROR(VLOOKUP(AH24,'Factory Log'!$J:$Q,8,0),0)</f>
        <v>0</v>
      </c>
      <c r="AL24" s="58">
        <f>SUMIFS('Factory Log'!$D:$D,'Factory Log'!$B:$B,Performance!AH$1,'Factory Log'!$J:$J,Performance!AH24,'Factory Log'!$C:$C,"Running")+SUMIFS('Factory Log'!$D:$D,'Factory Log'!$B:$B,Performance!AH$1,'Factory Log'!$J:$J,Performance!AH24,'Factory Log'!$C:$C,"Make Ready")+SUMIFS('Factory Log'!$D:$D,'Factory Log'!$B:$B,Performance!AH$1,'Factory Log'!$J:$J,Performance!AH24,'Factory Log'!$C:$C,"Roll Change")</f>
        <v>0</v>
      </c>
      <c r="AM24" s="3">
        <f>SUMIFS('Factory Log'!$M:$M,'Factory Log'!$B:$B,Performance!AH$1,'Factory Log'!$J:$J,Performance!AH24,'Factory Log'!$C:$C,"Running")</f>
        <v>0</v>
      </c>
      <c r="AN24" s="58" cm="1">
        <f t="array" ref="AN24">IFERROR(INDEX('Factory Log'!$S:$S,MATCH(1,(Performance!AH$1='Factory Log'!$B:$B)*(Performance!AH24='Factory Log'!$A:$A),0)),0)</f>
        <v>0</v>
      </c>
      <c r="AO24" s="3">
        <f>IFERROR(VLOOKUP(AH24,'Factory Log'!$J:$R,9,0),0)</f>
        <v>0</v>
      </c>
      <c r="AP24" s="64">
        <f t="shared" si="6"/>
        <v>0</v>
      </c>
      <c r="AQ24" s="58">
        <f t="shared" si="7"/>
        <v>0</v>
      </c>
      <c r="AT24" s="3">
        <f>IFERROR(VLOOKUP(AS24,'Factory Log'!$J:$O,6,0),0)</f>
        <v>0</v>
      </c>
      <c r="AU24" s="3">
        <f>IFERROR(VLOOKUP(AS24,'Factory Log'!$J:$P,7,0),0)</f>
        <v>0</v>
      </c>
      <c r="AV24" s="3">
        <f>IFERROR(VLOOKUP(AS24,'Factory Log'!$J:$Q,8,0),0)</f>
        <v>0</v>
      </c>
      <c r="AW24" s="58">
        <f>SUMIFS('Factory Log'!$D:$D,'Factory Log'!$B:$B,Performance!AS$1,'Factory Log'!$J:$J,Performance!AS24,'Factory Log'!$C:$C,"Running")+SUMIFS('Factory Log'!$D:$D,'Factory Log'!$B:$B,Performance!AS$1,'Factory Log'!$J:$J,Performance!AS24,'Factory Log'!$C:$C,"Make Ready")+SUMIFS('Factory Log'!$D:$D,'Factory Log'!$B:$B,Performance!AS$1,'Factory Log'!$J:$J,Performance!AS24,'Factory Log'!$C:$C,"Roll Change")</f>
        <v>0</v>
      </c>
      <c r="AX24" s="3">
        <f>SUMIFS('Factory Log'!$M:$M,'Factory Log'!$B:$B,Performance!AS$1,'Factory Log'!$J:$J,Performance!AS24,'Factory Log'!$C:$C,"Running")</f>
        <v>0</v>
      </c>
      <c r="AY24" s="58" cm="1">
        <f t="array" ref="AY24">IFERROR(INDEX('Factory Log'!$S:$S,MATCH(1,(Performance!AS$1='Factory Log'!$B:$B)*(Performance!AS24='Factory Log'!$A:$A),0)),0)</f>
        <v>0</v>
      </c>
      <c r="AZ24" s="3">
        <f>IFERROR(VLOOKUP(AS24,'Factory Log'!$J:$R,9,0),0)</f>
        <v>0</v>
      </c>
      <c r="BA24" s="64">
        <f t="shared" si="8"/>
        <v>0</v>
      </c>
      <c r="BB24" s="58">
        <f t="shared" si="9"/>
        <v>0</v>
      </c>
      <c r="BE24" s="3">
        <f>IFERROR(VLOOKUP(BD24,'Factory Log'!$J:$O,6,0),0)</f>
        <v>0</v>
      </c>
      <c r="BF24" s="3">
        <f>IFERROR(VLOOKUP(BD24,'Factory Log'!$J:$P,7,0),0)</f>
        <v>0</v>
      </c>
      <c r="BG24" s="3">
        <f>IFERROR(VLOOKUP(BD24,'Factory Log'!$J:$Q,8,0),0)</f>
        <v>0</v>
      </c>
      <c r="BH24" s="58">
        <f>SUMIFS('Factory Log'!$D:$D,'Factory Log'!$B:$B,Performance!BD$1,'Factory Log'!$J:$J,Performance!BD24,'Factory Log'!$C:$C,"Running")+SUMIFS('Factory Log'!$D:$D,'Factory Log'!$B:$B,Performance!BD$1,'Factory Log'!$J:$J,Performance!BD24,'Factory Log'!$C:$C,"Make Ready")+SUMIFS('Factory Log'!$D:$D,'Factory Log'!$B:$B,Performance!BD$1,'Factory Log'!$J:$J,Performance!BD24,'Factory Log'!$C:$C,"Roll Change")</f>
        <v>0</v>
      </c>
      <c r="BI24" s="3">
        <f>SUMIFS('Factory Log'!$M:$M,'Factory Log'!$B:$B,Performance!BD$1,'Factory Log'!$J:$J,Performance!BD24,'Factory Log'!$C:$C,"Running")</f>
        <v>0</v>
      </c>
      <c r="BJ24" s="58" cm="1">
        <f t="array" ref="BJ24">IFERROR(INDEX('Factory Log'!$S:$S,MATCH(1,(Performance!BD$1='Factory Log'!$B:$B)*(Performance!BD24='Factory Log'!$A:$A),0)),0)</f>
        <v>0</v>
      </c>
      <c r="BK24" s="3">
        <f>IFERROR(VLOOKUP(BD24,'Factory Log'!$J:$R,9,0),0)</f>
        <v>0</v>
      </c>
      <c r="BL24" s="64">
        <f t="shared" si="10"/>
        <v>0</v>
      </c>
      <c r="BM24" s="58">
        <f t="shared" si="11"/>
        <v>0</v>
      </c>
      <c r="BP24" s="3">
        <f>IFERROR(VLOOKUP(BO24,'Factory Log'!$J:$O,6,0),0)</f>
        <v>0</v>
      </c>
      <c r="BQ24" s="3">
        <f>IFERROR(VLOOKUP(BO24,'Factory Log'!$J:$P,7,0),0)</f>
        <v>0</v>
      </c>
      <c r="BR24" s="3">
        <f>IFERROR(VLOOKUP(BO24,'Factory Log'!$J:$Q,8,0),0)</f>
        <v>0</v>
      </c>
      <c r="BS24" s="58">
        <f>SUMIFS('Factory Log'!$D:$D,'Factory Log'!$B:$B,Performance!BO$1,'Factory Log'!$J:$J,Performance!BO24,'Factory Log'!$C:$C,"Running")+SUMIFS('Factory Log'!$D:$D,'Factory Log'!$B:$B,Performance!BO$1,'Factory Log'!$J:$J,Performance!BO24,'Factory Log'!$C:$C,"Make Ready")+SUMIFS('Factory Log'!$D:$D,'Factory Log'!$B:$B,Performance!BO$1,'Factory Log'!$J:$J,Performance!BO24,'Factory Log'!$C:$C,"Roll Change")</f>
        <v>0</v>
      </c>
      <c r="BT24" s="3">
        <f>SUMIFS('Factory Log'!$M:$M,'Factory Log'!$B:$B,Performance!BO$1,'Factory Log'!$J:$J,Performance!BO24,'Factory Log'!$C:$C,"Running")</f>
        <v>0</v>
      </c>
      <c r="BU24" s="58" cm="1">
        <f t="array" ref="BU24">IFERROR(INDEX('Factory Log'!$S:$S,MATCH(1,(Performance!BO$1='Factory Log'!$B:$B)*(Performance!BO24='Factory Log'!$A:$A),0)),0)</f>
        <v>0</v>
      </c>
      <c r="BV24" s="3">
        <f>IFERROR(VLOOKUP(BO24,'Factory Log'!$J:$R,9,0),0)</f>
        <v>0</v>
      </c>
      <c r="BW24" s="64">
        <f t="shared" si="12"/>
        <v>0</v>
      </c>
      <c r="BX24" s="58">
        <f t="shared" si="13"/>
        <v>0</v>
      </c>
      <c r="CA24" s="3">
        <f>IFERROR(VLOOKUP(BZ24,'Factory Log'!$J:$O,6,0),0)</f>
        <v>0</v>
      </c>
      <c r="CB24" s="3">
        <f>IFERROR(VLOOKUP(BZ24,'Factory Log'!$J:$P,7,0),0)</f>
        <v>0</v>
      </c>
      <c r="CC24" s="3">
        <f>IFERROR(VLOOKUP(BZ24,'Factory Log'!$J:$Q,8,0),0)</f>
        <v>0</v>
      </c>
      <c r="CD24" s="58">
        <f>SUMIFS('Factory Log'!$D:$D,'Factory Log'!$B:$B,Performance!BZ$1,'Factory Log'!$J:$J,Performance!BZ24,'Factory Log'!$C:$C,"Running")+SUMIFS('Factory Log'!$D:$D,'Factory Log'!$B:$B,Performance!BZ$1,'Factory Log'!$J:$J,Performance!BZ24,'Factory Log'!$C:$C,"Make Ready")+SUMIFS('Factory Log'!$D:$D,'Factory Log'!$B:$B,Performance!BZ$1,'Factory Log'!$J:$J,Performance!BZ24,'Factory Log'!$C:$C,"Roll Change")</f>
        <v>0</v>
      </c>
      <c r="CE24" s="3">
        <f>SUMIFS('Factory Log'!$M:$M,'Factory Log'!$B:$B,Performance!BZ$1,'Factory Log'!$J:$J,Performance!BZ24,'Factory Log'!$C:$C,"Running")</f>
        <v>0</v>
      </c>
      <c r="CF24" s="58" cm="1">
        <f t="array" ref="CF24">IFERROR(INDEX('Factory Log'!$S:$S,MATCH(1,(Performance!BZ$1='Factory Log'!$B:$B)*(Performance!BZ24='Factory Log'!$A:$A),0)),0)</f>
        <v>0</v>
      </c>
      <c r="CG24" s="3">
        <f>IFERROR(VLOOKUP(BZ24,'Factory Log'!$J:$R,9,0),0)</f>
        <v>0</v>
      </c>
      <c r="CH24" s="64">
        <f t="shared" si="14"/>
        <v>0</v>
      </c>
      <c r="CI24" s="58">
        <f t="shared" si="15"/>
        <v>0</v>
      </c>
      <c r="CL24" s="3">
        <f>IFERROR(VLOOKUP(CK24,'Factory Log'!$J:$O,6,0),0)</f>
        <v>0</v>
      </c>
      <c r="CM24" s="3">
        <f>IFERROR(VLOOKUP(CK24,'Factory Log'!$J:$P,7,0),0)</f>
        <v>0</v>
      </c>
      <c r="CN24" s="3">
        <f>IFERROR(VLOOKUP(CK24,'Factory Log'!$J:$Q,8,0),0)</f>
        <v>0</v>
      </c>
      <c r="CO24" s="58">
        <f>SUMIFS('Factory Log'!$D:$D,'Factory Log'!$B:$B,Performance!CK$1,'Factory Log'!$J:$J,Performance!CK24,'Factory Log'!$C:$C,"Running")+SUMIFS('Factory Log'!$D:$D,'Factory Log'!$B:$B,Performance!CK$1,'Factory Log'!$J:$J,Performance!CK24,'Factory Log'!$C:$C,"Make Ready")+SUMIFS('Factory Log'!$D:$D,'Factory Log'!$B:$B,Performance!CK$1,'Factory Log'!$J:$J,Performance!CK24,'Factory Log'!$C:$C,"Roll Change")</f>
        <v>0</v>
      </c>
      <c r="CP24" s="3">
        <f>SUMIFS('Factory Log'!$M:$M,'Factory Log'!$B:$B,Performance!CK$1,'Factory Log'!$J:$J,Performance!CK24,'Factory Log'!$C:$C,"Running")</f>
        <v>0</v>
      </c>
      <c r="CQ24" s="58" cm="1">
        <f t="array" ref="CQ24">IFERROR(INDEX('Factory Log'!$S:$S,MATCH(1,(Performance!CK$1='Factory Log'!$B:$B)*(Performance!CK24='Factory Log'!$A:$A),0)),0)</f>
        <v>0</v>
      </c>
      <c r="CR24" s="3">
        <f>IFERROR(VLOOKUP(CK24,'Factory Log'!$J:$R,9,0),0)</f>
        <v>0</v>
      </c>
      <c r="CS24" s="64">
        <f t="shared" si="16"/>
        <v>0</v>
      </c>
      <c r="CT24" s="58">
        <f t="shared" si="17"/>
        <v>0</v>
      </c>
      <c r="CW24" s="3">
        <f>IFERROR(VLOOKUP(CV24,'Factory Log'!$J:$O,6,0),0)</f>
        <v>0</v>
      </c>
      <c r="CX24" s="3">
        <f>IFERROR(VLOOKUP(CV24,'Factory Log'!$J:$P,7,0),0)</f>
        <v>0</v>
      </c>
      <c r="CY24" s="3">
        <f>IFERROR(VLOOKUP(CV24,'Factory Log'!$J:$Q,8,0),0)</f>
        <v>0</v>
      </c>
      <c r="CZ24" s="58">
        <f>SUMIFS('Factory Log'!$D:$D,'Factory Log'!$B:$B,Performance!CV$1,'Factory Log'!$J:$J,Performance!CV24,'Factory Log'!$C:$C,"Running")+SUMIFS('Factory Log'!$D:$D,'Factory Log'!$B:$B,Performance!CV$1,'Factory Log'!$J:$J,Performance!CV24,'Factory Log'!$C:$C,"Make Ready")+SUMIFS('Factory Log'!$D:$D,'Factory Log'!$B:$B,Performance!CV$1,'Factory Log'!$J:$J,Performance!CV24,'Factory Log'!$C:$C,"Roll Change")</f>
        <v>0</v>
      </c>
      <c r="DA24" s="3">
        <f>SUMIFS('Factory Log'!$M:$M,'Factory Log'!$B:$B,Performance!CV$1,'Factory Log'!$J:$J,Performance!CV24,'Factory Log'!$C:$C,"Running")</f>
        <v>0</v>
      </c>
      <c r="DB24" s="58" cm="1">
        <f t="array" ref="DB24">IFERROR(INDEX('Factory Log'!$S:$S,MATCH(1,(Performance!CV$1='Factory Log'!$B:$B)*(Performance!CV24='Factory Log'!$A:$A),0)),0)</f>
        <v>0</v>
      </c>
      <c r="DC24" s="3">
        <f>IFERROR(VLOOKUP(CV24,'Factory Log'!$J:$R,9,0),0)</f>
        <v>0</v>
      </c>
      <c r="DD24" s="64">
        <f t="shared" si="18"/>
        <v>0</v>
      </c>
      <c r="DE24" s="58">
        <f t="shared" si="19"/>
        <v>0</v>
      </c>
      <c r="DH24" s="3">
        <f>IFERROR(VLOOKUP(DG24,'Factory Log'!$J:$O,6,0),0)</f>
        <v>0</v>
      </c>
      <c r="DI24" s="3">
        <f>IFERROR(VLOOKUP(DG24,'Factory Log'!$J:$P,7,0),0)</f>
        <v>0</v>
      </c>
      <c r="DJ24" s="3">
        <f>IFERROR(VLOOKUP(DG24,'Factory Log'!$J:$Q,8,0),0)</f>
        <v>0</v>
      </c>
      <c r="DK24" s="58">
        <f>SUMIFS('Factory Log'!$D:$D,'Factory Log'!$B:$B,Performance!DG$1,'Factory Log'!$J:$J,Performance!DG24,'Factory Log'!$C:$C,"Running")+SUMIFS('Factory Log'!$D:$D,'Factory Log'!$B:$B,Performance!DG$1,'Factory Log'!$J:$J,Performance!DG24,'Factory Log'!$C:$C,"Make Ready")+SUMIFS('Factory Log'!$D:$D,'Factory Log'!$B:$B,Performance!DG$1,'Factory Log'!$J:$J,Performance!DG24,'Factory Log'!$C:$C,"Roll Change")</f>
        <v>0</v>
      </c>
      <c r="DL24" s="3">
        <f>SUMIFS('Factory Log'!$M:$M,'Factory Log'!$B:$B,Performance!DG$1,'Factory Log'!$J:$J,Performance!DG24,'Factory Log'!$C:$C,"Running")</f>
        <v>0</v>
      </c>
      <c r="DM24" s="58" cm="1">
        <f t="array" ref="DM24">IFERROR(INDEX('Factory Log'!$S:$S,MATCH(1,(Performance!DG$1='Factory Log'!$B:$B)*(Performance!DG24='Factory Log'!$A:$A),0)),0)</f>
        <v>0</v>
      </c>
      <c r="DN24" s="3">
        <f>IFERROR(VLOOKUP(DG24,'Factory Log'!$J:$R,9,0),0)</f>
        <v>0</v>
      </c>
      <c r="DO24" s="64">
        <f t="shared" si="20"/>
        <v>0</v>
      </c>
      <c r="DP24" s="58">
        <f t="shared" si="21"/>
        <v>0</v>
      </c>
      <c r="DS24" s="3">
        <f>IFERROR(VLOOKUP(DR24,'Factory Log'!$J:$O,6,0),0)</f>
        <v>0</v>
      </c>
      <c r="DT24" s="3">
        <f>IFERROR(VLOOKUP(DR24,'Factory Log'!$J:$P,7,0),0)</f>
        <v>0</v>
      </c>
      <c r="DU24" s="3">
        <f>IFERROR(VLOOKUP(DR24,'Factory Log'!$J:$Q,8,0),0)</f>
        <v>0</v>
      </c>
      <c r="DV24" s="58">
        <f>SUMIFS('Factory Log'!$D:$D,'Factory Log'!$B:$B,Performance!DR$1,'Factory Log'!$J:$J,Performance!DR24,'Factory Log'!$C:$C,"Running")+SUMIFS('Factory Log'!$D:$D,'Factory Log'!$B:$B,Performance!DR$1,'Factory Log'!$J:$J,Performance!DR24,'Factory Log'!$C:$C,"Make Ready")+SUMIFS('Factory Log'!$D:$D,'Factory Log'!$B:$B,Performance!DR$1,'Factory Log'!$J:$J,Performance!DR24,'Factory Log'!$C:$C,"Roll Change")</f>
        <v>0</v>
      </c>
      <c r="DW24" s="3">
        <f>SUMIFS('Factory Log'!$M:$M,'Factory Log'!$B:$B,Performance!DR$1,'Factory Log'!$J:$J,Performance!DR24,'Factory Log'!$C:$C,"Running")</f>
        <v>0</v>
      </c>
      <c r="DX24" s="58" cm="1">
        <f t="array" ref="DX24">IFERROR(INDEX('Factory Log'!$S:$S,MATCH(1,(Performance!DR$1='Factory Log'!$B:$B)*(Performance!DR24='Factory Log'!$A:$A),0)),0)</f>
        <v>0</v>
      </c>
      <c r="DY24" s="3">
        <f>IFERROR(VLOOKUP(DR24,'Factory Log'!$J:$R,9,0),0)</f>
        <v>0</v>
      </c>
      <c r="DZ24" s="64">
        <f t="shared" si="22"/>
        <v>0</v>
      </c>
      <c r="EA24" s="58">
        <f t="shared" si="23"/>
        <v>0</v>
      </c>
      <c r="ED24" s="3">
        <f>IFERROR(VLOOKUP(EC24,'Factory Log'!$J:$O,6,0),0)</f>
        <v>0</v>
      </c>
      <c r="EE24" s="3">
        <f>IFERROR(VLOOKUP(EC24,'Factory Log'!$J:$P,7,0),0)</f>
        <v>0</v>
      </c>
      <c r="EF24" s="3">
        <f>IFERROR(VLOOKUP(EC24,'Factory Log'!$J:$Q,8,0),0)</f>
        <v>0</v>
      </c>
      <c r="EG24" s="58">
        <f>SUMIFS('Factory Log'!$D:$D,'Factory Log'!$B:$B,Performance!EC$1,'Factory Log'!$J:$J,Performance!EC24,'Factory Log'!$C:$C,"Running")+SUMIFS('Factory Log'!$D:$D,'Factory Log'!$B:$B,Performance!EC$1,'Factory Log'!$J:$J,Performance!EC24,'Factory Log'!$C:$C,"Make Ready")+SUMIFS('Factory Log'!$D:$D,'Factory Log'!$B:$B,Performance!EC$1,'Factory Log'!$J:$J,Performance!EC24,'Factory Log'!$C:$C,"Roll Change")</f>
        <v>0</v>
      </c>
      <c r="EH24" s="3">
        <f>SUMIFS('Factory Log'!$M:$M,'Factory Log'!$B:$B,Performance!EC$1,'Factory Log'!$J:$J,Performance!EC24,'Factory Log'!$C:$C,"Running")</f>
        <v>0</v>
      </c>
      <c r="EI24" s="58" cm="1">
        <f t="array" ref="EI24">IFERROR(INDEX('Factory Log'!$S:$S,MATCH(1,(Performance!EC$1='Factory Log'!$B:$B)*(Performance!EC24='Factory Log'!$A:$A),0)),0)</f>
        <v>0</v>
      </c>
      <c r="EJ24" s="3">
        <f>IFERROR(VLOOKUP(EC24,'Factory Log'!$J:$R,9,0),0)</f>
        <v>0</v>
      </c>
      <c r="EK24" s="64">
        <f t="shared" si="24"/>
        <v>0</v>
      </c>
      <c r="EL24" s="58">
        <f t="shared" si="25"/>
        <v>0</v>
      </c>
      <c r="EO24" s="3">
        <f>IFERROR(VLOOKUP(EN24,'Factory Log'!$J:$O,6,0),0)</f>
        <v>0</v>
      </c>
      <c r="EP24" s="3">
        <f>IFERROR(VLOOKUP(EN24,'Factory Log'!$J:$P,7,0),0)</f>
        <v>0</v>
      </c>
      <c r="EQ24" s="3">
        <f>IFERROR(VLOOKUP(EN24,'Factory Log'!$J:$Q,8,0),0)</f>
        <v>0</v>
      </c>
      <c r="ER24" s="58">
        <f>SUMIFS('Factory Log'!$D:$D,'Factory Log'!$B:$B,Performance!EN$1,'Factory Log'!$J:$J,Performance!EN24,'Factory Log'!$C:$C,"Running")+SUMIFS('Factory Log'!$D:$D,'Factory Log'!$B:$B,Performance!EN$1,'Factory Log'!$J:$J,Performance!EN24,'Factory Log'!$C:$C,"Make Ready")+SUMIFS('Factory Log'!$D:$D,'Factory Log'!$B:$B,Performance!EN$1,'Factory Log'!$J:$J,Performance!EN24,'Factory Log'!$C:$C,"Roll Change")</f>
        <v>0</v>
      </c>
      <c r="ES24" s="3">
        <f>SUMIFS('Factory Log'!$M:$M,'Factory Log'!$B:$B,Performance!EN$1,'Factory Log'!$J:$J,Performance!EN24,'Factory Log'!$C:$C,"Running")</f>
        <v>0</v>
      </c>
      <c r="ET24" s="58" cm="1">
        <f t="array" ref="ET24">IFERROR(INDEX('Factory Log'!$S:$S,MATCH(1,(Performance!EN$1='Factory Log'!$B:$B)*(Performance!EN24='Factory Log'!$A:$A),0)),0)</f>
        <v>0</v>
      </c>
      <c r="EU24" s="3">
        <f>IFERROR(VLOOKUP(EN24,'Factory Log'!$J:$R,9,0),0)</f>
        <v>0</v>
      </c>
      <c r="EV24" s="64">
        <f t="shared" si="26"/>
        <v>0</v>
      </c>
      <c r="EW24" s="58">
        <f t="shared" si="27"/>
        <v>0</v>
      </c>
      <c r="EZ24" s="3">
        <f>IFERROR(VLOOKUP(EY24,'Factory Log'!$J:$O,6,0),0)</f>
        <v>0</v>
      </c>
      <c r="FA24" s="3">
        <f>IFERROR(VLOOKUP(EY24,'Factory Log'!$J:$P,7,0),0)</f>
        <v>0</v>
      </c>
      <c r="FB24" s="3">
        <f>IFERROR(VLOOKUP(EY24,'Factory Log'!$J:$Q,8,0),0)</f>
        <v>0</v>
      </c>
      <c r="FC24" s="58">
        <f>SUMIFS('Factory Log'!$D:$D,'Factory Log'!$B:$B,Performance!EY$1,'Factory Log'!$J:$J,Performance!EY24,'Factory Log'!$C:$C,"Running")+SUMIFS('Factory Log'!$D:$D,'Factory Log'!$B:$B,Performance!EY$1,'Factory Log'!$J:$J,Performance!EY24,'Factory Log'!$C:$C,"Make Ready")+SUMIFS('Factory Log'!$D:$D,'Factory Log'!$B:$B,Performance!EY$1,'Factory Log'!$J:$J,Performance!EY24,'Factory Log'!$C:$C,"Roll Change")</f>
        <v>0</v>
      </c>
      <c r="FD24" s="3">
        <f>SUMIFS('Factory Log'!$M:$M,'Factory Log'!$B:$B,Performance!EY$1,'Factory Log'!$J:$J,Performance!EY24,'Factory Log'!$C:$C,"Running")</f>
        <v>0</v>
      </c>
      <c r="FE24" s="58" cm="1">
        <f t="array" ref="FE24">IFERROR(INDEX('Factory Log'!$S:$S,MATCH(1,(Performance!EY$1='Factory Log'!$B:$B)*(Performance!EY24='Factory Log'!$A:$A),0)),0)</f>
        <v>0</v>
      </c>
      <c r="FF24" s="3">
        <f>IFERROR(VLOOKUP(EY24,'Factory Log'!$J:$R,9,0),0)</f>
        <v>0</v>
      </c>
      <c r="FG24" s="64">
        <f t="shared" si="28"/>
        <v>0</v>
      </c>
      <c r="FH24" s="58">
        <f t="shared" si="29"/>
        <v>0</v>
      </c>
    </row>
    <row r="25" spans="2:164" ht="16" customHeight="1" x14ac:dyDescent="0.2">
      <c r="B25" s="3">
        <f>IFERROR(VLOOKUP(A25,'Factory Log'!$J:$O,6,0),0)</f>
        <v>0</v>
      </c>
      <c r="C25" s="3">
        <f>IFERROR(VLOOKUP(A25,'Factory Log'!$J:$P,7,0),0)</f>
        <v>0</v>
      </c>
      <c r="D25" s="3">
        <f>IFERROR(VLOOKUP(A25,'Factory Log'!$J:$Q,8,0),0)</f>
        <v>0</v>
      </c>
      <c r="E25" s="58">
        <f>SUMIFS('Factory Log'!$D:$D,'Factory Log'!$B:$B,Performance!A$1,'Factory Log'!$J:$J,Performance!A25,'Factory Log'!$C:$C,"Running")+SUMIFS('Factory Log'!$D:$D,'Factory Log'!$B:$B,Performance!A$1,'Factory Log'!$J:$J,Performance!A25,'Factory Log'!$C:$C,"Make Ready")+SUMIFS('Factory Log'!$D:$D,'Factory Log'!$B:$B,Performance!A$1,'Factory Log'!$J:$J,Performance!A25,'Factory Log'!$C:$C,"Roll Change")</f>
        <v>0</v>
      </c>
      <c r="F25" s="3">
        <f>SUMIFS('Factory Log'!$M:$M,'Factory Log'!$B:$B,Performance!A$1,'Factory Log'!$J:$J,Performance!A25,'Factory Log'!$C:$C,"Running")</f>
        <v>0</v>
      </c>
      <c r="G25" s="58" cm="1">
        <f t="array" ref="G25">IFERROR(INDEX('Factory Log'!$S:$S,MATCH(1,(Performance!A$1='Factory Log'!$B:$B)*(Performance!A25='Factory Log'!$A:$A),0)),0)</f>
        <v>0</v>
      </c>
      <c r="H25" s="3">
        <f>IFERROR(VLOOKUP(A25,'Factory Log'!$J:$R,9,0),0)</f>
        <v>0</v>
      </c>
      <c r="I25" s="64">
        <f t="shared" si="1"/>
        <v>0</v>
      </c>
      <c r="J25" s="58">
        <f t="shared" si="30"/>
        <v>0</v>
      </c>
      <c r="M25" s="3">
        <f>IFERROR(VLOOKUP(L25,'Factory Log'!$J:$O,6,0),0)</f>
        <v>0</v>
      </c>
      <c r="N25" s="3">
        <f>IFERROR(VLOOKUP(L25,'Factory Log'!$J:$P,7,0),0)</f>
        <v>0</v>
      </c>
      <c r="O25" s="3">
        <f>IFERROR(VLOOKUP(L25,'Factory Log'!$J:$Q,8,0),0)</f>
        <v>0</v>
      </c>
      <c r="P25" s="58">
        <f>SUMIFS('Factory Log'!$D:$D,'Factory Log'!$B:$B,Performance!L$1,'Factory Log'!$J:$J,Performance!L25,'Factory Log'!$C:$C,"Running")+SUMIFS('Factory Log'!$D:$D,'Factory Log'!$B:$B,Performance!L$1,'Factory Log'!$J:$J,Performance!L25,'Factory Log'!$C:$C,"Make Ready")+SUMIFS('Factory Log'!$D:$D,'Factory Log'!$B:$B,Performance!L$1,'Factory Log'!$J:$J,Performance!L25,'Factory Log'!$C:$C,"Roll Change")</f>
        <v>0</v>
      </c>
      <c r="Q25" s="3">
        <f>SUMIFS('Factory Log'!$M:$M,'Factory Log'!$B:$B,Performance!L$1,'Factory Log'!$J:$J,Performance!L25,'Factory Log'!$C:$C,"Running")</f>
        <v>0</v>
      </c>
      <c r="R25" s="58" cm="1">
        <f t="array" ref="R25">IFERROR(INDEX('Factory Log'!$S:$S,MATCH(1,(Performance!L$1='Factory Log'!$B:$B)*(Performance!L25='Factory Log'!$A:$A),0)),0)</f>
        <v>0</v>
      </c>
      <c r="S25" s="3">
        <f>IFERROR(VLOOKUP(L25,'Factory Log'!$J:$R,9,0),0)</f>
        <v>0</v>
      </c>
      <c r="T25" s="64">
        <f t="shared" si="2"/>
        <v>0</v>
      </c>
      <c r="U25" s="58">
        <f t="shared" si="31"/>
        <v>0</v>
      </c>
      <c r="X25" s="3">
        <f>IFERROR(VLOOKUP(W25,'Factory Log'!$J:$O,6,0),0)</f>
        <v>0</v>
      </c>
      <c r="Y25" s="3">
        <f>IFERROR(VLOOKUP(W25,'Factory Log'!$J:$P,7,0),0)</f>
        <v>0</v>
      </c>
      <c r="Z25" s="3">
        <f>IFERROR(VLOOKUP(W25,'Factory Log'!$J:$Q,8,0),0)</f>
        <v>0</v>
      </c>
      <c r="AA25" s="58">
        <f>SUMIFS('Factory Log'!$D:$D,'Factory Log'!$B:$B,Performance!W$1,'Factory Log'!$J:$J,Performance!W25,'Factory Log'!$C:$C,"Running")+SUMIFS('Factory Log'!$D:$D,'Factory Log'!$B:$B,Performance!W$1,'Factory Log'!$J:$J,Performance!W25,'Factory Log'!$C:$C,"Make Ready")+SUMIFS('Factory Log'!$D:$D,'Factory Log'!$B:$B,Performance!W$1,'Factory Log'!$J:$J,Performance!W25,'Factory Log'!$C:$C,"Roll Change")</f>
        <v>0</v>
      </c>
      <c r="AB25" s="3">
        <f>SUMIFS('Factory Log'!$M:$M,'Factory Log'!$B:$B,Performance!W$1,'Factory Log'!$J:$J,Performance!W25,'Factory Log'!$C:$C,"Running")</f>
        <v>0</v>
      </c>
      <c r="AC25" s="58" cm="1">
        <f t="array" ref="AC25">IFERROR(INDEX('Factory Log'!$S:$S,MATCH(1,(Performance!W$1='Factory Log'!$B:$B)*(Performance!W25='Factory Log'!$A:$A),0)),0)</f>
        <v>0</v>
      </c>
      <c r="AD25" s="3">
        <f>IFERROR(VLOOKUP(W25,'Factory Log'!$J:$R,9,0),0)</f>
        <v>0</v>
      </c>
      <c r="AE25" s="64">
        <f t="shared" si="4"/>
        <v>0</v>
      </c>
      <c r="AF25" s="58">
        <f t="shared" si="32"/>
        <v>0</v>
      </c>
      <c r="AI25" s="3">
        <f>IFERROR(VLOOKUP(AH25,'Factory Log'!$J:$O,6,0),0)</f>
        <v>0</v>
      </c>
      <c r="AJ25" s="3">
        <f>IFERROR(VLOOKUP(AH25,'Factory Log'!$J:$P,7,0),0)</f>
        <v>0</v>
      </c>
      <c r="AK25" s="3">
        <f>IFERROR(VLOOKUP(AH25,'Factory Log'!$J:$Q,8,0),0)</f>
        <v>0</v>
      </c>
      <c r="AL25" s="58">
        <f>SUMIFS('Factory Log'!$D:$D,'Factory Log'!$B:$B,Performance!AH$1,'Factory Log'!$J:$J,Performance!AH25,'Factory Log'!$C:$C,"Running")+SUMIFS('Factory Log'!$D:$D,'Factory Log'!$B:$B,Performance!AH$1,'Factory Log'!$J:$J,Performance!AH25,'Factory Log'!$C:$C,"Make Ready")+SUMIFS('Factory Log'!$D:$D,'Factory Log'!$B:$B,Performance!AH$1,'Factory Log'!$J:$J,Performance!AH25,'Factory Log'!$C:$C,"Roll Change")</f>
        <v>0</v>
      </c>
      <c r="AM25" s="3">
        <f>SUMIFS('Factory Log'!$M:$M,'Factory Log'!$B:$B,Performance!AH$1,'Factory Log'!$J:$J,Performance!AH25,'Factory Log'!$C:$C,"Running")</f>
        <v>0</v>
      </c>
      <c r="AN25" s="58" cm="1">
        <f t="array" ref="AN25">IFERROR(INDEX('Factory Log'!$S:$S,MATCH(1,(Performance!AH$1='Factory Log'!$B:$B)*(Performance!AH25='Factory Log'!$A:$A),0)),0)</f>
        <v>0</v>
      </c>
      <c r="AO25" s="3">
        <f>IFERROR(VLOOKUP(AH25,'Factory Log'!$J:$R,9,0),0)</f>
        <v>0</v>
      </c>
      <c r="AP25" s="64">
        <f t="shared" si="6"/>
        <v>0</v>
      </c>
      <c r="AQ25" s="58">
        <f t="shared" si="7"/>
        <v>0</v>
      </c>
      <c r="AT25" s="3">
        <f>IFERROR(VLOOKUP(AS25,'Factory Log'!$J:$O,6,0),0)</f>
        <v>0</v>
      </c>
      <c r="AU25" s="3">
        <f>IFERROR(VLOOKUP(AS25,'Factory Log'!$J:$P,7,0),0)</f>
        <v>0</v>
      </c>
      <c r="AV25" s="3">
        <f>IFERROR(VLOOKUP(AS25,'Factory Log'!$J:$Q,8,0),0)</f>
        <v>0</v>
      </c>
      <c r="AW25" s="58">
        <f>SUMIFS('Factory Log'!$D:$D,'Factory Log'!$B:$B,Performance!AS$1,'Factory Log'!$J:$J,Performance!AS25,'Factory Log'!$C:$C,"Running")+SUMIFS('Factory Log'!$D:$D,'Factory Log'!$B:$B,Performance!AS$1,'Factory Log'!$J:$J,Performance!AS25,'Factory Log'!$C:$C,"Make Ready")+SUMIFS('Factory Log'!$D:$D,'Factory Log'!$B:$B,Performance!AS$1,'Factory Log'!$J:$J,Performance!AS25,'Factory Log'!$C:$C,"Roll Change")</f>
        <v>0</v>
      </c>
      <c r="AX25" s="3">
        <f>SUMIFS('Factory Log'!$M:$M,'Factory Log'!$B:$B,Performance!AS$1,'Factory Log'!$J:$J,Performance!AS25,'Factory Log'!$C:$C,"Running")</f>
        <v>0</v>
      </c>
      <c r="AY25" s="58" cm="1">
        <f t="array" ref="AY25">IFERROR(INDEX('Factory Log'!$S:$S,MATCH(1,(Performance!AS$1='Factory Log'!$B:$B)*(Performance!AS25='Factory Log'!$A:$A),0)),0)</f>
        <v>0</v>
      </c>
      <c r="AZ25" s="3">
        <f>IFERROR(VLOOKUP(AS25,'Factory Log'!$J:$R,9,0),0)</f>
        <v>0</v>
      </c>
      <c r="BA25" s="64">
        <f t="shared" si="8"/>
        <v>0</v>
      </c>
      <c r="BB25" s="58">
        <f t="shared" si="9"/>
        <v>0</v>
      </c>
      <c r="BE25" s="3">
        <f>IFERROR(VLOOKUP(BD25,'Factory Log'!$J:$O,6,0),0)</f>
        <v>0</v>
      </c>
      <c r="BF25" s="3">
        <f>IFERROR(VLOOKUP(BD25,'Factory Log'!$J:$P,7,0),0)</f>
        <v>0</v>
      </c>
      <c r="BG25" s="3">
        <f>IFERROR(VLOOKUP(BD25,'Factory Log'!$J:$Q,8,0),0)</f>
        <v>0</v>
      </c>
      <c r="BH25" s="58">
        <f>SUMIFS('Factory Log'!$D:$D,'Factory Log'!$B:$B,Performance!BD$1,'Factory Log'!$J:$J,Performance!BD25,'Factory Log'!$C:$C,"Running")+SUMIFS('Factory Log'!$D:$D,'Factory Log'!$B:$B,Performance!BD$1,'Factory Log'!$J:$J,Performance!BD25,'Factory Log'!$C:$C,"Make Ready")+SUMIFS('Factory Log'!$D:$D,'Factory Log'!$B:$B,Performance!BD$1,'Factory Log'!$J:$J,Performance!BD25,'Factory Log'!$C:$C,"Roll Change")</f>
        <v>0</v>
      </c>
      <c r="BI25" s="3">
        <f>SUMIFS('Factory Log'!$M:$M,'Factory Log'!$B:$B,Performance!BD$1,'Factory Log'!$J:$J,Performance!BD25,'Factory Log'!$C:$C,"Running")</f>
        <v>0</v>
      </c>
      <c r="BJ25" s="58" cm="1">
        <f t="array" ref="BJ25">IFERROR(INDEX('Factory Log'!$S:$S,MATCH(1,(Performance!BD$1='Factory Log'!$B:$B)*(Performance!BD25='Factory Log'!$A:$A),0)),0)</f>
        <v>0</v>
      </c>
      <c r="BK25" s="3">
        <f>IFERROR(VLOOKUP(BD25,'Factory Log'!$J:$R,9,0),0)</f>
        <v>0</v>
      </c>
      <c r="BL25" s="64">
        <f t="shared" si="10"/>
        <v>0</v>
      </c>
      <c r="BM25" s="58">
        <f t="shared" si="11"/>
        <v>0</v>
      </c>
      <c r="BP25" s="3">
        <f>IFERROR(VLOOKUP(BO25,'Factory Log'!$J:$O,6,0),0)</f>
        <v>0</v>
      </c>
      <c r="BQ25" s="3">
        <f>IFERROR(VLOOKUP(BO25,'Factory Log'!$J:$P,7,0),0)</f>
        <v>0</v>
      </c>
      <c r="BR25" s="3">
        <f>IFERROR(VLOOKUP(BO25,'Factory Log'!$J:$Q,8,0),0)</f>
        <v>0</v>
      </c>
      <c r="BS25" s="58">
        <f>SUMIFS('Factory Log'!$D:$D,'Factory Log'!$B:$B,Performance!BO$1,'Factory Log'!$J:$J,Performance!BO25,'Factory Log'!$C:$C,"Running")+SUMIFS('Factory Log'!$D:$D,'Factory Log'!$B:$B,Performance!BO$1,'Factory Log'!$J:$J,Performance!BO25,'Factory Log'!$C:$C,"Make Ready")+SUMIFS('Factory Log'!$D:$D,'Factory Log'!$B:$B,Performance!BO$1,'Factory Log'!$J:$J,Performance!BO25,'Factory Log'!$C:$C,"Roll Change")</f>
        <v>0</v>
      </c>
      <c r="BT25" s="3">
        <f>SUMIFS('Factory Log'!$M:$M,'Factory Log'!$B:$B,Performance!BO$1,'Factory Log'!$J:$J,Performance!BO25,'Factory Log'!$C:$C,"Running")</f>
        <v>0</v>
      </c>
      <c r="BU25" s="58" cm="1">
        <f t="array" ref="BU25">IFERROR(INDEX('Factory Log'!$S:$S,MATCH(1,(Performance!BO$1='Factory Log'!$B:$B)*(Performance!BO25='Factory Log'!$A:$A),0)),0)</f>
        <v>0</v>
      </c>
      <c r="BV25" s="3">
        <f>IFERROR(VLOOKUP(BO25,'Factory Log'!$J:$R,9,0),0)</f>
        <v>0</v>
      </c>
      <c r="BW25" s="64">
        <f t="shared" si="12"/>
        <v>0</v>
      </c>
      <c r="BX25" s="58">
        <f t="shared" si="13"/>
        <v>0</v>
      </c>
      <c r="CA25" s="3">
        <f>IFERROR(VLOOKUP(BZ25,'Factory Log'!$J:$O,6,0),0)</f>
        <v>0</v>
      </c>
      <c r="CB25" s="3">
        <f>IFERROR(VLOOKUP(BZ25,'Factory Log'!$J:$P,7,0),0)</f>
        <v>0</v>
      </c>
      <c r="CC25" s="3">
        <f>IFERROR(VLOOKUP(BZ25,'Factory Log'!$J:$Q,8,0),0)</f>
        <v>0</v>
      </c>
      <c r="CD25" s="58">
        <f>SUMIFS('Factory Log'!$D:$D,'Factory Log'!$B:$B,Performance!BZ$1,'Factory Log'!$J:$J,Performance!BZ25,'Factory Log'!$C:$C,"Running")+SUMIFS('Factory Log'!$D:$D,'Factory Log'!$B:$B,Performance!BZ$1,'Factory Log'!$J:$J,Performance!BZ25,'Factory Log'!$C:$C,"Make Ready")+SUMIFS('Factory Log'!$D:$D,'Factory Log'!$B:$B,Performance!BZ$1,'Factory Log'!$J:$J,Performance!BZ25,'Factory Log'!$C:$C,"Roll Change")</f>
        <v>0</v>
      </c>
      <c r="CE25" s="3">
        <f>SUMIFS('Factory Log'!$M:$M,'Factory Log'!$B:$B,Performance!BZ$1,'Factory Log'!$J:$J,Performance!BZ25,'Factory Log'!$C:$C,"Running")</f>
        <v>0</v>
      </c>
      <c r="CF25" s="58" cm="1">
        <f t="array" ref="CF25">IFERROR(INDEX('Factory Log'!$S:$S,MATCH(1,(Performance!BZ$1='Factory Log'!$B:$B)*(Performance!BZ25='Factory Log'!$A:$A),0)),0)</f>
        <v>0</v>
      </c>
      <c r="CG25" s="3">
        <f>IFERROR(VLOOKUP(BZ25,'Factory Log'!$J:$R,9,0),0)</f>
        <v>0</v>
      </c>
      <c r="CH25" s="64">
        <f t="shared" si="14"/>
        <v>0</v>
      </c>
      <c r="CI25" s="58">
        <f t="shared" si="15"/>
        <v>0</v>
      </c>
      <c r="CL25" s="3">
        <f>IFERROR(VLOOKUP(CK25,'Factory Log'!$J:$O,6,0),0)</f>
        <v>0</v>
      </c>
      <c r="CM25" s="3">
        <f>IFERROR(VLOOKUP(CK25,'Factory Log'!$J:$P,7,0),0)</f>
        <v>0</v>
      </c>
      <c r="CN25" s="3">
        <f>IFERROR(VLOOKUP(CK25,'Factory Log'!$J:$Q,8,0),0)</f>
        <v>0</v>
      </c>
      <c r="CO25" s="58">
        <f>SUMIFS('Factory Log'!$D:$D,'Factory Log'!$B:$B,Performance!CK$1,'Factory Log'!$J:$J,Performance!CK25,'Factory Log'!$C:$C,"Running")+SUMIFS('Factory Log'!$D:$D,'Factory Log'!$B:$B,Performance!CK$1,'Factory Log'!$J:$J,Performance!CK25,'Factory Log'!$C:$C,"Make Ready")+SUMIFS('Factory Log'!$D:$D,'Factory Log'!$B:$B,Performance!CK$1,'Factory Log'!$J:$J,Performance!CK25,'Factory Log'!$C:$C,"Roll Change")</f>
        <v>0</v>
      </c>
      <c r="CP25" s="3">
        <f>SUMIFS('Factory Log'!$M:$M,'Factory Log'!$B:$B,Performance!CK$1,'Factory Log'!$J:$J,Performance!CK25,'Factory Log'!$C:$C,"Running")</f>
        <v>0</v>
      </c>
      <c r="CQ25" s="58" cm="1">
        <f t="array" ref="CQ25">IFERROR(INDEX('Factory Log'!$S:$S,MATCH(1,(Performance!CK$1='Factory Log'!$B:$B)*(Performance!CK25='Factory Log'!$A:$A),0)),0)</f>
        <v>0</v>
      </c>
      <c r="CR25" s="3">
        <f>IFERROR(VLOOKUP(CK25,'Factory Log'!$J:$R,9,0),0)</f>
        <v>0</v>
      </c>
      <c r="CS25" s="64">
        <f t="shared" si="16"/>
        <v>0</v>
      </c>
      <c r="CT25" s="58">
        <f t="shared" si="17"/>
        <v>0</v>
      </c>
      <c r="CW25" s="3">
        <f>IFERROR(VLOOKUP(CV25,'Factory Log'!$J:$O,6,0),0)</f>
        <v>0</v>
      </c>
      <c r="CX25" s="3">
        <f>IFERROR(VLOOKUP(CV25,'Factory Log'!$J:$P,7,0),0)</f>
        <v>0</v>
      </c>
      <c r="CY25" s="3">
        <f>IFERROR(VLOOKUP(CV25,'Factory Log'!$J:$Q,8,0),0)</f>
        <v>0</v>
      </c>
      <c r="CZ25" s="58">
        <f>SUMIFS('Factory Log'!$D:$D,'Factory Log'!$B:$B,Performance!CV$1,'Factory Log'!$J:$J,Performance!CV25,'Factory Log'!$C:$C,"Running")+SUMIFS('Factory Log'!$D:$D,'Factory Log'!$B:$B,Performance!CV$1,'Factory Log'!$J:$J,Performance!CV25,'Factory Log'!$C:$C,"Make Ready")+SUMIFS('Factory Log'!$D:$D,'Factory Log'!$B:$B,Performance!CV$1,'Factory Log'!$J:$J,Performance!CV25,'Factory Log'!$C:$C,"Roll Change")</f>
        <v>0</v>
      </c>
      <c r="DA25" s="3">
        <f>SUMIFS('Factory Log'!$M:$M,'Factory Log'!$B:$B,Performance!CV$1,'Factory Log'!$J:$J,Performance!CV25,'Factory Log'!$C:$C,"Running")</f>
        <v>0</v>
      </c>
      <c r="DB25" s="58" cm="1">
        <f t="array" ref="DB25">IFERROR(INDEX('Factory Log'!$S:$S,MATCH(1,(Performance!CV$1='Factory Log'!$B:$B)*(Performance!CV25='Factory Log'!$A:$A),0)),0)</f>
        <v>0</v>
      </c>
      <c r="DC25" s="3">
        <f>IFERROR(VLOOKUP(CV25,'Factory Log'!$J:$R,9,0),0)</f>
        <v>0</v>
      </c>
      <c r="DD25" s="64">
        <f t="shared" si="18"/>
        <v>0</v>
      </c>
      <c r="DE25" s="58">
        <f t="shared" si="19"/>
        <v>0</v>
      </c>
      <c r="DH25" s="3">
        <f>IFERROR(VLOOKUP(DG25,'Factory Log'!$J:$O,6,0),0)</f>
        <v>0</v>
      </c>
      <c r="DI25" s="3">
        <f>IFERROR(VLOOKUP(DG25,'Factory Log'!$J:$P,7,0),0)</f>
        <v>0</v>
      </c>
      <c r="DJ25" s="3">
        <f>IFERROR(VLOOKUP(DG25,'Factory Log'!$J:$Q,8,0),0)</f>
        <v>0</v>
      </c>
      <c r="DK25" s="58">
        <f>SUMIFS('Factory Log'!$D:$D,'Factory Log'!$B:$B,Performance!DG$1,'Factory Log'!$J:$J,Performance!DG25,'Factory Log'!$C:$C,"Running")+SUMIFS('Factory Log'!$D:$D,'Factory Log'!$B:$B,Performance!DG$1,'Factory Log'!$J:$J,Performance!DG25,'Factory Log'!$C:$C,"Make Ready")+SUMIFS('Factory Log'!$D:$D,'Factory Log'!$B:$B,Performance!DG$1,'Factory Log'!$J:$J,Performance!DG25,'Factory Log'!$C:$C,"Roll Change")</f>
        <v>0</v>
      </c>
      <c r="DL25" s="3">
        <f>SUMIFS('Factory Log'!$M:$M,'Factory Log'!$B:$B,Performance!DG$1,'Factory Log'!$J:$J,Performance!DG25,'Factory Log'!$C:$C,"Running")</f>
        <v>0</v>
      </c>
      <c r="DM25" s="58" cm="1">
        <f t="array" ref="DM25">IFERROR(INDEX('Factory Log'!$S:$S,MATCH(1,(Performance!DG$1='Factory Log'!$B:$B)*(Performance!DG25='Factory Log'!$A:$A),0)),0)</f>
        <v>0</v>
      </c>
      <c r="DN25" s="3">
        <f>IFERROR(VLOOKUP(DG25,'Factory Log'!$J:$R,9,0),0)</f>
        <v>0</v>
      </c>
      <c r="DO25" s="64">
        <f t="shared" si="20"/>
        <v>0</v>
      </c>
      <c r="DP25" s="58">
        <f t="shared" si="21"/>
        <v>0</v>
      </c>
      <c r="DS25" s="3">
        <f>IFERROR(VLOOKUP(DR25,'Factory Log'!$J:$O,6,0),0)</f>
        <v>0</v>
      </c>
      <c r="DT25" s="3">
        <f>IFERROR(VLOOKUP(DR25,'Factory Log'!$J:$P,7,0),0)</f>
        <v>0</v>
      </c>
      <c r="DU25" s="3">
        <f>IFERROR(VLOOKUP(DR25,'Factory Log'!$J:$Q,8,0),0)</f>
        <v>0</v>
      </c>
      <c r="DV25" s="58">
        <f>SUMIFS('Factory Log'!$D:$D,'Factory Log'!$B:$B,Performance!DR$1,'Factory Log'!$J:$J,Performance!DR25,'Factory Log'!$C:$C,"Running")+SUMIFS('Factory Log'!$D:$D,'Factory Log'!$B:$B,Performance!DR$1,'Factory Log'!$J:$J,Performance!DR25,'Factory Log'!$C:$C,"Make Ready")+SUMIFS('Factory Log'!$D:$D,'Factory Log'!$B:$B,Performance!DR$1,'Factory Log'!$J:$J,Performance!DR25,'Factory Log'!$C:$C,"Roll Change")</f>
        <v>0</v>
      </c>
      <c r="DW25" s="3">
        <f>SUMIFS('Factory Log'!$M:$M,'Factory Log'!$B:$B,Performance!DR$1,'Factory Log'!$J:$J,Performance!DR25,'Factory Log'!$C:$C,"Running")</f>
        <v>0</v>
      </c>
      <c r="DX25" s="58" cm="1">
        <f t="array" ref="DX25">IFERROR(INDEX('Factory Log'!$S:$S,MATCH(1,(Performance!DR$1='Factory Log'!$B:$B)*(Performance!DR25='Factory Log'!$A:$A),0)),0)</f>
        <v>0</v>
      </c>
      <c r="DY25" s="3">
        <f>IFERROR(VLOOKUP(DR25,'Factory Log'!$J:$R,9,0),0)</f>
        <v>0</v>
      </c>
      <c r="DZ25" s="64">
        <f t="shared" si="22"/>
        <v>0</v>
      </c>
      <c r="EA25" s="58">
        <f t="shared" si="23"/>
        <v>0</v>
      </c>
      <c r="ED25" s="3">
        <f>IFERROR(VLOOKUP(EC25,'Factory Log'!$J:$O,6,0),0)</f>
        <v>0</v>
      </c>
      <c r="EE25" s="3">
        <f>IFERROR(VLOOKUP(EC25,'Factory Log'!$J:$P,7,0),0)</f>
        <v>0</v>
      </c>
      <c r="EF25" s="3">
        <f>IFERROR(VLOOKUP(EC25,'Factory Log'!$J:$Q,8,0),0)</f>
        <v>0</v>
      </c>
      <c r="EG25" s="58">
        <f>SUMIFS('Factory Log'!$D:$D,'Factory Log'!$B:$B,Performance!EC$1,'Factory Log'!$J:$J,Performance!EC25,'Factory Log'!$C:$C,"Running")+SUMIFS('Factory Log'!$D:$D,'Factory Log'!$B:$B,Performance!EC$1,'Factory Log'!$J:$J,Performance!EC25,'Factory Log'!$C:$C,"Make Ready")+SUMIFS('Factory Log'!$D:$D,'Factory Log'!$B:$B,Performance!EC$1,'Factory Log'!$J:$J,Performance!EC25,'Factory Log'!$C:$C,"Roll Change")</f>
        <v>0</v>
      </c>
      <c r="EH25" s="3">
        <f>SUMIFS('Factory Log'!$M:$M,'Factory Log'!$B:$B,Performance!EC$1,'Factory Log'!$J:$J,Performance!EC25,'Factory Log'!$C:$C,"Running")</f>
        <v>0</v>
      </c>
      <c r="EI25" s="58" cm="1">
        <f t="array" ref="EI25">IFERROR(INDEX('Factory Log'!$S:$S,MATCH(1,(Performance!EC$1='Factory Log'!$B:$B)*(Performance!EC25='Factory Log'!$A:$A),0)),0)</f>
        <v>0</v>
      </c>
      <c r="EJ25" s="3">
        <f>IFERROR(VLOOKUP(EC25,'Factory Log'!$J:$R,9,0),0)</f>
        <v>0</v>
      </c>
      <c r="EK25" s="64">
        <f t="shared" si="24"/>
        <v>0</v>
      </c>
      <c r="EL25" s="58">
        <f t="shared" si="25"/>
        <v>0</v>
      </c>
      <c r="EO25" s="3">
        <f>IFERROR(VLOOKUP(EN25,'Factory Log'!$J:$O,6,0),0)</f>
        <v>0</v>
      </c>
      <c r="EP25" s="3">
        <f>IFERROR(VLOOKUP(EN25,'Factory Log'!$J:$P,7,0),0)</f>
        <v>0</v>
      </c>
      <c r="EQ25" s="3">
        <f>IFERROR(VLOOKUP(EN25,'Factory Log'!$J:$Q,8,0),0)</f>
        <v>0</v>
      </c>
      <c r="ER25" s="58">
        <f>SUMIFS('Factory Log'!$D:$D,'Factory Log'!$B:$B,Performance!EN$1,'Factory Log'!$J:$J,Performance!EN25,'Factory Log'!$C:$C,"Running")+SUMIFS('Factory Log'!$D:$D,'Factory Log'!$B:$B,Performance!EN$1,'Factory Log'!$J:$J,Performance!EN25,'Factory Log'!$C:$C,"Make Ready")+SUMIFS('Factory Log'!$D:$D,'Factory Log'!$B:$B,Performance!EN$1,'Factory Log'!$J:$J,Performance!EN25,'Factory Log'!$C:$C,"Roll Change")</f>
        <v>0</v>
      </c>
      <c r="ES25" s="3">
        <f>SUMIFS('Factory Log'!$M:$M,'Factory Log'!$B:$B,Performance!EN$1,'Factory Log'!$J:$J,Performance!EN25,'Factory Log'!$C:$C,"Running")</f>
        <v>0</v>
      </c>
      <c r="ET25" s="58" cm="1">
        <f t="array" ref="ET25">IFERROR(INDEX('Factory Log'!$S:$S,MATCH(1,(Performance!EN$1='Factory Log'!$B:$B)*(Performance!EN25='Factory Log'!$A:$A),0)),0)</f>
        <v>0</v>
      </c>
      <c r="EU25" s="3">
        <f>IFERROR(VLOOKUP(EN25,'Factory Log'!$J:$R,9,0),0)</f>
        <v>0</v>
      </c>
      <c r="EV25" s="64">
        <f t="shared" si="26"/>
        <v>0</v>
      </c>
      <c r="EW25" s="58">
        <f t="shared" si="27"/>
        <v>0</v>
      </c>
      <c r="EZ25" s="3">
        <f>IFERROR(VLOOKUP(EY25,'Factory Log'!$J:$O,6,0),0)</f>
        <v>0</v>
      </c>
      <c r="FA25" s="3">
        <f>IFERROR(VLOOKUP(EY25,'Factory Log'!$J:$P,7,0),0)</f>
        <v>0</v>
      </c>
      <c r="FB25" s="3">
        <f>IFERROR(VLOOKUP(EY25,'Factory Log'!$J:$Q,8,0),0)</f>
        <v>0</v>
      </c>
      <c r="FC25" s="58">
        <f>SUMIFS('Factory Log'!$D:$D,'Factory Log'!$B:$B,Performance!EY$1,'Factory Log'!$J:$J,Performance!EY25,'Factory Log'!$C:$C,"Running")+SUMIFS('Factory Log'!$D:$D,'Factory Log'!$B:$B,Performance!EY$1,'Factory Log'!$J:$J,Performance!EY25,'Factory Log'!$C:$C,"Make Ready")+SUMIFS('Factory Log'!$D:$D,'Factory Log'!$B:$B,Performance!EY$1,'Factory Log'!$J:$J,Performance!EY25,'Factory Log'!$C:$C,"Roll Change")</f>
        <v>0</v>
      </c>
      <c r="FD25" s="3">
        <f>SUMIFS('Factory Log'!$M:$M,'Factory Log'!$B:$B,Performance!EY$1,'Factory Log'!$J:$J,Performance!EY25,'Factory Log'!$C:$C,"Running")</f>
        <v>0</v>
      </c>
      <c r="FE25" s="58" cm="1">
        <f t="array" ref="FE25">IFERROR(INDEX('Factory Log'!$S:$S,MATCH(1,(Performance!EY$1='Factory Log'!$B:$B)*(Performance!EY25='Factory Log'!$A:$A),0)),0)</f>
        <v>0</v>
      </c>
      <c r="FF25" s="3">
        <f>IFERROR(VLOOKUP(EY25,'Factory Log'!$J:$R,9,0),0)</f>
        <v>0</v>
      </c>
      <c r="FG25" s="64">
        <f t="shared" si="28"/>
        <v>0</v>
      </c>
      <c r="FH25" s="58">
        <f t="shared" si="29"/>
        <v>0</v>
      </c>
    </row>
    <row r="26" spans="2:164" ht="16" customHeight="1" x14ac:dyDescent="0.2">
      <c r="B26" s="3">
        <f>IFERROR(VLOOKUP(A26,'Factory Log'!$J:$O,6,0),0)</f>
        <v>0</v>
      </c>
      <c r="C26" s="3">
        <f>IFERROR(VLOOKUP(A26,'Factory Log'!$J:$P,7,0),0)</f>
        <v>0</v>
      </c>
      <c r="D26" s="3">
        <f>IFERROR(VLOOKUP(A26,'Factory Log'!$J:$Q,8,0),0)</f>
        <v>0</v>
      </c>
      <c r="E26" s="58">
        <f>SUMIFS('Factory Log'!$D:$D,'Factory Log'!$B:$B,Performance!A$1,'Factory Log'!$J:$J,Performance!A26,'Factory Log'!$C:$C,"Running")+SUMIFS('Factory Log'!$D:$D,'Factory Log'!$B:$B,Performance!A$1,'Factory Log'!$J:$J,Performance!A26,'Factory Log'!$C:$C,"Make Ready")+SUMIFS('Factory Log'!$D:$D,'Factory Log'!$B:$B,Performance!A$1,'Factory Log'!$J:$J,Performance!A26,'Factory Log'!$C:$C,"Roll Change")</f>
        <v>0</v>
      </c>
      <c r="F26" s="3">
        <f>SUMIFS('Factory Log'!$M:$M,'Factory Log'!$B:$B,Performance!A$1,'Factory Log'!$J:$J,Performance!A26,'Factory Log'!$C:$C,"Running")</f>
        <v>0</v>
      </c>
      <c r="G26" s="58" cm="1">
        <f t="array" ref="G26">IFERROR(INDEX('Factory Log'!$S:$S,MATCH(1,(Performance!A$1='Factory Log'!$B:$B)*(Performance!A26='Factory Log'!$A:$A),0)),0)</f>
        <v>0</v>
      </c>
      <c r="H26" s="3">
        <f>IFERROR(VLOOKUP(A26,'Factory Log'!$J:$R,9,0),0)</f>
        <v>0</v>
      </c>
      <c r="I26" s="64">
        <f t="shared" si="1"/>
        <v>0</v>
      </c>
      <c r="J26" s="58">
        <f t="shared" si="30"/>
        <v>0</v>
      </c>
      <c r="M26" s="3">
        <f>IFERROR(VLOOKUP(L26,'Factory Log'!$J:$O,6,0),0)</f>
        <v>0</v>
      </c>
      <c r="N26" s="3">
        <f>IFERROR(VLOOKUP(L26,'Factory Log'!$J:$P,7,0),0)</f>
        <v>0</v>
      </c>
      <c r="O26" s="3">
        <f>IFERROR(VLOOKUP(L26,'Factory Log'!$J:$Q,8,0),0)</f>
        <v>0</v>
      </c>
      <c r="P26" s="58">
        <f>SUMIFS('Factory Log'!$D:$D,'Factory Log'!$B:$B,Performance!L$1,'Factory Log'!$J:$J,Performance!L26,'Factory Log'!$C:$C,"Running")+SUMIFS('Factory Log'!$D:$D,'Factory Log'!$B:$B,Performance!L$1,'Factory Log'!$J:$J,Performance!L26,'Factory Log'!$C:$C,"Make Ready")+SUMIFS('Factory Log'!$D:$D,'Factory Log'!$B:$B,Performance!L$1,'Factory Log'!$J:$J,Performance!L26,'Factory Log'!$C:$C,"Roll Change")</f>
        <v>0</v>
      </c>
      <c r="Q26" s="3">
        <f>SUMIFS('Factory Log'!$M:$M,'Factory Log'!$B:$B,Performance!L$1,'Factory Log'!$J:$J,Performance!L26,'Factory Log'!$C:$C,"Running")</f>
        <v>0</v>
      </c>
      <c r="R26" s="58" cm="1">
        <f t="array" ref="R26">IFERROR(INDEX('Factory Log'!$S:$S,MATCH(1,(Performance!L$1='Factory Log'!$B:$B)*(Performance!L26='Factory Log'!$A:$A),0)),0)</f>
        <v>0</v>
      </c>
      <c r="S26" s="3">
        <f>IFERROR(VLOOKUP(L26,'Factory Log'!$J:$R,9,0),0)</f>
        <v>0</v>
      </c>
      <c r="T26" s="64">
        <f t="shared" si="2"/>
        <v>0</v>
      </c>
      <c r="U26" s="58">
        <f t="shared" si="31"/>
        <v>0</v>
      </c>
      <c r="X26" s="3">
        <f>IFERROR(VLOOKUP(W26,'Factory Log'!$J:$O,6,0),0)</f>
        <v>0</v>
      </c>
      <c r="Y26" s="3">
        <f>IFERROR(VLOOKUP(W26,'Factory Log'!$J:$P,7,0),0)</f>
        <v>0</v>
      </c>
      <c r="Z26" s="3">
        <f>IFERROR(VLOOKUP(W26,'Factory Log'!$J:$Q,8,0),0)</f>
        <v>0</v>
      </c>
      <c r="AA26" s="58">
        <f>SUMIFS('Factory Log'!$D:$D,'Factory Log'!$B:$B,Performance!W$1,'Factory Log'!$J:$J,Performance!W26,'Factory Log'!$C:$C,"Running")+SUMIFS('Factory Log'!$D:$D,'Factory Log'!$B:$B,Performance!W$1,'Factory Log'!$J:$J,Performance!W26,'Factory Log'!$C:$C,"Make Ready")+SUMIFS('Factory Log'!$D:$D,'Factory Log'!$B:$B,Performance!W$1,'Factory Log'!$J:$J,Performance!W26,'Factory Log'!$C:$C,"Roll Change")</f>
        <v>0</v>
      </c>
      <c r="AB26" s="3">
        <f>SUMIFS('Factory Log'!$M:$M,'Factory Log'!$B:$B,Performance!W$1,'Factory Log'!$J:$J,Performance!W26,'Factory Log'!$C:$C,"Running")</f>
        <v>0</v>
      </c>
      <c r="AC26" s="58" cm="1">
        <f t="array" ref="AC26">IFERROR(INDEX('Factory Log'!$S:$S,MATCH(1,(Performance!W$1='Factory Log'!$B:$B)*(Performance!W26='Factory Log'!$A:$A),0)),0)</f>
        <v>0</v>
      </c>
      <c r="AD26" s="3">
        <f>IFERROR(VLOOKUP(W26,'Factory Log'!$J:$R,9,0),0)</f>
        <v>0</v>
      </c>
      <c r="AE26" s="64">
        <f t="shared" si="4"/>
        <v>0</v>
      </c>
      <c r="AF26" s="58">
        <f t="shared" ref="AF26:AF44" si="33">IFERROR(AC26*AE26,0)</f>
        <v>0</v>
      </c>
      <c r="AI26" s="3">
        <f>IFERROR(VLOOKUP(AH26,'Factory Log'!$J:$O,6,0),0)</f>
        <v>0</v>
      </c>
      <c r="AJ26" s="3">
        <f>IFERROR(VLOOKUP(AH26,'Factory Log'!$J:$P,7,0),0)</f>
        <v>0</v>
      </c>
      <c r="AK26" s="3">
        <f>IFERROR(VLOOKUP(AH26,'Factory Log'!$J:$Q,8,0),0)</f>
        <v>0</v>
      </c>
      <c r="AL26" s="58">
        <f>SUMIFS('Factory Log'!$D:$D,'Factory Log'!$B:$B,Performance!AH$1,'Factory Log'!$J:$J,Performance!AH26,'Factory Log'!$C:$C,"Running")+SUMIFS('Factory Log'!$D:$D,'Factory Log'!$B:$B,Performance!AH$1,'Factory Log'!$J:$J,Performance!AH26,'Factory Log'!$C:$C,"Make Ready")+SUMIFS('Factory Log'!$D:$D,'Factory Log'!$B:$B,Performance!AH$1,'Factory Log'!$J:$J,Performance!AH26,'Factory Log'!$C:$C,"Roll Change")</f>
        <v>0</v>
      </c>
      <c r="AM26" s="3">
        <f>SUMIFS('Factory Log'!$M:$M,'Factory Log'!$B:$B,Performance!AH$1,'Factory Log'!$J:$J,Performance!AH26,'Factory Log'!$C:$C,"Running")</f>
        <v>0</v>
      </c>
      <c r="AN26" s="58" cm="1">
        <f t="array" ref="AN26">IFERROR(INDEX('Factory Log'!$S:$S,MATCH(1,(Performance!AH$1='Factory Log'!$B:$B)*(Performance!AH26='Factory Log'!$A:$A),0)),0)</f>
        <v>0</v>
      </c>
      <c r="AO26" s="3">
        <f>IFERROR(VLOOKUP(AH26,'Factory Log'!$J:$R,9,0),0)</f>
        <v>0</v>
      </c>
      <c r="AP26" s="64">
        <f t="shared" si="6"/>
        <v>0</v>
      </c>
      <c r="AQ26" s="58">
        <f t="shared" si="7"/>
        <v>0</v>
      </c>
      <c r="AT26" s="3">
        <f>IFERROR(VLOOKUP(AS26,'Factory Log'!$J:$O,6,0),0)</f>
        <v>0</v>
      </c>
      <c r="AU26" s="3">
        <f>IFERROR(VLOOKUP(AS26,'Factory Log'!$J:$P,7,0),0)</f>
        <v>0</v>
      </c>
      <c r="AV26" s="3">
        <f>IFERROR(VLOOKUP(AS26,'Factory Log'!$J:$Q,8,0),0)</f>
        <v>0</v>
      </c>
      <c r="AW26" s="58">
        <f>SUMIFS('Factory Log'!$D:$D,'Factory Log'!$B:$B,Performance!AS$1,'Factory Log'!$J:$J,Performance!AS26,'Factory Log'!$C:$C,"Running")+SUMIFS('Factory Log'!$D:$D,'Factory Log'!$B:$B,Performance!AS$1,'Factory Log'!$J:$J,Performance!AS26,'Factory Log'!$C:$C,"Make Ready")+SUMIFS('Factory Log'!$D:$D,'Factory Log'!$B:$B,Performance!AS$1,'Factory Log'!$J:$J,Performance!AS26,'Factory Log'!$C:$C,"Roll Change")</f>
        <v>0</v>
      </c>
      <c r="AX26" s="3">
        <f>SUMIFS('Factory Log'!$M:$M,'Factory Log'!$B:$B,Performance!AS$1,'Factory Log'!$J:$J,Performance!AS26,'Factory Log'!$C:$C,"Running")</f>
        <v>0</v>
      </c>
      <c r="AY26" s="58" cm="1">
        <f t="array" ref="AY26">IFERROR(INDEX('Factory Log'!$S:$S,MATCH(1,(Performance!AS$1='Factory Log'!$B:$B)*(Performance!AS26='Factory Log'!$A:$A),0)),0)</f>
        <v>0</v>
      </c>
      <c r="AZ26" s="3">
        <f>IFERROR(VLOOKUP(AS26,'Factory Log'!$J:$R,9,0),0)</f>
        <v>0</v>
      </c>
      <c r="BA26" s="64">
        <f t="shared" si="8"/>
        <v>0</v>
      </c>
      <c r="BB26" s="58">
        <f t="shared" si="9"/>
        <v>0</v>
      </c>
      <c r="BE26" s="3">
        <f>IFERROR(VLOOKUP(BD26,'Factory Log'!$J:$O,6,0),0)</f>
        <v>0</v>
      </c>
      <c r="BF26" s="3">
        <f>IFERROR(VLOOKUP(BD26,'Factory Log'!$J:$P,7,0),0)</f>
        <v>0</v>
      </c>
      <c r="BG26" s="3">
        <f>IFERROR(VLOOKUP(BD26,'Factory Log'!$J:$Q,8,0),0)</f>
        <v>0</v>
      </c>
      <c r="BH26" s="58">
        <f>SUMIFS('Factory Log'!$D:$D,'Factory Log'!$B:$B,Performance!BD$1,'Factory Log'!$J:$J,Performance!BD26,'Factory Log'!$C:$C,"Running")+SUMIFS('Factory Log'!$D:$D,'Factory Log'!$B:$B,Performance!BD$1,'Factory Log'!$J:$J,Performance!BD26,'Factory Log'!$C:$C,"Make Ready")+SUMIFS('Factory Log'!$D:$D,'Factory Log'!$B:$B,Performance!BD$1,'Factory Log'!$J:$J,Performance!BD26,'Factory Log'!$C:$C,"Roll Change")</f>
        <v>0</v>
      </c>
      <c r="BI26" s="3">
        <f>SUMIFS('Factory Log'!$M:$M,'Factory Log'!$B:$B,Performance!BD$1,'Factory Log'!$J:$J,Performance!BD26,'Factory Log'!$C:$C,"Running")</f>
        <v>0</v>
      </c>
      <c r="BJ26" s="58" cm="1">
        <f t="array" ref="BJ26">IFERROR(INDEX('Factory Log'!$S:$S,MATCH(1,(Performance!BD$1='Factory Log'!$B:$B)*(Performance!BD26='Factory Log'!$A:$A),0)),0)</f>
        <v>0</v>
      </c>
      <c r="BK26" s="3">
        <f>IFERROR(VLOOKUP(BD26,'Factory Log'!$J:$R,9,0),0)</f>
        <v>0</v>
      </c>
      <c r="BL26" s="64">
        <f t="shared" si="10"/>
        <v>0</v>
      </c>
      <c r="BM26" s="58">
        <f t="shared" si="11"/>
        <v>0</v>
      </c>
      <c r="BP26" s="3">
        <f>IFERROR(VLOOKUP(BO26,'Factory Log'!$J:$O,6,0),0)</f>
        <v>0</v>
      </c>
      <c r="BQ26" s="3">
        <f>IFERROR(VLOOKUP(BO26,'Factory Log'!$J:$P,7,0),0)</f>
        <v>0</v>
      </c>
      <c r="BR26" s="3">
        <f>IFERROR(VLOOKUP(BO26,'Factory Log'!$J:$Q,8,0),0)</f>
        <v>0</v>
      </c>
      <c r="BS26" s="58">
        <f>SUMIFS('Factory Log'!$D:$D,'Factory Log'!$B:$B,Performance!BO$1,'Factory Log'!$J:$J,Performance!BO26,'Factory Log'!$C:$C,"Running")+SUMIFS('Factory Log'!$D:$D,'Factory Log'!$B:$B,Performance!BO$1,'Factory Log'!$J:$J,Performance!BO26,'Factory Log'!$C:$C,"Make Ready")+SUMIFS('Factory Log'!$D:$D,'Factory Log'!$B:$B,Performance!BO$1,'Factory Log'!$J:$J,Performance!BO26,'Factory Log'!$C:$C,"Roll Change")</f>
        <v>0</v>
      </c>
      <c r="BT26" s="3">
        <f>SUMIFS('Factory Log'!$M:$M,'Factory Log'!$B:$B,Performance!BO$1,'Factory Log'!$J:$J,Performance!BO26,'Factory Log'!$C:$C,"Running")</f>
        <v>0</v>
      </c>
      <c r="BU26" s="58" cm="1">
        <f t="array" ref="BU26">IFERROR(INDEX('Factory Log'!$S:$S,MATCH(1,(Performance!BO$1='Factory Log'!$B:$B)*(Performance!BO26='Factory Log'!$A:$A),0)),0)</f>
        <v>0</v>
      </c>
      <c r="BV26" s="3">
        <f>IFERROR(VLOOKUP(BO26,'Factory Log'!$J:$R,9,0),0)</f>
        <v>0</v>
      </c>
      <c r="BW26" s="64">
        <f t="shared" si="12"/>
        <v>0</v>
      </c>
      <c r="BX26" s="58">
        <f t="shared" si="13"/>
        <v>0</v>
      </c>
      <c r="CA26" s="3">
        <f>IFERROR(VLOOKUP(BZ26,'Factory Log'!$J:$O,6,0),0)</f>
        <v>0</v>
      </c>
      <c r="CB26" s="3">
        <f>IFERROR(VLOOKUP(BZ26,'Factory Log'!$J:$P,7,0),0)</f>
        <v>0</v>
      </c>
      <c r="CC26" s="3">
        <f>IFERROR(VLOOKUP(BZ26,'Factory Log'!$J:$Q,8,0),0)</f>
        <v>0</v>
      </c>
      <c r="CD26" s="58">
        <f>SUMIFS('Factory Log'!$D:$D,'Factory Log'!$B:$B,Performance!BZ$1,'Factory Log'!$J:$J,Performance!BZ26,'Factory Log'!$C:$C,"Running")+SUMIFS('Factory Log'!$D:$D,'Factory Log'!$B:$B,Performance!BZ$1,'Factory Log'!$J:$J,Performance!BZ26,'Factory Log'!$C:$C,"Make Ready")+SUMIFS('Factory Log'!$D:$D,'Factory Log'!$B:$B,Performance!BZ$1,'Factory Log'!$J:$J,Performance!BZ26,'Factory Log'!$C:$C,"Roll Change")</f>
        <v>0</v>
      </c>
      <c r="CE26" s="3">
        <f>SUMIFS('Factory Log'!$M:$M,'Factory Log'!$B:$B,Performance!BZ$1,'Factory Log'!$J:$J,Performance!BZ26,'Factory Log'!$C:$C,"Running")</f>
        <v>0</v>
      </c>
      <c r="CF26" s="58" cm="1">
        <f t="array" ref="CF26">IFERROR(INDEX('Factory Log'!$S:$S,MATCH(1,(Performance!BZ$1='Factory Log'!$B:$B)*(Performance!BZ26='Factory Log'!$A:$A),0)),0)</f>
        <v>0</v>
      </c>
      <c r="CG26" s="3">
        <f>IFERROR(VLOOKUP(BZ26,'Factory Log'!$J:$R,9,0),0)</f>
        <v>0</v>
      </c>
      <c r="CH26" s="64">
        <f t="shared" si="14"/>
        <v>0</v>
      </c>
      <c r="CI26" s="58">
        <f t="shared" si="15"/>
        <v>0</v>
      </c>
      <c r="CL26" s="3">
        <f>IFERROR(VLOOKUP(CK26,'Factory Log'!$J:$O,6,0),0)</f>
        <v>0</v>
      </c>
      <c r="CM26" s="3">
        <f>IFERROR(VLOOKUP(CK26,'Factory Log'!$J:$P,7,0),0)</f>
        <v>0</v>
      </c>
      <c r="CN26" s="3">
        <f>IFERROR(VLOOKUP(CK26,'Factory Log'!$J:$Q,8,0),0)</f>
        <v>0</v>
      </c>
      <c r="CO26" s="58">
        <f>SUMIFS('Factory Log'!$D:$D,'Factory Log'!$B:$B,Performance!CK$1,'Factory Log'!$J:$J,Performance!CK26,'Factory Log'!$C:$C,"Running")+SUMIFS('Factory Log'!$D:$D,'Factory Log'!$B:$B,Performance!CK$1,'Factory Log'!$J:$J,Performance!CK26,'Factory Log'!$C:$C,"Make Ready")+SUMIFS('Factory Log'!$D:$D,'Factory Log'!$B:$B,Performance!CK$1,'Factory Log'!$J:$J,Performance!CK26,'Factory Log'!$C:$C,"Roll Change")</f>
        <v>0</v>
      </c>
      <c r="CP26" s="3">
        <f>SUMIFS('Factory Log'!$M:$M,'Factory Log'!$B:$B,Performance!CK$1,'Factory Log'!$J:$J,Performance!CK26,'Factory Log'!$C:$C,"Running")</f>
        <v>0</v>
      </c>
      <c r="CQ26" s="58" cm="1">
        <f t="array" ref="CQ26">IFERROR(INDEX('Factory Log'!$S:$S,MATCH(1,(Performance!CK$1='Factory Log'!$B:$B)*(Performance!CK26='Factory Log'!$A:$A),0)),0)</f>
        <v>0</v>
      </c>
      <c r="CR26" s="3">
        <f>IFERROR(VLOOKUP(CK26,'Factory Log'!$J:$R,9,0),0)</f>
        <v>0</v>
      </c>
      <c r="CS26" s="64">
        <f t="shared" si="16"/>
        <v>0</v>
      </c>
      <c r="CT26" s="58">
        <f t="shared" si="17"/>
        <v>0</v>
      </c>
      <c r="CW26" s="3">
        <f>IFERROR(VLOOKUP(CV26,'Factory Log'!$J:$O,6,0),0)</f>
        <v>0</v>
      </c>
      <c r="CX26" s="3">
        <f>IFERROR(VLOOKUP(CV26,'Factory Log'!$J:$P,7,0),0)</f>
        <v>0</v>
      </c>
      <c r="CY26" s="3">
        <f>IFERROR(VLOOKUP(CV26,'Factory Log'!$J:$Q,8,0),0)</f>
        <v>0</v>
      </c>
      <c r="CZ26" s="58">
        <f>SUMIFS('Factory Log'!$D:$D,'Factory Log'!$B:$B,Performance!CV$1,'Factory Log'!$J:$J,Performance!CV26,'Factory Log'!$C:$C,"Running")+SUMIFS('Factory Log'!$D:$D,'Factory Log'!$B:$B,Performance!CV$1,'Factory Log'!$J:$J,Performance!CV26,'Factory Log'!$C:$C,"Make Ready")+SUMIFS('Factory Log'!$D:$D,'Factory Log'!$B:$B,Performance!CV$1,'Factory Log'!$J:$J,Performance!CV26,'Factory Log'!$C:$C,"Roll Change")</f>
        <v>0</v>
      </c>
      <c r="DA26" s="3">
        <f>SUMIFS('Factory Log'!$M:$M,'Factory Log'!$B:$B,Performance!CV$1,'Factory Log'!$J:$J,Performance!CV26,'Factory Log'!$C:$C,"Running")</f>
        <v>0</v>
      </c>
      <c r="DB26" s="58" cm="1">
        <f t="array" ref="DB26">IFERROR(INDEX('Factory Log'!$S:$S,MATCH(1,(Performance!CV$1='Factory Log'!$B:$B)*(Performance!CV26='Factory Log'!$A:$A),0)),0)</f>
        <v>0</v>
      </c>
      <c r="DC26" s="3">
        <f>IFERROR(VLOOKUP(CV26,'Factory Log'!$J:$R,9,0),0)</f>
        <v>0</v>
      </c>
      <c r="DD26" s="64">
        <f t="shared" si="18"/>
        <v>0</v>
      </c>
      <c r="DE26" s="58">
        <f t="shared" si="19"/>
        <v>0</v>
      </c>
      <c r="DH26" s="3">
        <f>IFERROR(VLOOKUP(DG26,'Factory Log'!$J:$O,6,0),0)</f>
        <v>0</v>
      </c>
      <c r="DI26" s="3">
        <f>IFERROR(VLOOKUP(DG26,'Factory Log'!$J:$P,7,0),0)</f>
        <v>0</v>
      </c>
      <c r="DJ26" s="3">
        <f>IFERROR(VLOOKUP(DG26,'Factory Log'!$J:$Q,8,0),0)</f>
        <v>0</v>
      </c>
      <c r="DK26" s="58">
        <f>SUMIFS('Factory Log'!$D:$D,'Factory Log'!$B:$B,Performance!DG$1,'Factory Log'!$J:$J,Performance!DG26,'Factory Log'!$C:$C,"Running")+SUMIFS('Factory Log'!$D:$D,'Factory Log'!$B:$B,Performance!DG$1,'Factory Log'!$J:$J,Performance!DG26,'Factory Log'!$C:$C,"Make Ready")+SUMIFS('Factory Log'!$D:$D,'Factory Log'!$B:$B,Performance!DG$1,'Factory Log'!$J:$J,Performance!DG26,'Factory Log'!$C:$C,"Roll Change")</f>
        <v>0</v>
      </c>
      <c r="DL26" s="3">
        <f>SUMIFS('Factory Log'!$M:$M,'Factory Log'!$B:$B,Performance!DG$1,'Factory Log'!$J:$J,Performance!DG26,'Factory Log'!$C:$C,"Running")</f>
        <v>0</v>
      </c>
      <c r="DM26" s="58" cm="1">
        <f t="array" ref="DM26">IFERROR(INDEX('Factory Log'!$S:$S,MATCH(1,(Performance!DG$1='Factory Log'!$B:$B)*(Performance!DG26='Factory Log'!$A:$A),0)),0)</f>
        <v>0</v>
      </c>
      <c r="DN26" s="3">
        <f>IFERROR(VLOOKUP(DG26,'Factory Log'!$J:$R,9,0),0)</f>
        <v>0</v>
      </c>
      <c r="DO26" s="64">
        <f t="shared" si="20"/>
        <v>0</v>
      </c>
      <c r="DP26" s="58">
        <f t="shared" si="21"/>
        <v>0</v>
      </c>
      <c r="DS26" s="3">
        <f>IFERROR(VLOOKUP(DR26,'Factory Log'!$J:$O,6,0),0)</f>
        <v>0</v>
      </c>
      <c r="DT26" s="3">
        <f>IFERROR(VLOOKUP(DR26,'Factory Log'!$J:$P,7,0),0)</f>
        <v>0</v>
      </c>
      <c r="DU26" s="3">
        <f>IFERROR(VLOOKUP(DR26,'Factory Log'!$J:$Q,8,0),0)</f>
        <v>0</v>
      </c>
      <c r="DV26" s="58">
        <f>SUMIFS('Factory Log'!$D:$D,'Factory Log'!$B:$B,Performance!DR$1,'Factory Log'!$J:$J,Performance!DR26,'Factory Log'!$C:$C,"Running")+SUMIFS('Factory Log'!$D:$D,'Factory Log'!$B:$B,Performance!DR$1,'Factory Log'!$J:$J,Performance!DR26,'Factory Log'!$C:$C,"Make Ready")+SUMIFS('Factory Log'!$D:$D,'Factory Log'!$B:$B,Performance!DR$1,'Factory Log'!$J:$J,Performance!DR26,'Factory Log'!$C:$C,"Roll Change")</f>
        <v>0</v>
      </c>
      <c r="DW26" s="3">
        <f>SUMIFS('Factory Log'!$M:$M,'Factory Log'!$B:$B,Performance!DR$1,'Factory Log'!$J:$J,Performance!DR26,'Factory Log'!$C:$C,"Running")</f>
        <v>0</v>
      </c>
      <c r="DX26" s="58" cm="1">
        <f t="array" ref="DX26">IFERROR(INDEX('Factory Log'!$S:$S,MATCH(1,(Performance!DR$1='Factory Log'!$B:$B)*(Performance!DR26='Factory Log'!$A:$A),0)),0)</f>
        <v>0</v>
      </c>
      <c r="DY26" s="3">
        <f>IFERROR(VLOOKUP(DR26,'Factory Log'!$J:$R,9,0),0)</f>
        <v>0</v>
      </c>
      <c r="DZ26" s="64">
        <f t="shared" si="22"/>
        <v>0</v>
      </c>
      <c r="EA26" s="58">
        <f t="shared" si="23"/>
        <v>0</v>
      </c>
      <c r="ED26" s="3">
        <f>IFERROR(VLOOKUP(EC26,'Factory Log'!$J:$O,6,0),0)</f>
        <v>0</v>
      </c>
      <c r="EE26" s="3">
        <f>IFERROR(VLOOKUP(EC26,'Factory Log'!$J:$P,7,0),0)</f>
        <v>0</v>
      </c>
      <c r="EF26" s="3">
        <f>IFERROR(VLOOKUP(EC26,'Factory Log'!$J:$Q,8,0),0)</f>
        <v>0</v>
      </c>
      <c r="EG26" s="58">
        <f>SUMIFS('Factory Log'!$D:$D,'Factory Log'!$B:$B,Performance!EC$1,'Factory Log'!$J:$J,Performance!EC26,'Factory Log'!$C:$C,"Running")+SUMIFS('Factory Log'!$D:$D,'Factory Log'!$B:$B,Performance!EC$1,'Factory Log'!$J:$J,Performance!EC26,'Factory Log'!$C:$C,"Make Ready")+SUMIFS('Factory Log'!$D:$D,'Factory Log'!$B:$B,Performance!EC$1,'Factory Log'!$J:$J,Performance!EC26,'Factory Log'!$C:$C,"Roll Change")</f>
        <v>0</v>
      </c>
      <c r="EH26" s="3">
        <f>SUMIFS('Factory Log'!$M:$M,'Factory Log'!$B:$B,Performance!EC$1,'Factory Log'!$J:$J,Performance!EC26,'Factory Log'!$C:$C,"Running")</f>
        <v>0</v>
      </c>
      <c r="EI26" s="58" cm="1">
        <f t="array" ref="EI26">IFERROR(INDEX('Factory Log'!$S:$S,MATCH(1,(Performance!EC$1='Factory Log'!$B:$B)*(Performance!EC26='Factory Log'!$A:$A),0)),0)</f>
        <v>0</v>
      </c>
      <c r="EJ26" s="3">
        <f>IFERROR(VLOOKUP(EC26,'Factory Log'!$J:$R,9,0),0)</f>
        <v>0</v>
      </c>
      <c r="EK26" s="64">
        <f t="shared" si="24"/>
        <v>0</v>
      </c>
      <c r="EL26" s="58">
        <f t="shared" si="25"/>
        <v>0</v>
      </c>
      <c r="EO26" s="3">
        <f>IFERROR(VLOOKUP(EN26,'Factory Log'!$J:$O,6,0),0)</f>
        <v>0</v>
      </c>
      <c r="EP26" s="3">
        <f>IFERROR(VLOOKUP(EN26,'Factory Log'!$J:$P,7,0),0)</f>
        <v>0</v>
      </c>
      <c r="EQ26" s="3">
        <f>IFERROR(VLOOKUP(EN26,'Factory Log'!$J:$Q,8,0),0)</f>
        <v>0</v>
      </c>
      <c r="ER26" s="58">
        <f>SUMIFS('Factory Log'!$D:$D,'Factory Log'!$B:$B,Performance!EN$1,'Factory Log'!$J:$J,Performance!EN26,'Factory Log'!$C:$C,"Running")+SUMIFS('Factory Log'!$D:$D,'Factory Log'!$B:$B,Performance!EN$1,'Factory Log'!$J:$J,Performance!EN26,'Factory Log'!$C:$C,"Make Ready")+SUMIFS('Factory Log'!$D:$D,'Factory Log'!$B:$B,Performance!EN$1,'Factory Log'!$J:$J,Performance!EN26,'Factory Log'!$C:$C,"Roll Change")</f>
        <v>0</v>
      </c>
      <c r="ES26" s="3">
        <f>SUMIFS('Factory Log'!$M:$M,'Factory Log'!$B:$B,Performance!EN$1,'Factory Log'!$J:$J,Performance!EN26,'Factory Log'!$C:$C,"Running")</f>
        <v>0</v>
      </c>
      <c r="ET26" s="58" cm="1">
        <f t="array" ref="ET26">IFERROR(INDEX('Factory Log'!$S:$S,MATCH(1,(Performance!EN$1='Factory Log'!$B:$B)*(Performance!EN26='Factory Log'!$A:$A),0)),0)</f>
        <v>0</v>
      </c>
      <c r="EU26" s="3">
        <f>IFERROR(VLOOKUP(EN26,'Factory Log'!$J:$R,9,0),0)</f>
        <v>0</v>
      </c>
      <c r="EV26" s="64">
        <f t="shared" si="26"/>
        <v>0</v>
      </c>
      <c r="EW26" s="58">
        <f t="shared" si="27"/>
        <v>0</v>
      </c>
      <c r="EZ26" s="3">
        <f>IFERROR(VLOOKUP(EY26,'Factory Log'!$J:$O,6,0),0)</f>
        <v>0</v>
      </c>
      <c r="FA26" s="3">
        <f>IFERROR(VLOOKUP(EY26,'Factory Log'!$J:$P,7,0),0)</f>
        <v>0</v>
      </c>
      <c r="FB26" s="3">
        <f>IFERROR(VLOOKUP(EY26,'Factory Log'!$J:$Q,8,0),0)</f>
        <v>0</v>
      </c>
      <c r="FC26" s="58">
        <f>SUMIFS('Factory Log'!$D:$D,'Factory Log'!$B:$B,Performance!EY$1,'Factory Log'!$J:$J,Performance!EY26,'Factory Log'!$C:$C,"Running")+SUMIFS('Factory Log'!$D:$D,'Factory Log'!$B:$B,Performance!EY$1,'Factory Log'!$J:$J,Performance!EY26,'Factory Log'!$C:$C,"Make Ready")+SUMIFS('Factory Log'!$D:$D,'Factory Log'!$B:$B,Performance!EY$1,'Factory Log'!$J:$J,Performance!EY26,'Factory Log'!$C:$C,"Roll Change")</f>
        <v>0</v>
      </c>
      <c r="FD26" s="3">
        <f>SUMIFS('Factory Log'!$M:$M,'Factory Log'!$B:$B,Performance!EY$1,'Factory Log'!$J:$J,Performance!EY26,'Factory Log'!$C:$C,"Running")</f>
        <v>0</v>
      </c>
      <c r="FE26" s="58" cm="1">
        <f t="array" ref="FE26">IFERROR(INDEX('Factory Log'!$S:$S,MATCH(1,(Performance!EY$1='Factory Log'!$B:$B)*(Performance!EY26='Factory Log'!$A:$A),0)),0)</f>
        <v>0</v>
      </c>
      <c r="FF26" s="3">
        <f>IFERROR(VLOOKUP(EY26,'Factory Log'!$J:$R,9,0),0)</f>
        <v>0</v>
      </c>
      <c r="FG26" s="64">
        <f t="shared" si="28"/>
        <v>0</v>
      </c>
      <c r="FH26" s="58">
        <f t="shared" si="29"/>
        <v>0</v>
      </c>
    </row>
    <row r="27" spans="2:164" ht="16" customHeight="1" x14ac:dyDescent="0.2">
      <c r="B27" s="3">
        <f>IFERROR(VLOOKUP(A27,'Factory Log'!$J:$O,6,0),0)</f>
        <v>0</v>
      </c>
      <c r="C27" s="3">
        <f>IFERROR(VLOOKUP(A27,'Factory Log'!$J:$P,7,0),0)</f>
        <v>0</v>
      </c>
      <c r="D27" s="3">
        <f>IFERROR(VLOOKUP(A27,'Factory Log'!$J:$Q,8,0),0)</f>
        <v>0</v>
      </c>
      <c r="E27" s="58">
        <f>SUMIFS('Factory Log'!$D:$D,'Factory Log'!$B:$B,Performance!A$1,'Factory Log'!$J:$J,Performance!A27,'Factory Log'!$C:$C,"Running")+SUMIFS('Factory Log'!$D:$D,'Factory Log'!$B:$B,Performance!A$1,'Factory Log'!$J:$J,Performance!A27,'Factory Log'!$C:$C,"Make Ready")+SUMIFS('Factory Log'!$D:$D,'Factory Log'!$B:$B,Performance!A$1,'Factory Log'!$J:$J,Performance!A27,'Factory Log'!$C:$C,"Roll Change")</f>
        <v>0</v>
      </c>
      <c r="F27" s="3">
        <f>SUMIFS('Factory Log'!$M:$M,'Factory Log'!$B:$B,Performance!A$1,'Factory Log'!$J:$J,Performance!A27,'Factory Log'!$C:$C,"Running")</f>
        <v>0</v>
      </c>
      <c r="G27" s="58" cm="1">
        <f t="array" ref="G27">IFERROR(INDEX('Factory Log'!$S:$S,MATCH(1,(Performance!A$1='Factory Log'!$B:$B)*(Performance!A27='Factory Log'!$A:$A),0)),0)</f>
        <v>0</v>
      </c>
      <c r="H27" s="3">
        <f>IFERROR(VLOOKUP(A27,'Factory Log'!$J:$R,9,0),0)</f>
        <v>0</v>
      </c>
      <c r="I27" s="64">
        <f t="shared" si="1"/>
        <v>0</v>
      </c>
      <c r="J27" s="58">
        <f t="shared" si="30"/>
        <v>0</v>
      </c>
      <c r="M27" s="3">
        <f>IFERROR(VLOOKUP(L27,'Factory Log'!$J:$O,6,0),0)</f>
        <v>0</v>
      </c>
      <c r="N27" s="3">
        <f>IFERROR(VLOOKUP(L27,'Factory Log'!$J:$P,7,0),0)</f>
        <v>0</v>
      </c>
      <c r="O27" s="3">
        <f>IFERROR(VLOOKUP(L27,'Factory Log'!$J:$Q,8,0),0)</f>
        <v>0</v>
      </c>
      <c r="P27" s="58">
        <f>SUMIFS('Factory Log'!$D:$D,'Factory Log'!$B:$B,Performance!L$1,'Factory Log'!$J:$J,Performance!L27,'Factory Log'!$C:$C,"Running")+SUMIFS('Factory Log'!$D:$D,'Factory Log'!$B:$B,Performance!L$1,'Factory Log'!$J:$J,Performance!L27,'Factory Log'!$C:$C,"Make Ready")+SUMIFS('Factory Log'!$D:$D,'Factory Log'!$B:$B,Performance!L$1,'Factory Log'!$J:$J,Performance!L27,'Factory Log'!$C:$C,"Roll Change")</f>
        <v>0</v>
      </c>
      <c r="Q27" s="3">
        <f>SUMIFS('Factory Log'!$M:$M,'Factory Log'!$B:$B,Performance!L$1,'Factory Log'!$J:$J,Performance!L27,'Factory Log'!$C:$C,"Running")</f>
        <v>0</v>
      </c>
      <c r="R27" s="58" cm="1">
        <f t="array" ref="R27">IFERROR(INDEX('Factory Log'!$S:$S,MATCH(1,(Performance!L$1='Factory Log'!$B:$B)*(Performance!L27='Factory Log'!$A:$A),0)),0)</f>
        <v>0</v>
      </c>
      <c r="S27" s="3">
        <f>IFERROR(VLOOKUP(L27,'Factory Log'!$J:$R,9,0),0)</f>
        <v>0</v>
      </c>
      <c r="T27" s="64">
        <f t="shared" si="2"/>
        <v>0</v>
      </c>
      <c r="U27" s="58">
        <f t="shared" si="31"/>
        <v>0</v>
      </c>
      <c r="X27" s="3">
        <f>IFERROR(VLOOKUP(W27,'Factory Log'!$J:$O,6,0),0)</f>
        <v>0</v>
      </c>
      <c r="Y27" s="3">
        <f>IFERROR(VLOOKUP(W27,'Factory Log'!$J:$P,7,0),0)</f>
        <v>0</v>
      </c>
      <c r="Z27" s="3">
        <f>IFERROR(VLOOKUP(W27,'Factory Log'!$J:$Q,8,0),0)</f>
        <v>0</v>
      </c>
      <c r="AA27" s="58">
        <f>SUMIFS('Factory Log'!$D:$D,'Factory Log'!$B:$B,Performance!W$1,'Factory Log'!$J:$J,Performance!W27,'Factory Log'!$C:$C,"Running")+SUMIFS('Factory Log'!$D:$D,'Factory Log'!$B:$B,Performance!W$1,'Factory Log'!$J:$J,Performance!W27,'Factory Log'!$C:$C,"Make Ready")+SUMIFS('Factory Log'!$D:$D,'Factory Log'!$B:$B,Performance!W$1,'Factory Log'!$J:$J,Performance!W27,'Factory Log'!$C:$C,"Roll Change")</f>
        <v>0</v>
      </c>
      <c r="AB27" s="3">
        <f>SUMIFS('Factory Log'!$M:$M,'Factory Log'!$B:$B,Performance!W$1,'Factory Log'!$J:$J,Performance!W27,'Factory Log'!$C:$C,"Running")</f>
        <v>0</v>
      </c>
      <c r="AC27" s="58" cm="1">
        <f t="array" ref="AC27">IFERROR(INDEX('Factory Log'!$S:$S,MATCH(1,(Performance!W$1='Factory Log'!$B:$B)*(Performance!W27='Factory Log'!$A:$A),0)),0)</f>
        <v>0</v>
      </c>
      <c r="AD27" s="3">
        <f>IFERROR(VLOOKUP(W27,'Factory Log'!$J:$R,9,0),0)</f>
        <v>0</v>
      </c>
      <c r="AE27" s="64">
        <f t="shared" si="4"/>
        <v>0</v>
      </c>
      <c r="AF27" s="58">
        <f t="shared" si="33"/>
        <v>0</v>
      </c>
      <c r="AI27" s="3">
        <f>IFERROR(VLOOKUP(AH27,'Factory Log'!$J:$O,6,0),0)</f>
        <v>0</v>
      </c>
      <c r="AJ27" s="3">
        <f>IFERROR(VLOOKUP(AH27,'Factory Log'!$J:$P,7,0),0)</f>
        <v>0</v>
      </c>
      <c r="AK27" s="3">
        <f>IFERROR(VLOOKUP(AH27,'Factory Log'!$J:$Q,8,0),0)</f>
        <v>0</v>
      </c>
      <c r="AL27" s="58">
        <f>SUMIFS('Factory Log'!$D:$D,'Factory Log'!$B:$B,Performance!AH$1,'Factory Log'!$J:$J,Performance!AH27,'Factory Log'!$C:$C,"Running")+SUMIFS('Factory Log'!$D:$D,'Factory Log'!$B:$B,Performance!AH$1,'Factory Log'!$J:$J,Performance!AH27,'Factory Log'!$C:$C,"Make Ready")+SUMIFS('Factory Log'!$D:$D,'Factory Log'!$B:$B,Performance!AH$1,'Factory Log'!$J:$J,Performance!AH27,'Factory Log'!$C:$C,"Roll Change")</f>
        <v>0</v>
      </c>
      <c r="AM27" s="3">
        <f>SUMIFS('Factory Log'!$M:$M,'Factory Log'!$B:$B,Performance!AH$1,'Factory Log'!$J:$J,Performance!AH27,'Factory Log'!$C:$C,"Running")</f>
        <v>0</v>
      </c>
      <c r="AN27" s="58" cm="1">
        <f t="array" ref="AN27">IFERROR(INDEX('Factory Log'!$S:$S,MATCH(1,(Performance!AH$1='Factory Log'!$B:$B)*(Performance!AH27='Factory Log'!$A:$A),0)),0)</f>
        <v>0</v>
      </c>
      <c r="AO27" s="3">
        <f>IFERROR(VLOOKUP(AH27,'Factory Log'!$J:$R,9,0),0)</f>
        <v>0</v>
      </c>
      <c r="AP27" s="64">
        <f t="shared" si="6"/>
        <v>0</v>
      </c>
      <c r="AQ27" s="58">
        <f t="shared" si="7"/>
        <v>0</v>
      </c>
      <c r="AT27" s="3">
        <f>IFERROR(VLOOKUP(AS27,'Factory Log'!$J:$O,6,0),0)</f>
        <v>0</v>
      </c>
      <c r="AU27" s="3">
        <f>IFERROR(VLOOKUP(AS27,'Factory Log'!$J:$P,7,0),0)</f>
        <v>0</v>
      </c>
      <c r="AV27" s="3">
        <f>IFERROR(VLOOKUP(AS27,'Factory Log'!$J:$Q,8,0),0)</f>
        <v>0</v>
      </c>
      <c r="AW27" s="58">
        <f>SUMIFS('Factory Log'!$D:$D,'Factory Log'!$B:$B,Performance!AS$1,'Factory Log'!$J:$J,Performance!AS27,'Factory Log'!$C:$C,"Running")+SUMIFS('Factory Log'!$D:$D,'Factory Log'!$B:$B,Performance!AS$1,'Factory Log'!$J:$J,Performance!AS27,'Factory Log'!$C:$C,"Make Ready")+SUMIFS('Factory Log'!$D:$D,'Factory Log'!$B:$B,Performance!AS$1,'Factory Log'!$J:$J,Performance!AS27,'Factory Log'!$C:$C,"Roll Change")</f>
        <v>0</v>
      </c>
      <c r="AX27" s="3">
        <f>SUMIFS('Factory Log'!$M:$M,'Factory Log'!$B:$B,Performance!AS$1,'Factory Log'!$J:$J,Performance!AS27,'Factory Log'!$C:$C,"Running")</f>
        <v>0</v>
      </c>
      <c r="AY27" s="58" cm="1">
        <f t="array" ref="AY27">IFERROR(INDEX('Factory Log'!$S:$S,MATCH(1,(Performance!AS$1='Factory Log'!$B:$B)*(Performance!AS27='Factory Log'!$A:$A),0)),0)</f>
        <v>0</v>
      </c>
      <c r="AZ27" s="3">
        <f>IFERROR(VLOOKUP(AS27,'Factory Log'!$J:$R,9,0),0)</f>
        <v>0</v>
      </c>
      <c r="BA27" s="64">
        <f t="shared" si="8"/>
        <v>0</v>
      </c>
      <c r="BB27" s="58">
        <f t="shared" si="9"/>
        <v>0</v>
      </c>
      <c r="BE27" s="3">
        <f>IFERROR(VLOOKUP(BD27,'Factory Log'!$J:$O,6,0),0)</f>
        <v>0</v>
      </c>
      <c r="BF27" s="3">
        <f>IFERROR(VLOOKUP(BD27,'Factory Log'!$J:$P,7,0),0)</f>
        <v>0</v>
      </c>
      <c r="BG27" s="3">
        <f>IFERROR(VLOOKUP(BD27,'Factory Log'!$J:$Q,8,0),0)</f>
        <v>0</v>
      </c>
      <c r="BH27" s="58">
        <f>SUMIFS('Factory Log'!$D:$D,'Factory Log'!$B:$B,Performance!BD$1,'Factory Log'!$J:$J,Performance!BD27,'Factory Log'!$C:$C,"Running")+SUMIFS('Factory Log'!$D:$D,'Factory Log'!$B:$B,Performance!BD$1,'Factory Log'!$J:$J,Performance!BD27,'Factory Log'!$C:$C,"Make Ready")+SUMIFS('Factory Log'!$D:$D,'Factory Log'!$B:$B,Performance!BD$1,'Factory Log'!$J:$J,Performance!BD27,'Factory Log'!$C:$C,"Roll Change")</f>
        <v>0</v>
      </c>
      <c r="BI27" s="3">
        <f>SUMIFS('Factory Log'!$M:$M,'Factory Log'!$B:$B,Performance!BD$1,'Factory Log'!$J:$J,Performance!BD27,'Factory Log'!$C:$C,"Running")</f>
        <v>0</v>
      </c>
      <c r="BJ27" s="58" cm="1">
        <f t="array" ref="BJ27">IFERROR(INDEX('Factory Log'!$S:$S,MATCH(1,(Performance!BD$1='Factory Log'!$B:$B)*(Performance!BD27='Factory Log'!$A:$A),0)),0)</f>
        <v>0</v>
      </c>
      <c r="BK27" s="3">
        <f>IFERROR(VLOOKUP(BD27,'Factory Log'!$J:$R,9,0),0)</f>
        <v>0</v>
      </c>
      <c r="BL27" s="64">
        <f t="shared" si="10"/>
        <v>0</v>
      </c>
      <c r="BM27" s="58">
        <f t="shared" si="11"/>
        <v>0</v>
      </c>
      <c r="BP27" s="3">
        <f>IFERROR(VLOOKUP(BO27,'Factory Log'!$J:$O,6,0),0)</f>
        <v>0</v>
      </c>
      <c r="BQ27" s="3">
        <f>IFERROR(VLOOKUP(BO27,'Factory Log'!$J:$P,7,0),0)</f>
        <v>0</v>
      </c>
      <c r="BR27" s="3">
        <f>IFERROR(VLOOKUP(BO27,'Factory Log'!$J:$Q,8,0),0)</f>
        <v>0</v>
      </c>
      <c r="BS27" s="58">
        <f>SUMIFS('Factory Log'!$D:$D,'Factory Log'!$B:$B,Performance!BO$1,'Factory Log'!$J:$J,Performance!BO27,'Factory Log'!$C:$C,"Running")+SUMIFS('Factory Log'!$D:$D,'Factory Log'!$B:$B,Performance!BO$1,'Factory Log'!$J:$J,Performance!BO27,'Factory Log'!$C:$C,"Make Ready")+SUMIFS('Factory Log'!$D:$D,'Factory Log'!$B:$B,Performance!BO$1,'Factory Log'!$J:$J,Performance!BO27,'Factory Log'!$C:$C,"Roll Change")</f>
        <v>0</v>
      </c>
      <c r="BT27" s="3">
        <f>SUMIFS('Factory Log'!$M:$M,'Factory Log'!$B:$B,Performance!BO$1,'Factory Log'!$J:$J,Performance!BO27,'Factory Log'!$C:$C,"Running")</f>
        <v>0</v>
      </c>
      <c r="BU27" s="58" cm="1">
        <f t="array" ref="BU27">IFERROR(INDEX('Factory Log'!$S:$S,MATCH(1,(Performance!BO$1='Factory Log'!$B:$B)*(Performance!BO27='Factory Log'!$A:$A),0)),0)</f>
        <v>0</v>
      </c>
      <c r="BV27" s="3">
        <f>IFERROR(VLOOKUP(BO27,'Factory Log'!$J:$R,9,0),0)</f>
        <v>0</v>
      </c>
      <c r="BW27" s="64">
        <f t="shared" si="12"/>
        <v>0</v>
      </c>
      <c r="BX27" s="58">
        <f t="shared" si="13"/>
        <v>0</v>
      </c>
      <c r="CA27" s="3">
        <f>IFERROR(VLOOKUP(BZ27,'Factory Log'!$J:$O,6,0),0)</f>
        <v>0</v>
      </c>
      <c r="CB27" s="3">
        <f>IFERROR(VLOOKUP(BZ27,'Factory Log'!$J:$P,7,0),0)</f>
        <v>0</v>
      </c>
      <c r="CC27" s="3">
        <f>IFERROR(VLOOKUP(BZ27,'Factory Log'!$J:$Q,8,0),0)</f>
        <v>0</v>
      </c>
      <c r="CD27" s="58">
        <f>SUMIFS('Factory Log'!$D:$D,'Factory Log'!$B:$B,Performance!BZ$1,'Factory Log'!$J:$J,Performance!BZ27,'Factory Log'!$C:$C,"Running")+SUMIFS('Factory Log'!$D:$D,'Factory Log'!$B:$B,Performance!BZ$1,'Factory Log'!$J:$J,Performance!BZ27,'Factory Log'!$C:$C,"Make Ready")+SUMIFS('Factory Log'!$D:$D,'Factory Log'!$B:$B,Performance!BZ$1,'Factory Log'!$J:$J,Performance!BZ27,'Factory Log'!$C:$C,"Roll Change")</f>
        <v>0</v>
      </c>
      <c r="CE27" s="3">
        <f>SUMIFS('Factory Log'!$M:$M,'Factory Log'!$B:$B,Performance!BZ$1,'Factory Log'!$J:$J,Performance!BZ27,'Factory Log'!$C:$C,"Running")</f>
        <v>0</v>
      </c>
      <c r="CF27" s="58" cm="1">
        <f t="array" ref="CF27">IFERROR(INDEX('Factory Log'!$S:$S,MATCH(1,(Performance!BZ$1='Factory Log'!$B:$B)*(Performance!BZ27='Factory Log'!$A:$A),0)),0)</f>
        <v>0</v>
      </c>
      <c r="CG27" s="3">
        <f>IFERROR(VLOOKUP(BZ27,'Factory Log'!$J:$R,9,0),0)</f>
        <v>0</v>
      </c>
      <c r="CH27" s="64">
        <f t="shared" si="14"/>
        <v>0</v>
      </c>
      <c r="CI27" s="58">
        <f t="shared" si="15"/>
        <v>0</v>
      </c>
      <c r="CL27" s="3">
        <f>IFERROR(VLOOKUP(CK27,'Factory Log'!$J:$O,6,0),0)</f>
        <v>0</v>
      </c>
      <c r="CM27" s="3">
        <f>IFERROR(VLOOKUP(CK27,'Factory Log'!$J:$P,7,0),0)</f>
        <v>0</v>
      </c>
      <c r="CN27" s="3">
        <f>IFERROR(VLOOKUP(CK27,'Factory Log'!$J:$Q,8,0),0)</f>
        <v>0</v>
      </c>
      <c r="CO27" s="58">
        <f>SUMIFS('Factory Log'!$D:$D,'Factory Log'!$B:$B,Performance!CK$1,'Factory Log'!$J:$J,Performance!CK27,'Factory Log'!$C:$C,"Running")+SUMIFS('Factory Log'!$D:$D,'Factory Log'!$B:$B,Performance!CK$1,'Factory Log'!$J:$J,Performance!CK27,'Factory Log'!$C:$C,"Make Ready")+SUMIFS('Factory Log'!$D:$D,'Factory Log'!$B:$B,Performance!CK$1,'Factory Log'!$J:$J,Performance!CK27,'Factory Log'!$C:$C,"Roll Change")</f>
        <v>0</v>
      </c>
      <c r="CP27" s="3">
        <f>SUMIFS('Factory Log'!$M:$M,'Factory Log'!$B:$B,Performance!CK$1,'Factory Log'!$J:$J,Performance!CK27,'Factory Log'!$C:$C,"Running")</f>
        <v>0</v>
      </c>
      <c r="CQ27" s="58" cm="1">
        <f t="array" ref="CQ27">IFERROR(INDEX('Factory Log'!$S:$S,MATCH(1,(Performance!CK$1='Factory Log'!$B:$B)*(Performance!CK27='Factory Log'!$A:$A),0)),0)</f>
        <v>0</v>
      </c>
      <c r="CR27" s="3">
        <f>IFERROR(VLOOKUP(CK27,'Factory Log'!$J:$R,9,0),0)</f>
        <v>0</v>
      </c>
      <c r="CS27" s="64">
        <f t="shared" si="16"/>
        <v>0</v>
      </c>
      <c r="CT27" s="58">
        <f t="shared" si="17"/>
        <v>0</v>
      </c>
      <c r="CW27" s="3">
        <f>IFERROR(VLOOKUP(CV27,'Factory Log'!$J:$O,6,0),0)</f>
        <v>0</v>
      </c>
      <c r="CX27" s="3">
        <f>IFERROR(VLOOKUP(CV27,'Factory Log'!$J:$P,7,0),0)</f>
        <v>0</v>
      </c>
      <c r="CY27" s="3">
        <f>IFERROR(VLOOKUP(CV27,'Factory Log'!$J:$Q,8,0),0)</f>
        <v>0</v>
      </c>
      <c r="CZ27" s="58">
        <f>SUMIFS('Factory Log'!$D:$D,'Factory Log'!$B:$B,Performance!CV$1,'Factory Log'!$J:$J,Performance!CV27,'Factory Log'!$C:$C,"Running")+SUMIFS('Factory Log'!$D:$D,'Factory Log'!$B:$B,Performance!CV$1,'Factory Log'!$J:$J,Performance!CV27,'Factory Log'!$C:$C,"Make Ready")+SUMIFS('Factory Log'!$D:$D,'Factory Log'!$B:$B,Performance!CV$1,'Factory Log'!$J:$J,Performance!CV27,'Factory Log'!$C:$C,"Roll Change")</f>
        <v>0</v>
      </c>
      <c r="DA27" s="3">
        <f>SUMIFS('Factory Log'!$M:$M,'Factory Log'!$B:$B,Performance!CV$1,'Factory Log'!$J:$J,Performance!CV27,'Factory Log'!$C:$C,"Running")</f>
        <v>0</v>
      </c>
      <c r="DB27" s="58" cm="1">
        <f t="array" ref="DB27">IFERROR(INDEX('Factory Log'!$S:$S,MATCH(1,(Performance!CV$1='Factory Log'!$B:$B)*(Performance!CV27='Factory Log'!$A:$A),0)),0)</f>
        <v>0</v>
      </c>
      <c r="DC27" s="3">
        <f>IFERROR(VLOOKUP(CV27,'Factory Log'!$J:$R,9,0),0)</f>
        <v>0</v>
      </c>
      <c r="DD27" s="64">
        <f t="shared" si="18"/>
        <v>0</v>
      </c>
      <c r="DE27" s="58">
        <f t="shared" si="19"/>
        <v>0</v>
      </c>
      <c r="DH27" s="3">
        <f>IFERROR(VLOOKUP(DG27,'Factory Log'!$J:$O,6,0),0)</f>
        <v>0</v>
      </c>
      <c r="DI27" s="3">
        <f>IFERROR(VLOOKUP(DG27,'Factory Log'!$J:$P,7,0),0)</f>
        <v>0</v>
      </c>
      <c r="DJ27" s="3">
        <f>IFERROR(VLOOKUP(DG27,'Factory Log'!$J:$Q,8,0),0)</f>
        <v>0</v>
      </c>
      <c r="DK27" s="58">
        <f>SUMIFS('Factory Log'!$D:$D,'Factory Log'!$B:$B,Performance!DG$1,'Factory Log'!$J:$J,Performance!DG27,'Factory Log'!$C:$C,"Running")+SUMIFS('Factory Log'!$D:$D,'Factory Log'!$B:$B,Performance!DG$1,'Factory Log'!$J:$J,Performance!DG27,'Factory Log'!$C:$C,"Make Ready")+SUMIFS('Factory Log'!$D:$D,'Factory Log'!$B:$B,Performance!DG$1,'Factory Log'!$J:$J,Performance!DG27,'Factory Log'!$C:$C,"Roll Change")</f>
        <v>0</v>
      </c>
      <c r="DL27" s="3">
        <f>SUMIFS('Factory Log'!$M:$M,'Factory Log'!$B:$B,Performance!DG$1,'Factory Log'!$J:$J,Performance!DG27,'Factory Log'!$C:$C,"Running")</f>
        <v>0</v>
      </c>
      <c r="DM27" s="58" cm="1">
        <f t="array" ref="DM27">IFERROR(INDEX('Factory Log'!$S:$S,MATCH(1,(Performance!DG$1='Factory Log'!$B:$B)*(Performance!DG27='Factory Log'!$A:$A),0)),0)</f>
        <v>0</v>
      </c>
      <c r="DN27" s="3">
        <f>IFERROR(VLOOKUP(DG27,'Factory Log'!$J:$R,9,0),0)</f>
        <v>0</v>
      </c>
      <c r="DO27" s="64">
        <f t="shared" si="20"/>
        <v>0</v>
      </c>
      <c r="DP27" s="58">
        <f t="shared" si="21"/>
        <v>0</v>
      </c>
      <c r="DS27" s="3">
        <f>IFERROR(VLOOKUP(DR27,'Factory Log'!$J:$O,6,0),0)</f>
        <v>0</v>
      </c>
      <c r="DT27" s="3">
        <f>IFERROR(VLOOKUP(DR27,'Factory Log'!$J:$P,7,0),0)</f>
        <v>0</v>
      </c>
      <c r="DU27" s="3">
        <f>IFERROR(VLOOKUP(DR27,'Factory Log'!$J:$Q,8,0),0)</f>
        <v>0</v>
      </c>
      <c r="DV27" s="58">
        <f>SUMIFS('Factory Log'!$D:$D,'Factory Log'!$B:$B,Performance!DR$1,'Factory Log'!$J:$J,Performance!DR27,'Factory Log'!$C:$C,"Running")+SUMIFS('Factory Log'!$D:$D,'Factory Log'!$B:$B,Performance!DR$1,'Factory Log'!$J:$J,Performance!DR27,'Factory Log'!$C:$C,"Make Ready")+SUMIFS('Factory Log'!$D:$D,'Factory Log'!$B:$B,Performance!DR$1,'Factory Log'!$J:$J,Performance!DR27,'Factory Log'!$C:$C,"Roll Change")</f>
        <v>0</v>
      </c>
      <c r="DW27" s="3">
        <f>SUMIFS('Factory Log'!$M:$M,'Factory Log'!$B:$B,Performance!DR$1,'Factory Log'!$J:$J,Performance!DR27,'Factory Log'!$C:$C,"Running")</f>
        <v>0</v>
      </c>
      <c r="DX27" s="58" cm="1">
        <f t="array" ref="DX27">IFERROR(INDEX('Factory Log'!$S:$S,MATCH(1,(Performance!DR$1='Factory Log'!$B:$B)*(Performance!DR27='Factory Log'!$A:$A),0)),0)</f>
        <v>0</v>
      </c>
      <c r="DY27" s="3">
        <f>IFERROR(VLOOKUP(DR27,'Factory Log'!$J:$R,9,0),0)</f>
        <v>0</v>
      </c>
      <c r="DZ27" s="64">
        <f t="shared" si="22"/>
        <v>0</v>
      </c>
      <c r="EA27" s="58">
        <f t="shared" si="23"/>
        <v>0</v>
      </c>
      <c r="ED27" s="3">
        <f>IFERROR(VLOOKUP(EC27,'Factory Log'!$J:$O,6,0),0)</f>
        <v>0</v>
      </c>
      <c r="EE27" s="3">
        <f>IFERROR(VLOOKUP(EC27,'Factory Log'!$J:$P,7,0),0)</f>
        <v>0</v>
      </c>
      <c r="EF27" s="3">
        <f>IFERROR(VLOOKUP(EC27,'Factory Log'!$J:$Q,8,0),0)</f>
        <v>0</v>
      </c>
      <c r="EG27" s="58">
        <f>SUMIFS('Factory Log'!$D:$D,'Factory Log'!$B:$B,Performance!EC$1,'Factory Log'!$J:$J,Performance!EC27,'Factory Log'!$C:$C,"Running")+SUMIFS('Factory Log'!$D:$D,'Factory Log'!$B:$B,Performance!EC$1,'Factory Log'!$J:$J,Performance!EC27,'Factory Log'!$C:$C,"Make Ready")+SUMIFS('Factory Log'!$D:$D,'Factory Log'!$B:$B,Performance!EC$1,'Factory Log'!$J:$J,Performance!EC27,'Factory Log'!$C:$C,"Roll Change")</f>
        <v>0</v>
      </c>
      <c r="EH27" s="3">
        <f>SUMIFS('Factory Log'!$M:$M,'Factory Log'!$B:$B,Performance!EC$1,'Factory Log'!$J:$J,Performance!EC27,'Factory Log'!$C:$C,"Running")</f>
        <v>0</v>
      </c>
      <c r="EI27" s="58" cm="1">
        <f t="array" ref="EI27">IFERROR(INDEX('Factory Log'!$S:$S,MATCH(1,(Performance!EC$1='Factory Log'!$B:$B)*(Performance!EC27='Factory Log'!$A:$A),0)),0)</f>
        <v>0</v>
      </c>
      <c r="EJ27" s="3">
        <f>IFERROR(VLOOKUP(EC27,'Factory Log'!$J:$R,9,0),0)</f>
        <v>0</v>
      </c>
      <c r="EK27" s="64">
        <f t="shared" si="24"/>
        <v>0</v>
      </c>
      <c r="EL27" s="58">
        <f t="shared" si="25"/>
        <v>0</v>
      </c>
      <c r="EO27" s="3">
        <f>IFERROR(VLOOKUP(EN27,'Factory Log'!$J:$O,6,0),0)</f>
        <v>0</v>
      </c>
      <c r="EP27" s="3">
        <f>IFERROR(VLOOKUP(EN27,'Factory Log'!$J:$P,7,0),0)</f>
        <v>0</v>
      </c>
      <c r="EQ27" s="3">
        <f>IFERROR(VLOOKUP(EN27,'Factory Log'!$J:$Q,8,0),0)</f>
        <v>0</v>
      </c>
      <c r="ER27" s="58">
        <f>SUMIFS('Factory Log'!$D:$D,'Factory Log'!$B:$B,Performance!EN$1,'Factory Log'!$J:$J,Performance!EN27,'Factory Log'!$C:$C,"Running")+SUMIFS('Factory Log'!$D:$D,'Factory Log'!$B:$B,Performance!EN$1,'Factory Log'!$J:$J,Performance!EN27,'Factory Log'!$C:$C,"Make Ready")+SUMIFS('Factory Log'!$D:$D,'Factory Log'!$B:$B,Performance!EN$1,'Factory Log'!$J:$J,Performance!EN27,'Factory Log'!$C:$C,"Roll Change")</f>
        <v>0</v>
      </c>
      <c r="ES27" s="3">
        <f>SUMIFS('Factory Log'!$M:$M,'Factory Log'!$B:$B,Performance!EN$1,'Factory Log'!$J:$J,Performance!EN27,'Factory Log'!$C:$C,"Running")</f>
        <v>0</v>
      </c>
      <c r="ET27" s="58" cm="1">
        <f t="array" ref="ET27">IFERROR(INDEX('Factory Log'!$S:$S,MATCH(1,(Performance!EN$1='Factory Log'!$B:$B)*(Performance!EN27='Factory Log'!$A:$A),0)),0)</f>
        <v>0</v>
      </c>
      <c r="EU27" s="3">
        <f>IFERROR(VLOOKUP(EN27,'Factory Log'!$J:$R,9,0),0)</f>
        <v>0</v>
      </c>
      <c r="EV27" s="64">
        <f t="shared" si="26"/>
        <v>0</v>
      </c>
      <c r="EW27" s="58">
        <f t="shared" si="27"/>
        <v>0</v>
      </c>
      <c r="EZ27" s="3">
        <f>IFERROR(VLOOKUP(EY27,'Factory Log'!$J:$O,6,0),0)</f>
        <v>0</v>
      </c>
      <c r="FA27" s="3">
        <f>IFERROR(VLOOKUP(EY27,'Factory Log'!$J:$P,7,0),0)</f>
        <v>0</v>
      </c>
      <c r="FB27" s="3">
        <f>IFERROR(VLOOKUP(EY27,'Factory Log'!$J:$Q,8,0),0)</f>
        <v>0</v>
      </c>
      <c r="FC27" s="58">
        <f>SUMIFS('Factory Log'!$D:$D,'Factory Log'!$B:$B,Performance!EY$1,'Factory Log'!$J:$J,Performance!EY27,'Factory Log'!$C:$C,"Running")+SUMIFS('Factory Log'!$D:$D,'Factory Log'!$B:$B,Performance!EY$1,'Factory Log'!$J:$J,Performance!EY27,'Factory Log'!$C:$C,"Make Ready")+SUMIFS('Factory Log'!$D:$D,'Factory Log'!$B:$B,Performance!EY$1,'Factory Log'!$J:$J,Performance!EY27,'Factory Log'!$C:$C,"Roll Change")</f>
        <v>0</v>
      </c>
      <c r="FD27" s="3">
        <f>SUMIFS('Factory Log'!$M:$M,'Factory Log'!$B:$B,Performance!EY$1,'Factory Log'!$J:$J,Performance!EY27,'Factory Log'!$C:$C,"Running")</f>
        <v>0</v>
      </c>
      <c r="FE27" s="58" cm="1">
        <f t="array" ref="FE27">IFERROR(INDEX('Factory Log'!$S:$S,MATCH(1,(Performance!EY$1='Factory Log'!$B:$B)*(Performance!EY27='Factory Log'!$A:$A),0)),0)</f>
        <v>0</v>
      </c>
      <c r="FF27" s="3">
        <f>IFERROR(VLOOKUP(EY27,'Factory Log'!$J:$R,9,0),0)</f>
        <v>0</v>
      </c>
      <c r="FG27" s="64">
        <f t="shared" si="28"/>
        <v>0</v>
      </c>
      <c r="FH27" s="58">
        <f t="shared" si="29"/>
        <v>0</v>
      </c>
    </row>
    <row r="28" spans="2:164" ht="16" customHeight="1" x14ac:dyDescent="0.2">
      <c r="B28" s="3">
        <f>IFERROR(VLOOKUP(A28,'Factory Log'!$J:$O,6,0),0)</f>
        <v>0</v>
      </c>
      <c r="C28" s="3">
        <f>IFERROR(VLOOKUP(A28,'Factory Log'!$J:$P,7,0),0)</f>
        <v>0</v>
      </c>
      <c r="D28" s="3">
        <f>IFERROR(VLOOKUP(A28,'Factory Log'!$J:$Q,8,0),0)</f>
        <v>0</v>
      </c>
      <c r="E28" s="58">
        <f>SUMIFS('Factory Log'!$D:$D,'Factory Log'!$B:$B,Performance!A$1,'Factory Log'!$J:$J,Performance!A28,'Factory Log'!$C:$C,"Running")+SUMIFS('Factory Log'!$D:$D,'Factory Log'!$B:$B,Performance!A$1,'Factory Log'!$J:$J,Performance!A28,'Factory Log'!$C:$C,"Make Ready")+SUMIFS('Factory Log'!$D:$D,'Factory Log'!$B:$B,Performance!A$1,'Factory Log'!$J:$J,Performance!A28,'Factory Log'!$C:$C,"Roll Change")</f>
        <v>0</v>
      </c>
      <c r="F28" s="3">
        <f>SUMIFS('Factory Log'!$M:$M,'Factory Log'!$B:$B,Performance!A$1,'Factory Log'!$J:$J,Performance!A28,'Factory Log'!$C:$C,"Running")</f>
        <v>0</v>
      </c>
      <c r="G28" s="58" cm="1">
        <f t="array" ref="G28">IFERROR(INDEX('Factory Log'!$S:$S,MATCH(1,(Performance!A$1='Factory Log'!$B:$B)*(Performance!A28='Factory Log'!$A:$A),0)),0)</f>
        <v>0</v>
      </c>
      <c r="H28" s="3">
        <f>IFERROR(VLOOKUP(A28,'Factory Log'!$J:$R,9,0),0)</f>
        <v>0</v>
      </c>
      <c r="I28" s="64">
        <f t="shared" si="1"/>
        <v>0</v>
      </c>
      <c r="J28" s="58">
        <f t="shared" si="30"/>
        <v>0</v>
      </c>
      <c r="M28" s="3">
        <f>IFERROR(VLOOKUP(L28,'Factory Log'!$J:$O,6,0),0)</f>
        <v>0</v>
      </c>
      <c r="N28" s="3">
        <f>IFERROR(VLOOKUP(L28,'Factory Log'!$J:$P,7,0),0)</f>
        <v>0</v>
      </c>
      <c r="O28" s="3">
        <f>IFERROR(VLOOKUP(L28,'Factory Log'!$J:$Q,8,0),0)</f>
        <v>0</v>
      </c>
      <c r="P28" s="58">
        <f>SUMIFS('Factory Log'!$D:$D,'Factory Log'!$B:$B,Performance!L$1,'Factory Log'!$J:$J,Performance!L28,'Factory Log'!$C:$C,"Running")+SUMIFS('Factory Log'!$D:$D,'Factory Log'!$B:$B,Performance!L$1,'Factory Log'!$J:$J,Performance!L28,'Factory Log'!$C:$C,"Make Ready")+SUMIFS('Factory Log'!$D:$D,'Factory Log'!$B:$B,Performance!L$1,'Factory Log'!$J:$J,Performance!L28,'Factory Log'!$C:$C,"Roll Change")</f>
        <v>0</v>
      </c>
      <c r="Q28" s="3">
        <f>SUMIFS('Factory Log'!$M:$M,'Factory Log'!$B:$B,Performance!L$1,'Factory Log'!$J:$J,Performance!L28,'Factory Log'!$C:$C,"Running")</f>
        <v>0</v>
      </c>
      <c r="R28" s="58" cm="1">
        <f t="array" ref="R28">IFERROR(INDEX('Factory Log'!$S:$S,MATCH(1,(Performance!L$1='Factory Log'!$B:$B)*(Performance!L28='Factory Log'!$A:$A),0)),0)</f>
        <v>0</v>
      </c>
      <c r="S28" s="3">
        <f>IFERROR(VLOOKUP(L28,'Factory Log'!$J:$R,9,0),0)</f>
        <v>0</v>
      </c>
      <c r="T28" s="64">
        <f t="shared" si="2"/>
        <v>0</v>
      </c>
      <c r="U28" s="58">
        <f t="shared" si="31"/>
        <v>0</v>
      </c>
      <c r="X28" s="3">
        <f>IFERROR(VLOOKUP(W28,'Factory Log'!$J:$O,6,0),0)</f>
        <v>0</v>
      </c>
      <c r="Y28" s="3">
        <f>IFERROR(VLOOKUP(W28,'Factory Log'!$J:$P,7,0),0)</f>
        <v>0</v>
      </c>
      <c r="Z28" s="3">
        <f>IFERROR(VLOOKUP(W28,'Factory Log'!$J:$Q,8,0),0)</f>
        <v>0</v>
      </c>
      <c r="AA28" s="58">
        <f>SUMIFS('Factory Log'!$D:$D,'Factory Log'!$B:$B,Performance!W$1,'Factory Log'!$J:$J,Performance!W28,'Factory Log'!$C:$C,"Running")+SUMIFS('Factory Log'!$D:$D,'Factory Log'!$B:$B,Performance!W$1,'Factory Log'!$J:$J,Performance!W28,'Factory Log'!$C:$C,"Make Ready")+SUMIFS('Factory Log'!$D:$D,'Factory Log'!$B:$B,Performance!W$1,'Factory Log'!$J:$J,Performance!W28,'Factory Log'!$C:$C,"Roll Change")</f>
        <v>0</v>
      </c>
      <c r="AB28" s="3">
        <f>SUMIFS('Factory Log'!$M:$M,'Factory Log'!$B:$B,Performance!W$1,'Factory Log'!$J:$J,Performance!W28,'Factory Log'!$C:$C,"Running")</f>
        <v>0</v>
      </c>
      <c r="AC28" s="58" cm="1">
        <f t="array" ref="AC28">IFERROR(INDEX('Factory Log'!$S:$S,MATCH(1,(Performance!W$1='Factory Log'!$B:$B)*(Performance!W28='Factory Log'!$A:$A),0)),0)</f>
        <v>0</v>
      </c>
      <c r="AD28" s="3">
        <f>IFERROR(VLOOKUP(W28,'Factory Log'!$J:$R,9,0),0)</f>
        <v>0</v>
      </c>
      <c r="AE28" s="64">
        <f t="shared" si="4"/>
        <v>0</v>
      </c>
      <c r="AF28" s="58">
        <f t="shared" si="33"/>
        <v>0</v>
      </c>
      <c r="AI28" s="3">
        <f>IFERROR(VLOOKUP(AH28,'Factory Log'!$J:$O,6,0),0)</f>
        <v>0</v>
      </c>
      <c r="AJ28" s="3">
        <f>IFERROR(VLOOKUP(AH28,'Factory Log'!$J:$P,7,0),0)</f>
        <v>0</v>
      </c>
      <c r="AK28" s="3">
        <f>IFERROR(VLOOKUP(AH28,'Factory Log'!$J:$Q,8,0),0)</f>
        <v>0</v>
      </c>
      <c r="AL28" s="58">
        <f>SUMIFS('Factory Log'!$D:$D,'Factory Log'!$B:$B,Performance!AH$1,'Factory Log'!$J:$J,Performance!AH28,'Factory Log'!$C:$C,"Running")+SUMIFS('Factory Log'!$D:$D,'Factory Log'!$B:$B,Performance!AH$1,'Factory Log'!$J:$J,Performance!AH28,'Factory Log'!$C:$C,"Make Ready")+SUMIFS('Factory Log'!$D:$D,'Factory Log'!$B:$B,Performance!AH$1,'Factory Log'!$J:$J,Performance!AH28,'Factory Log'!$C:$C,"Roll Change")</f>
        <v>0</v>
      </c>
      <c r="AM28" s="3">
        <f>SUMIFS('Factory Log'!$M:$M,'Factory Log'!$B:$B,Performance!AH$1,'Factory Log'!$J:$J,Performance!AH28,'Factory Log'!$C:$C,"Running")</f>
        <v>0</v>
      </c>
      <c r="AN28" s="58" cm="1">
        <f t="array" ref="AN28">IFERROR(INDEX('Factory Log'!$S:$S,MATCH(1,(Performance!AH$1='Factory Log'!$B:$B)*(Performance!AH28='Factory Log'!$A:$A),0)),0)</f>
        <v>0</v>
      </c>
      <c r="AO28" s="3">
        <f>IFERROR(VLOOKUP(AH28,'Factory Log'!$J:$R,9,0),0)</f>
        <v>0</v>
      </c>
      <c r="AP28" s="64">
        <f t="shared" si="6"/>
        <v>0</v>
      </c>
      <c r="AQ28" s="58">
        <f t="shared" si="7"/>
        <v>0</v>
      </c>
      <c r="AT28" s="3">
        <f>IFERROR(VLOOKUP(AS28,'Factory Log'!$J:$O,6,0),0)</f>
        <v>0</v>
      </c>
      <c r="AU28" s="3">
        <f>IFERROR(VLOOKUP(AS28,'Factory Log'!$J:$P,7,0),0)</f>
        <v>0</v>
      </c>
      <c r="AV28" s="3">
        <f>IFERROR(VLOOKUP(AS28,'Factory Log'!$J:$Q,8,0),0)</f>
        <v>0</v>
      </c>
      <c r="AW28" s="58">
        <f>SUMIFS('Factory Log'!$D:$D,'Factory Log'!$B:$B,Performance!AS$1,'Factory Log'!$J:$J,Performance!AS28,'Factory Log'!$C:$C,"Running")+SUMIFS('Factory Log'!$D:$D,'Factory Log'!$B:$B,Performance!AS$1,'Factory Log'!$J:$J,Performance!AS28,'Factory Log'!$C:$C,"Make Ready")+SUMIFS('Factory Log'!$D:$D,'Factory Log'!$B:$B,Performance!AS$1,'Factory Log'!$J:$J,Performance!AS28,'Factory Log'!$C:$C,"Roll Change")</f>
        <v>0</v>
      </c>
      <c r="AX28" s="3">
        <f>SUMIFS('Factory Log'!$M:$M,'Factory Log'!$B:$B,Performance!AS$1,'Factory Log'!$J:$J,Performance!AS28,'Factory Log'!$C:$C,"Running")</f>
        <v>0</v>
      </c>
      <c r="AY28" s="58" cm="1">
        <f t="array" ref="AY28">IFERROR(INDEX('Factory Log'!$S:$S,MATCH(1,(Performance!AS$1='Factory Log'!$B:$B)*(Performance!AS28='Factory Log'!$A:$A),0)),0)</f>
        <v>0</v>
      </c>
      <c r="AZ28" s="3">
        <f>IFERROR(VLOOKUP(AS28,'Factory Log'!$J:$R,9,0),0)</f>
        <v>0</v>
      </c>
      <c r="BA28" s="64">
        <f t="shared" si="8"/>
        <v>0</v>
      </c>
      <c r="BB28" s="58">
        <f t="shared" si="9"/>
        <v>0</v>
      </c>
      <c r="BE28" s="3">
        <f>IFERROR(VLOOKUP(BD28,'Factory Log'!$J:$O,6,0),0)</f>
        <v>0</v>
      </c>
      <c r="BF28" s="3">
        <f>IFERROR(VLOOKUP(BD28,'Factory Log'!$J:$P,7,0),0)</f>
        <v>0</v>
      </c>
      <c r="BG28" s="3">
        <f>IFERROR(VLOOKUP(BD28,'Factory Log'!$J:$Q,8,0),0)</f>
        <v>0</v>
      </c>
      <c r="BH28" s="58">
        <f>SUMIFS('Factory Log'!$D:$D,'Factory Log'!$B:$B,Performance!BD$1,'Factory Log'!$J:$J,Performance!BD28,'Factory Log'!$C:$C,"Running")+SUMIFS('Factory Log'!$D:$D,'Factory Log'!$B:$B,Performance!BD$1,'Factory Log'!$J:$J,Performance!BD28,'Factory Log'!$C:$C,"Make Ready")+SUMIFS('Factory Log'!$D:$D,'Factory Log'!$B:$B,Performance!BD$1,'Factory Log'!$J:$J,Performance!BD28,'Factory Log'!$C:$C,"Roll Change")</f>
        <v>0</v>
      </c>
      <c r="BI28" s="3">
        <f>SUMIFS('Factory Log'!$M:$M,'Factory Log'!$B:$B,Performance!BD$1,'Factory Log'!$J:$J,Performance!BD28,'Factory Log'!$C:$C,"Running")</f>
        <v>0</v>
      </c>
      <c r="BJ28" s="58" cm="1">
        <f t="array" ref="BJ28">IFERROR(INDEX('Factory Log'!$S:$S,MATCH(1,(Performance!BD$1='Factory Log'!$B:$B)*(Performance!BD28='Factory Log'!$A:$A),0)),0)</f>
        <v>0</v>
      </c>
      <c r="BK28" s="3">
        <f>IFERROR(VLOOKUP(BD28,'Factory Log'!$J:$R,9,0),0)</f>
        <v>0</v>
      </c>
      <c r="BL28" s="64">
        <f t="shared" si="10"/>
        <v>0</v>
      </c>
      <c r="BM28" s="58">
        <f t="shared" si="11"/>
        <v>0</v>
      </c>
      <c r="BP28" s="3">
        <f>IFERROR(VLOOKUP(BO28,'Factory Log'!$J:$O,6,0),0)</f>
        <v>0</v>
      </c>
      <c r="BQ28" s="3">
        <f>IFERROR(VLOOKUP(BO28,'Factory Log'!$J:$P,7,0),0)</f>
        <v>0</v>
      </c>
      <c r="BR28" s="3">
        <f>IFERROR(VLOOKUP(BO28,'Factory Log'!$J:$Q,8,0),0)</f>
        <v>0</v>
      </c>
      <c r="BS28" s="58">
        <f>SUMIFS('Factory Log'!$D:$D,'Factory Log'!$B:$B,Performance!BO$1,'Factory Log'!$J:$J,Performance!BO28,'Factory Log'!$C:$C,"Running")+SUMIFS('Factory Log'!$D:$D,'Factory Log'!$B:$B,Performance!BO$1,'Factory Log'!$J:$J,Performance!BO28,'Factory Log'!$C:$C,"Make Ready")+SUMIFS('Factory Log'!$D:$D,'Factory Log'!$B:$B,Performance!BO$1,'Factory Log'!$J:$J,Performance!BO28,'Factory Log'!$C:$C,"Roll Change")</f>
        <v>0</v>
      </c>
      <c r="BT28" s="3">
        <f>SUMIFS('Factory Log'!$M:$M,'Factory Log'!$B:$B,Performance!BO$1,'Factory Log'!$J:$J,Performance!BO28,'Factory Log'!$C:$C,"Running")</f>
        <v>0</v>
      </c>
      <c r="BU28" s="58" cm="1">
        <f t="array" ref="BU28">IFERROR(INDEX('Factory Log'!$S:$S,MATCH(1,(Performance!BO$1='Factory Log'!$B:$B)*(Performance!BO28='Factory Log'!$A:$A),0)),0)</f>
        <v>0</v>
      </c>
      <c r="BV28" s="3">
        <f>IFERROR(VLOOKUP(BO28,'Factory Log'!$J:$R,9,0),0)</f>
        <v>0</v>
      </c>
      <c r="BW28" s="64">
        <f t="shared" si="12"/>
        <v>0</v>
      </c>
      <c r="BX28" s="58">
        <f t="shared" si="13"/>
        <v>0</v>
      </c>
      <c r="CA28" s="3">
        <f>IFERROR(VLOOKUP(BZ28,'Factory Log'!$J:$O,6,0),0)</f>
        <v>0</v>
      </c>
      <c r="CB28" s="3">
        <f>IFERROR(VLOOKUP(BZ28,'Factory Log'!$J:$P,7,0),0)</f>
        <v>0</v>
      </c>
      <c r="CC28" s="3">
        <f>IFERROR(VLOOKUP(BZ28,'Factory Log'!$J:$Q,8,0),0)</f>
        <v>0</v>
      </c>
      <c r="CD28" s="58">
        <f>SUMIFS('Factory Log'!$D:$D,'Factory Log'!$B:$B,Performance!BZ$1,'Factory Log'!$J:$J,Performance!BZ28,'Factory Log'!$C:$C,"Running")+SUMIFS('Factory Log'!$D:$D,'Factory Log'!$B:$B,Performance!BZ$1,'Factory Log'!$J:$J,Performance!BZ28,'Factory Log'!$C:$C,"Make Ready")+SUMIFS('Factory Log'!$D:$D,'Factory Log'!$B:$B,Performance!BZ$1,'Factory Log'!$J:$J,Performance!BZ28,'Factory Log'!$C:$C,"Roll Change")</f>
        <v>0</v>
      </c>
      <c r="CE28" s="3">
        <f>SUMIFS('Factory Log'!$M:$M,'Factory Log'!$B:$B,Performance!BZ$1,'Factory Log'!$J:$J,Performance!BZ28,'Factory Log'!$C:$C,"Running")</f>
        <v>0</v>
      </c>
      <c r="CF28" s="58" cm="1">
        <f t="array" ref="CF28">IFERROR(INDEX('Factory Log'!$S:$S,MATCH(1,(Performance!BZ$1='Factory Log'!$B:$B)*(Performance!BZ28='Factory Log'!$A:$A),0)),0)</f>
        <v>0</v>
      </c>
      <c r="CG28" s="3">
        <f>IFERROR(VLOOKUP(BZ28,'Factory Log'!$J:$R,9,0),0)</f>
        <v>0</v>
      </c>
      <c r="CH28" s="64">
        <f t="shared" si="14"/>
        <v>0</v>
      </c>
      <c r="CI28" s="58">
        <f t="shared" si="15"/>
        <v>0</v>
      </c>
      <c r="CL28" s="3">
        <f>IFERROR(VLOOKUP(CK28,'Factory Log'!$J:$O,6,0),0)</f>
        <v>0</v>
      </c>
      <c r="CM28" s="3">
        <f>IFERROR(VLOOKUP(CK28,'Factory Log'!$J:$P,7,0),0)</f>
        <v>0</v>
      </c>
      <c r="CN28" s="3">
        <f>IFERROR(VLOOKUP(CK28,'Factory Log'!$J:$Q,8,0),0)</f>
        <v>0</v>
      </c>
      <c r="CO28" s="58">
        <f>SUMIFS('Factory Log'!$D:$D,'Factory Log'!$B:$B,Performance!CK$1,'Factory Log'!$J:$J,Performance!CK28,'Factory Log'!$C:$C,"Running")+SUMIFS('Factory Log'!$D:$D,'Factory Log'!$B:$B,Performance!CK$1,'Factory Log'!$J:$J,Performance!CK28,'Factory Log'!$C:$C,"Make Ready")+SUMIFS('Factory Log'!$D:$D,'Factory Log'!$B:$B,Performance!CK$1,'Factory Log'!$J:$J,Performance!CK28,'Factory Log'!$C:$C,"Roll Change")</f>
        <v>0</v>
      </c>
      <c r="CP28" s="3">
        <f>SUMIFS('Factory Log'!$M:$M,'Factory Log'!$B:$B,Performance!CK$1,'Factory Log'!$J:$J,Performance!CK28,'Factory Log'!$C:$C,"Running")</f>
        <v>0</v>
      </c>
      <c r="CQ28" s="58" cm="1">
        <f t="array" ref="CQ28">IFERROR(INDEX('Factory Log'!$S:$S,MATCH(1,(Performance!CK$1='Factory Log'!$B:$B)*(Performance!CK28='Factory Log'!$A:$A),0)),0)</f>
        <v>0</v>
      </c>
      <c r="CR28" s="3">
        <f>IFERROR(VLOOKUP(CK28,'Factory Log'!$J:$R,9,0),0)</f>
        <v>0</v>
      </c>
      <c r="CS28" s="64">
        <f t="shared" si="16"/>
        <v>0</v>
      </c>
      <c r="CT28" s="58">
        <f t="shared" si="17"/>
        <v>0</v>
      </c>
      <c r="CW28" s="3">
        <f>IFERROR(VLOOKUP(CV28,'Factory Log'!$J:$O,6,0),0)</f>
        <v>0</v>
      </c>
      <c r="CX28" s="3">
        <f>IFERROR(VLOOKUP(CV28,'Factory Log'!$J:$P,7,0),0)</f>
        <v>0</v>
      </c>
      <c r="CY28" s="3">
        <f>IFERROR(VLOOKUP(CV28,'Factory Log'!$J:$Q,8,0),0)</f>
        <v>0</v>
      </c>
      <c r="CZ28" s="58">
        <f>SUMIFS('Factory Log'!$D:$D,'Factory Log'!$B:$B,Performance!CV$1,'Factory Log'!$J:$J,Performance!CV28,'Factory Log'!$C:$C,"Running")+SUMIFS('Factory Log'!$D:$D,'Factory Log'!$B:$B,Performance!CV$1,'Factory Log'!$J:$J,Performance!CV28,'Factory Log'!$C:$C,"Make Ready")+SUMIFS('Factory Log'!$D:$D,'Factory Log'!$B:$B,Performance!CV$1,'Factory Log'!$J:$J,Performance!CV28,'Factory Log'!$C:$C,"Roll Change")</f>
        <v>0</v>
      </c>
      <c r="DA28" s="3">
        <f>SUMIFS('Factory Log'!$M:$M,'Factory Log'!$B:$B,Performance!CV$1,'Factory Log'!$J:$J,Performance!CV28,'Factory Log'!$C:$C,"Running")</f>
        <v>0</v>
      </c>
      <c r="DB28" s="58" cm="1">
        <f t="array" ref="DB28">IFERROR(INDEX('Factory Log'!$S:$S,MATCH(1,(Performance!CV$1='Factory Log'!$B:$B)*(Performance!CV28='Factory Log'!$A:$A),0)),0)</f>
        <v>0</v>
      </c>
      <c r="DC28" s="3">
        <f>IFERROR(VLOOKUP(CV28,'Factory Log'!$J:$R,9,0),0)</f>
        <v>0</v>
      </c>
      <c r="DD28" s="64">
        <f t="shared" si="18"/>
        <v>0</v>
      </c>
      <c r="DE28" s="58">
        <f t="shared" si="19"/>
        <v>0</v>
      </c>
      <c r="DH28" s="3">
        <f>IFERROR(VLOOKUP(DG28,'Factory Log'!$J:$O,6,0),0)</f>
        <v>0</v>
      </c>
      <c r="DI28" s="3">
        <f>IFERROR(VLOOKUP(DG28,'Factory Log'!$J:$P,7,0),0)</f>
        <v>0</v>
      </c>
      <c r="DJ28" s="3">
        <f>IFERROR(VLOOKUP(DG28,'Factory Log'!$J:$Q,8,0),0)</f>
        <v>0</v>
      </c>
      <c r="DK28" s="58">
        <f>SUMIFS('Factory Log'!$D:$D,'Factory Log'!$B:$B,Performance!DG$1,'Factory Log'!$J:$J,Performance!DG28,'Factory Log'!$C:$C,"Running")+SUMIFS('Factory Log'!$D:$D,'Factory Log'!$B:$B,Performance!DG$1,'Factory Log'!$J:$J,Performance!DG28,'Factory Log'!$C:$C,"Make Ready")+SUMIFS('Factory Log'!$D:$D,'Factory Log'!$B:$B,Performance!DG$1,'Factory Log'!$J:$J,Performance!DG28,'Factory Log'!$C:$C,"Roll Change")</f>
        <v>0</v>
      </c>
      <c r="DL28" s="3">
        <f>SUMIFS('Factory Log'!$M:$M,'Factory Log'!$B:$B,Performance!DG$1,'Factory Log'!$J:$J,Performance!DG28,'Factory Log'!$C:$C,"Running")</f>
        <v>0</v>
      </c>
      <c r="DM28" s="58" cm="1">
        <f t="array" ref="DM28">IFERROR(INDEX('Factory Log'!$S:$S,MATCH(1,(Performance!DG$1='Factory Log'!$B:$B)*(Performance!DG28='Factory Log'!$A:$A),0)),0)</f>
        <v>0</v>
      </c>
      <c r="DN28" s="3">
        <f>IFERROR(VLOOKUP(DG28,'Factory Log'!$J:$R,9,0),0)</f>
        <v>0</v>
      </c>
      <c r="DO28" s="64">
        <f t="shared" si="20"/>
        <v>0</v>
      </c>
      <c r="DP28" s="58">
        <f t="shared" si="21"/>
        <v>0</v>
      </c>
      <c r="DS28" s="3">
        <f>IFERROR(VLOOKUP(DR28,'Factory Log'!$J:$O,6,0),0)</f>
        <v>0</v>
      </c>
      <c r="DT28" s="3">
        <f>IFERROR(VLOOKUP(DR28,'Factory Log'!$J:$P,7,0),0)</f>
        <v>0</v>
      </c>
      <c r="DU28" s="3">
        <f>IFERROR(VLOOKUP(DR28,'Factory Log'!$J:$Q,8,0),0)</f>
        <v>0</v>
      </c>
      <c r="DV28" s="58">
        <f>SUMIFS('Factory Log'!$D:$D,'Factory Log'!$B:$B,Performance!DR$1,'Factory Log'!$J:$J,Performance!DR28,'Factory Log'!$C:$C,"Running")+SUMIFS('Factory Log'!$D:$D,'Factory Log'!$B:$B,Performance!DR$1,'Factory Log'!$J:$J,Performance!DR28,'Factory Log'!$C:$C,"Make Ready")+SUMIFS('Factory Log'!$D:$D,'Factory Log'!$B:$B,Performance!DR$1,'Factory Log'!$J:$J,Performance!DR28,'Factory Log'!$C:$C,"Roll Change")</f>
        <v>0</v>
      </c>
      <c r="DW28" s="3">
        <f>SUMIFS('Factory Log'!$M:$M,'Factory Log'!$B:$B,Performance!DR$1,'Factory Log'!$J:$J,Performance!DR28,'Factory Log'!$C:$C,"Running")</f>
        <v>0</v>
      </c>
      <c r="DX28" s="58" cm="1">
        <f t="array" ref="DX28">IFERROR(INDEX('Factory Log'!$S:$S,MATCH(1,(Performance!DR$1='Factory Log'!$B:$B)*(Performance!DR28='Factory Log'!$A:$A),0)),0)</f>
        <v>0</v>
      </c>
      <c r="DY28" s="3">
        <f>IFERROR(VLOOKUP(DR28,'Factory Log'!$J:$R,9,0),0)</f>
        <v>0</v>
      </c>
      <c r="DZ28" s="64">
        <f t="shared" si="22"/>
        <v>0</v>
      </c>
      <c r="EA28" s="58">
        <f t="shared" si="23"/>
        <v>0</v>
      </c>
      <c r="ED28" s="3">
        <f>IFERROR(VLOOKUP(EC28,'Factory Log'!$J:$O,6,0),0)</f>
        <v>0</v>
      </c>
      <c r="EE28" s="3">
        <f>IFERROR(VLOOKUP(EC28,'Factory Log'!$J:$P,7,0),0)</f>
        <v>0</v>
      </c>
      <c r="EF28" s="3">
        <f>IFERROR(VLOOKUP(EC28,'Factory Log'!$J:$Q,8,0),0)</f>
        <v>0</v>
      </c>
      <c r="EG28" s="58">
        <f>SUMIFS('Factory Log'!$D:$D,'Factory Log'!$B:$B,Performance!EC$1,'Factory Log'!$J:$J,Performance!EC28,'Factory Log'!$C:$C,"Running")+SUMIFS('Factory Log'!$D:$D,'Factory Log'!$B:$B,Performance!EC$1,'Factory Log'!$J:$J,Performance!EC28,'Factory Log'!$C:$C,"Make Ready")+SUMIFS('Factory Log'!$D:$D,'Factory Log'!$B:$B,Performance!EC$1,'Factory Log'!$J:$J,Performance!EC28,'Factory Log'!$C:$C,"Roll Change")</f>
        <v>0</v>
      </c>
      <c r="EH28" s="3">
        <f>SUMIFS('Factory Log'!$M:$M,'Factory Log'!$B:$B,Performance!EC$1,'Factory Log'!$J:$J,Performance!EC28,'Factory Log'!$C:$C,"Running")</f>
        <v>0</v>
      </c>
      <c r="EI28" s="58" cm="1">
        <f t="array" ref="EI28">IFERROR(INDEX('Factory Log'!$S:$S,MATCH(1,(Performance!EC$1='Factory Log'!$B:$B)*(Performance!EC28='Factory Log'!$A:$A),0)),0)</f>
        <v>0</v>
      </c>
      <c r="EJ28" s="3">
        <f>IFERROR(VLOOKUP(EC28,'Factory Log'!$J:$R,9,0),0)</f>
        <v>0</v>
      </c>
      <c r="EK28" s="64">
        <f t="shared" si="24"/>
        <v>0</v>
      </c>
      <c r="EL28" s="58">
        <f t="shared" si="25"/>
        <v>0</v>
      </c>
      <c r="EO28" s="3">
        <f>IFERROR(VLOOKUP(EN28,'Factory Log'!$J:$O,6,0),0)</f>
        <v>0</v>
      </c>
      <c r="EP28" s="3">
        <f>IFERROR(VLOOKUP(EN28,'Factory Log'!$J:$P,7,0),0)</f>
        <v>0</v>
      </c>
      <c r="EQ28" s="3">
        <f>IFERROR(VLOOKUP(EN28,'Factory Log'!$J:$Q,8,0),0)</f>
        <v>0</v>
      </c>
      <c r="ER28" s="58">
        <f>SUMIFS('Factory Log'!$D:$D,'Factory Log'!$B:$B,Performance!EN$1,'Factory Log'!$J:$J,Performance!EN28,'Factory Log'!$C:$C,"Running")+SUMIFS('Factory Log'!$D:$D,'Factory Log'!$B:$B,Performance!EN$1,'Factory Log'!$J:$J,Performance!EN28,'Factory Log'!$C:$C,"Make Ready")+SUMIFS('Factory Log'!$D:$D,'Factory Log'!$B:$B,Performance!EN$1,'Factory Log'!$J:$J,Performance!EN28,'Factory Log'!$C:$C,"Roll Change")</f>
        <v>0</v>
      </c>
      <c r="ES28" s="3">
        <f>SUMIFS('Factory Log'!$M:$M,'Factory Log'!$B:$B,Performance!EN$1,'Factory Log'!$J:$J,Performance!EN28,'Factory Log'!$C:$C,"Running")</f>
        <v>0</v>
      </c>
      <c r="ET28" s="58" cm="1">
        <f t="array" ref="ET28">IFERROR(INDEX('Factory Log'!$S:$S,MATCH(1,(Performance!EN$1='Factory Log'!$B:$B)*(Performance!EN28='Factory Log'!$A:$A),0)),0)</f>
        <v>0</v>
      </c>
      <c r="EU28" s="3">
        <f>IFERROR(VLOOKUP(EN28,'Factory Log'!$J:$R,9,0),0)</f>
        <v>0</v>
      </c>
      <c r="EV28" s="64">
        <f t="shared" si="26"/>
        <v>0</v>
      </c>
      <c r="EW28" s="58">
        <f t="shared" si="27"/>
        <v>0</v>
      </c>
      <c r="EZ28" s="3">
        <f>IFERROR(VLOOKUP(EY28,'Factory Log'!$J:$O,6,0),0)</f>
        <v>0</v>
      </c>
      <c r="FA28" s="3">
        <f>IFERROR(VLOOKUP(EY28,'Factory Log'!$J:$P,7,0),0)</f>
        <v>0</v>
      </c>
      <c r="FB28" s="3">
        <f>IFERROR(VLOOKUP(EY28,'Factory Log'!$J:$Q,8,0),0)</f>
        <v>0</v>
      </c>
      <c r="FC28" s="58">
        <f>SUMIFS('Factory Log'!$D:$D,'Factory Log'!$B:$B,Performance!EY$1,'Factory Log'!$J:$J,Performance!EY28,'Factory Log'!$C:$C,"Running")+SUMIFS('Factory Log'!$D:$D,'Factory Log'!$B:$B,Performance!EY$1,'Factory Log'!$J:$J,Performance!EY28,'Factory Log'!$C:$C,"Make Ready")+SUMIFS('Factory Log'!$D:$D,'Factory Log'!$B:$B,Performance!EY$1,'Factory Log'!$J:$J,Performance!EY28,'Factory Log'!$C:$C,"Roll Change")</f>
        <v>0</v>
      </c>
      <c r="FD28" s="3">
        <f>SUMIFS('Factory Log'!$M:$M,'Factory Log'!$B:$B,Performance!EY$1,'Factory Log'!$J:$J,Performance!EY28,'Factory Log'!$C:$C,"Running")</f>
        <v>0</v>
      </c>
      <c r="FE28" s="58" cm="1">
        <f t="array" ref="FE28">IFERROR(INDEX('Factory Log'!$S:$S,MATCH(1,(Performance!EY$1='Factory Log'!$B:$B)*(Performance!EY28='Factory Log'!$A:$A),0)),0)</f>
        <v>0</v>
      </c>
      <c r="FF28" s="3">
        <f>IFERROR(VLOOKUP(EY28,'Factory Log'!$J:$R,9,0),0)</f>
        <v>0</v>
      </c>
      <c r="FG28" s="64">
        <f t="shared" si="28"/>
        <v>0</v>
      </c>
      <c r="FH28" s="58">
        <f t="shared" si="29"/>
        <v>0</v>
      </c>
    </row>
    <row r="29" spans="2:164" ht="16" customHeight="1" x14ac:dyDescent="0.2">
      <c r="B29" s="3">
        <f>IFERROR(VLOOKUP(A29,'Factory Log'!$J:$O,6,0),0)</f>
        <v>0</v>
      </c>
      <c r="C29" s="3">
        <f>IFERROR(VLOOKUP(A29,'Factory Log'!$J:$P,7,0),0)</f>
        <v>0</v>
      </c>
      <c r="D29" s="3">
        <f>IFERROR(VLOOKUP(A29,'Factory Log'!$J:$Q,8,0),0)</f>
        <v>0</v>
      </c>
      <c r="E29" s="58">
        <f>SUMIFS('Factory Log'!$D:$D,'Factory Log'!$B:$B,Performance!A$1,'Factory Log'!$J:$J,Performance!A29,'Factory Log'!$C:$C,"Running")+SUMIFS('Factory Log'!$D:$D,'Factory Log'!$B:$B,Performance!A$1,'Factory Log'!$J:$J,Performance!A29,'Factory Log'!$C:$C,"Make Ready")+SUMIFS('Factory Log'!$D:$D,'Factory Log'!$B:$B,Performance!A$1,'Factory Log'!$J:$J,Performance!A29,'Factory Log'!$C:$C,"Roll Change")</f>
        <v>0</v>
      </c>
      <c r="F29" s="3">
        <f>SUMIFS('Factory Log'!$M:$M,'Factory Log'!$B:$B,Performance!A$1,'Factory Log'!$J:$J,Performance!A29,'Factory Log'!$C:$C,"Running")</f>
        <v>0</v>
      </c>
      <c r="G29" s="58" cm="1">
        <f t="array" ref="G29">IFERROR(INDEX('Factory Log'!$S:$S,MATCH(1,(Performance!A$1='Factory Log'!$B:$B)*(Performance!A29='Factory Log'!$A:$A),0)),0)</f>
        <v>0</v>
      </c>
      <c r="H29" s="3">
        <f>IFERROR(VLOOKUP(A29,'Factory Log'!$J:$R,9,0),0)</f>
        <v>0</v>
      </c>
      <c r="I29" s="64">
        <f t="shared" si="1"/>
        <v>0</v>
      </c>
      <c r="J29" s="58">
        <f t="shared" si="30"/>
        <v>0</v>
      </c>
      <c r="M29" s="3">
        <f>IFERROR(VLOOKUP(L29,'Factory Log'!$J:$O,6,0),0)</f>
        <v>0</v>
      </c>
      <c r="N29" s="3">
        <f>IFERROR(VLOOKUP(L29,'Factory Log'!$J:$P,7,0),0)</f>
        <v>0</v>
      </c>
      <c r="O29" s="3">
        <f>IFERROR(VLOOKUP(L29,'Factory Log'!$J:$Q,8,0),0)</f>
        <v>0</v>
      </c>
      <c r="P29" s="58">
        <f>SUMIFS('Factory Log'!$D:$D,'Factory Log'!$B:$B,Performance!L$1,'Factory Log'!$J:$J,Performance!L29,'Factory Log'!$C:$C,"Running")+SUMIFS('Factory Log'!$D:$D,'Factory Log'!$B:$B,Performance!L$1,'Factory Log'!$J:$J,Performance!L29,'Factory Log'!$C:$C,"Make Ready")+SUMIFS('Factory Log'!$D:$D,'Factory Log'!$B:$B,Performance!L$1,'Factory Log'!$J:$J,Performance!L29,'Factory Log'!$C:$C,"Roll Change")</f>
        <v>0</v>
      </c>
      <c r="Q29" s="3">
        <f>SUMIFS('Factory Log'!$M:$M,'Factory Log'!$B:$B,Performance!L$1,'Factory Log'!$J:$J,Performance!L29,'Factory Log'!$C:$C,"Running")</f>
        <v>0</v>
      </c>
      <c r="R29" s="58" cm="1">
        <f t="array" ref="R29">IFERROR(INDEX('Factory Log'!$S:$S,MATCH(1,(Performance!L$1='Factory Log'!$B:$B)*(Performance!L29='Factory Log'!$A:$A),0)),0)</f>
        <v>0</v>
      </c>
      <c r="S29" s="3">
        <f>IFERROR(VLOOKUP(L29,'Factory Log'!$J:$R,9,0),0)</f>
        <v>0</v>
      </c>
      <c r="T29" s="64">
        <f t="shared" si="2"/>
        <v>0</v>
      </c>
      <c r="U29" s="58">
        <f t="shared" si="31"/>
        <v>0</v>
      </c>
      <c r="X29" s="3">
        <f>IFERROR(VLOOKUP(W29,'Factory Log'!$J:$O,6,0),0)</f>
        <v>0</v>
      </c>
      <c r="Y29" s="3">
        <f>IFERROR(VLOOKUP(W29,'Factory Log'!$J:$P,7,0),0)</f>
        <v>0</v>
      </c>
      <c r="Z29" s="3">
        <f>IFERROR(VLOOKUP(W29,'Factory Log'!$J:$Q,8,0),0)</f>
        <v>0</v>
      </c>
      <c r="AA29" s="58">
        <f>SUMIFS('Factory Log'!$D:$D,'Factory Log'!$B:$B,Performance!W$1,'Factory Log'!$J:$J,Performance!W29,'Factory Log'!$C:$C,"Running")+SUMIFS('Factory Log'!$D:$D,'Factory Log'!$B:$B,Performance!W$1,'Factory Log'!$J:$J,Performance!W29,'Factory Log'!$C:$C,"Make Ready")+SUMIFS('Factory Log'!$D:$D,'Factory Log'!$B:$B,Performance!W$1,'Factory Log'!$J:$J,Performance!W29,'Factory Log'!$C:$C,"Roll Change")</f>
        <v>0</v>
      </c>
      <c r="AB29" s="3">
        <f>SUMIFS('Factory Log'!$M:$M,'Factory Log'!$B:$B,Performance!W$1,'Factory Log'!$J:$J,Performance!W29,'Factory Log'!$C:$C,"Running")</f>
        <v>0</v>
      </c>
      <c r="AC29" s="58" cm="1">
        <f t="array" ref="AC29">IFERROR(INDEX('Factory Log'!$S:$S,MATCH(1,(Performance!W$1='Factory Log'!$B:$B)*(Performance!W29='Factory Log'!$A:$A),0)),0)</f>
        <v>0</v>
      </c>
      <c r="AD29" s="3">
        <f>IFERROR(VLOOKUP(W29,'Factory Log'!$J:$R,9,0),0)</f>
        <v>0</v>
      </c>
      <c r="AE29" s="64">
        <f t="shared" si="4"/>
        <v>0</v>
      </c>
      <c r="AF29" s="58">
        <f t="shared" si="33"/>
        <v>0</v>
      </c>
      <c r="AI29" s="3">
        <f>IFERROR(VLOOKUP(AH29,'Factory Log'!$J:$O,6,0),0)</f>
        <v>0</v>
      </c>
      <c r="AJ29" s="3">
        <f>IFERROR(VLOOKUP(AH29,'Factory Log'!$J:$P,7,0),0)</f>
        <v>0</v>
      </c>
      <c r="AK29" s="3">
        <f>IFERROR(VLOOKUP(AH29,'Factory Log'!$J:$Q,8,0),0)</f>
        <v>0</v>
      </c>
      <c r="AL29" s="58">
        <f>SUMIFS('Factory Log'!$D:$D,'Factory Log'!$B:$B,Performance!AH$1,'Factory Log'!$J:$J,Performance!AH29,'Factory Log'!$C:$C,"Running")+SUMIFS('Factory Log'!$D:$D,'Factory Log'!$B:$B,Performance!AH$1,'Factory Log'!$J:$J,Performance!AH29,'Factory Log'!$C:$C,"Make Ready")+SUMIFS('Factory Log'!$D:$D,'Factory Log'!$B:$B,Performance!AH$1,'Factory Log'!$J:$J,Performance!AH29,'Factory Log'!$C:$C,"Roll Change")</f>
        <v>0</v>
      </c>
      <c r="AM29" s="3">
        <f>SUMIFS('Factory Log'!$M:$M,'Factory Log'!$B:$B,Performance!AH$1,'Factory Log'!$J:$J,Performance!AH29,'Factory Log'!$C:$C,"Running")</f>
        <v>0</v>
      </c>
      <c r="AN29" s="58" cm="1">
        <f t="array" ref="AN29">IFERROR(INDEX('Factory Log'!$S:$S,MATCH(1,(Performance!AH$1='Factory Log'!$B:$B)*(Performance!AH29='Factory Log'!$A:$A),0)),0)</f>
        <v>0</v>
      </c>
      <c r="AO29" s="3">
        <f>IFERROR(VLOOKUP(AH29,'Factory Log'!$J:$R,9,0),0)</f>
        <v>0</v>
      </c>
      <c r="AP29" s="64">
        <f t="shared" si="6"/>
        <v>0</v>
      </c>
      <c r="AQ29" s="58">
        <f t="shared" si="7"/>
        <v>0</v>
      </c>
      <c r="AT29" s="3">
        <f>IFERROR(VLOOKUP(AS29,'Factory Log'!$J:$O,6,0),0)</f>
        <v>0</v>
      </c>
      <c r="AU29" s="3">
        <f>IFERROR(VLOOKUP(AS29,'Factory Log'!$J:$P,7,0),0)</f>
        <v>0</v>
      </c>
      <c r="AV29" s="3">
        <f>IFERROR(VLOOKUP(AS29,'Factory Log'!$J:$Q,8,0),0)</f>
        <v>0</v>
      </c>
      <c r="AW29" s="58">
        <f>SUMIFS('Factory Log'!$D:$D,'Factory Log'!$B:$B,Performance!AS$1,'Factory Log'!$J:$J,Performance!AS29,'Factory Log'!$C:$C,"Running")+SUMIFS('Factory Log'!$D:$D,'Factory Log'!$B:$B,Performance!AS$1,'Factory Log'!$J:$J,Performance!AS29,'Factory Log'!$C:$C,"Make Ready")+SUMIFS('Factory Log'!$D:$D,'Factory Log'!$B:$B,Performance!AS$1,'Factory Log'!$J:$J,Performance!AS29,'Factory Log'!$C:$C,"Roll Change")</f>
        <v>0</v>
      </c>
      <c r="AX29" s="3">
        <f>SUMIFS('Factory Log'!$M:$M,'Factory Log'!$B:$B,Performance!AS$1,'Factory Log'!$J:$J,Performance!AS29,'Factory Log'!$C:$C,"Running")</f>
        <v>0</v>
      </c>
      <c r="AY29" s="58" cm="1">
        <f t="array" ref="AY29">IFERROR(INDEX('Factory Log'!$S:$S,MATCH(1,(Performance!AS$1='Factory Log'!$B:$B)*(Performance!AS29='Factory Log'!$A:$A),0)),0)</f>
        <v>0</v>
      </c>
      <c r="AZ29" s="3">
        <f>IFERROR(VLOOKUP(AS29,'Factory Log'!$J:$R,9,0),0)</f>
        <v>0</v>
      </c>
      <c r="BA29" s="64">
        <f t="shared" si="8"/>
        <v>0</v>
      </c>
      <c r="BB29" s="58">
        <f t="shared" si="9"/>
        <v>0</v>
      </c>
      <c r="BE29" s="3">
        <f>IFERROR(VLOOKUP(BD29,'Factory Log'!$J:$O,6,0),0)</f>
        <v>0</v>
      </c>
      <c r="BF29" s="3">
        <f>IFERROR(VLOOKUP(BD29,'Factory Log'!$J:$P,7,0),0)</f>
        <v>0</v>
      </c>
      <c r="BG29" s="3">
        <f>IFERROR(VLOOKUP(BD29,'Factory Log'!$J:$Q,8,0),0)</f>
        <v>0</v>
      </c>
      <c r="BH29" s="58">
        <f>SUMIFS('Factory Log'!$D:$D,'Factory Log'!$B:$B,Performance!BD$1,'Factory Log'!$J:$J,Performance!BD29,'Factory Log'!$C:$C,"Running")+SUMIFS('Factory Log'!$D:$D,'Factory Log'!$B:$B,Performance!BD$1,'Factory Log'!$J:$J,Performance!BD29,'Factory Log'!$C:$C,"Make Ready")+SUMIFS('Factory Log'!$D:$D,'Factory Log'!$B:$B,Performance!BD$1,'Factory Log'!$J:$J,Performance!BD29,'Factory Log'!$C:$C,"Roll Change")</f>
        <v>0</v>
      </c>
      <c r="BI29" s="3">
        <f>SUMIFS('Factory Log'!$M:$M,'Factory Log'!$B:$B,Performance!BD$1,'Factory Log'!$J:$J,Performance!BD29,'Factory Log'!$C:$C,"Running")</f>
        <v>0</v>
      </c>
      <c r="BJ29" s="58" cm="1">
        <f t="array" ref="BJ29">IFERROR(INDEX('Factory Log'!$S:$S,MATCH(1,(Performance!BD$1='Factory Log'!$B:$B)*(Performance!BD29='Factory Log'!$A:$A),0)),0)</f>
        <v>0</v>
      </c>
      <c r="BK29" s="3">
        <f>IFERROR(VLOOKUP(BD29,'Factory Log'!$J:$R,9,0),0)</f>
        <v>0</v>
      </c>
      <c r="BL29" s="64">
        <f t="shared" si="10"/>
        <v>0</v>
      </c>
      <c r="BM29" s="58">
        <f t="shared" si="11"/>
        <v>0</v>
      </c>
      <c r="BP29" s="3">
        <f>IFERROR(VLOOKUP(BO29,'Factory Log'!$J:$O,6,0),0)</f>
        <v>0</v>
      </c>
      <c r="BQ29" s="3">
        <f>IFERROR(VLOOKUP(BO29,'Factory Log'!$J:$P,7,0),0)</f>
        <v>0</v>
      </c>
      <c r="BR29" s="3">
        <f>IFERROR(VLOOKUP(BO29,'Factory Log'!$J:$Q,8,0),0)</f>
        <v>0</v>
      </c>
      <c r="BS29" s="58">
        <f>SUMIFS('Factory Log'!$D:$D,'Factory Log'!$B:$B,Performance!BO$1,'Factory Log'!$J:$J,Performance!BO29,'Factory Log'!$C:$C,"Running")+SUMIFS('Factory Log'!$D:$D,'Factory Log'!$B:$B,Performance!BO$1,'Factory Log'!$J:$J,Performance!BO29,'Factory Log'!$C:$C,"Make Ready")+SUMIFS('Factory Log'!$D:$D,'Factory Log'!$B:$B,Performance!BO$1,'Factory Log'!$J:$J,Performance!BO29,'Factory Log'!$C:$C,"Roll Change")</f>
        <v>0</v>
      </c>
      <c r="BT29" s="3">
        <f>SUMIFS('Factory Log'!$M:$M,'Factory Log'!$B:$B,Performance!BO$1,'Factory Log'!$J:$J,Performance!BO29,'Factory Log'!$C:$C,"Running")</f>
        <v>0</v>
      </c>
      <c r="BU29" s="58" cm="1">
        <f t="array" ref="BU29">IFERROR(INDEX('Factory Log'!$S:$S,MATCH(1,(Performance!BO$1='Factory Log'!$B:$B)*(Performance!BO29='Factory Log'!$A:$A),0)),0)</f>
        <v>0</v>
      </c>
      <c r="BV29" s="3">
        <f>IFERROR(VLOOKUP(BO29,'Factory Log'!$J:$R,9,0),0)</f>
        <v>0</v>
      </c>
      <c r="BW29" s="64">
        <f t="shared" si="12"/>
        <v>0</v>
      </c>
      <c r="BX29" s="58">
        <f t="shared" si="13"/>
        <v>0</v>
      </c>
      <c r="CA29" s="3">
        <f>IFERROR(VLOOKUP(BZ29,'Factory Log'!$J:$O,6,0),0)</f>
        <v>0</v>
      </c>
      <c r="CB29" s="3">
        <f>IFERROR(VLOOKUP(BZ29,'Factory Log'!$J:$P,7,0),0)</f>
        <v>0</v>
      </c>
      <c r="CC29" s="3">
        <f>IFERROR(VLOOKUP(BZ29,'Factory Log'!$J:$Q,8,0),0)</f>
        <v>0</v>
      </c>
      <c r="CD29" s="58">
        <f>SUMIFS('Factory Log'!$D:$D,'Factory Log'!$B:$B,Performance!BZ$1,'Factory Log'!$J:$J,Performance!BZ29,'Factory Log'!$C:$C,"Running")+SUMIFS('Factory Log'!$D:$D,'Factory Log'!$B:$B,Performance!BZ$1,'Factory Log'!$J:$J,Performance!BZ29,'Factory Log'!$C:$C,"Make Ready")+SUMIFS('Factory Log'!$D:$D,'Factory Log'!$B:$B,Performance!BZ$1,'Factory Log'!$J:$J,Performance!BZ29,'Factory Log'!$C:$C,"Roll Change")</f>
        <v>0</v>
      </c>
      <c r="CE29" s="3">
        <f>SUMIFS('Factory Log'!$M:$M,'Factory Log'!$B:$B,Performance!BZ$1,'Factory Log'!$J:$J,Performance!BZ29,'Factory Log'!$C:$C,"Running")</f>
        <v>0</v>
      </c>
      <c r="CF29" s="58" cm="1">
        <f t="array" ref="CF29">IFERROR(INDEX('Factory Log'!$S:$S,MATCH(1,(Performance!BZ$1='Factory Log'!$B:$B)*(Performance!BZ29='Factory Log'!$A:$A),0)),0)</f>
        <v>0</v>
      </c>
      <c r="CG29" s="3">
        <f>IFERROR(VLOOKUP(BZ29,'Factory Log'!$J:$R,9,0),0)</f>
        <v>0</v>
      </c>
      <c r="CH29" s="64">
        <f t="shared" si="14"/>
        <v>0</v>
      </c>
      <c r="CI29" s="58">
        <f t="shared" si="15"/>
        <v>0</v>
      </c>
      <c r="CL29" s="3">
        <f>IFERROR(VLOOKUP(CK29,'Factory Log'!$J:$O,6,0),0)</f>
        <v>0</v>
      </c>
      <c r="CM29" s="3">
        <f>IFERROR(VLOOKUP(CK29,'Factory Log'!$J:$P,7,0),0)</f>
        <v>0</v>
      </c>
      <c r="CN29" s="3">
        <f>IFERROR(VLOOKUP(CK29,'Factory Log'!$J:$Q,8,0),0)</f>
        <v>0</v>
      </c>
      <c r="CO29" s="58">
        <f>SUMIFS('Factory Log'!$D:$D,'Factory Log'!$B:$B,Performance!CK$1,'Factory Log'!$J:$J,Performance!CK29,'Factory Log'!$C:$C,"Running")+SUMIFS('Factory Log'!$D:$D,'Factory Log'!$B:$B,Performance!CK$1,'Factory Log'!$J:$J,Performance!CK29,'Factory Log'!$C:$C,"Make Ready")+SUMIFS('Factory Log'!$D:$D,'Factory Log'!$B:$B,Performance!CK$1,'Factory Log'!$J:$J,Performance!CK29,'Factory Log'!$C:$C,"Roll Change")</f>
        <v>0</v>
      </c>
      <c r="CP29" s="3">
        <f>SUMIFS('Factory Log'!$M:$M,'Factory Log'!$B:$B,Performance!CK$1,'Factory Log'!$J:$J,Performance!CK29,'Factory Log'!$C:$C,"Running")</f>
        <v>0</v>
      </c>
      <c r="CQ29" s="58" cm="1">
        <f t="array" ref="CQ29">IFERROR(INDEX('Factory Log'!$S:$S,MATCH(1,(Performance!CK$1='Factory Log'!$B:$B)*(Performance!CK29='Factory Log'!$A:$A),0)),0)</f>
        <v>0</v>
      </c>
      <c r="CR29" s="3">
        <f>IFERROR(VLOOKUP(CK29,'Factory Log'!$J:$R,9,0),0)</f>
        <v>0</v>
      </c>
      <c r="CS29" s="64">
        <f t="shared" si="16"/>
        <v>0</v>
      </c>
      <c r="CT29" s="58">
        <f t="shared" si="17"/>
        <v>0</v>
      </c>
      <c r="CW29" s="3">
        <f>IFERROR(VLOOKUP(CV29,'Factory Log'!$J:$O,6,0),0)</f>
        <v>0</v>
      </c>
      <c r="CX29" s="3">
        <f>IFERROR(VLOOKUP(CV29,'Factory Log'!$J:$P,7,0),0)</f>
        <v>0</v>
      </c>
      <c r="CY29" s="3">
        <f>IFERROR(VLOOKUP(CV29,'Factory Log'!$J:$Q,8,0),0)</f>
        <v>0</v>
      </c>
      <c r="CZ29" s="58">
        <f>SUMIFS('Factory Log'!$D:$D,'Factory Log'!$B:$B,Performance!CV$1,'Factory Log'!$J:$J,Performance!CV29,'Factory Log'!$C:$C,"Running")+SUMIFS('Factory Log'!$D:$D,'Factory Log'!$B:$B,Performance!CV$1,'Factory Log'!$J:$J,Performance!CV29,'Factory Log'!$C:$C,"Make Ready")+SUMIFS('Factory Log'!$D:$D,'Factory Log'!$B:$B,Performance!CV$1,'Factory Log'!$J:$J,Performance!CV29,'Factory Log'!$C:$C,"Roll Change")</f>
        <v>0</v>
      </c>
      <c r="DA29" s="3">
        <f>SUMIFS('Factory Log'!$M:$M,'Factory Log'!$B:$B,Performance!CV$1,'Factory Log'!$J:$J,Performance!CV29,'Factory Log'!$C:$C,"Running")</f>
        <v>0</v>
      </c>
      <c r="DB29" s="58" cm="1">
        <f t="array" ref="DB29">IFERROR(INDEX('Factory Log'!$S:$S,MATCH(1,(Performance!CV$1='Factory Log'!$B:$B)*(Performance!CV29='Factory Log'!$A:$A),0)),0)</f>
        <v>0</v>
      </c>
      <c r="DC29" s="3">
        <f>IFERROR(VLOOKUP(CV29,'Factory Log'!$J:$R,9,0),0)</f>
        <v>0</v>
      </c>
      <c r="DD29" s="64">
        <f t="shared" si="18"/>
        <v>0</v>
      </c>
      <c r="DE29" s="58">
        <f t="shared" si="19"/>
        <v>0</v>
      </c>
      <c r="DH29" s="3">
        <f>IFERROR(VLOOKUP(DG29,'Factory Log'!$J:$O,6,0),0)</f>
        <v>0</v>
      </c>
      <c r="DI29" s="3">
        <f>IFERROR(VLOOKUP(DG29,'Factory Log'!$J:$P,7,0),0)</f>
        <v>0</v>
      </c>
      <c r="DJ29" s="3">
        <f>IFERROR(VLOOKUP(DG29,'Factory Log'!$J:$Q,8,0),0)</f>
        <v>0</v>
      </c>
      <c r="DK29" s="58">
        <f>SUMIFS('Factory Log'!$D:$D,'Factory Log'!$B:$B,Performance!DG$1,'Factory Log'!$J:$J,Performance!DG29,'Factory Log'!$C:$C,"Running")+SUMIFS('Factory Log'!$D:$D,'Factory Log'!$B:$B,Performance!DG$1,'Factory Log'!$J:$J,Performance!DG29,'Factory Log'!$C:$C,"Make Ready")+SUMIFS('Factory Log'!$D:$D,'Factory Log'!$B:$B,Performance!DG$1,'Factory Log'!$J:$J,Performance!DG29,'Factory Log'!$C:$C,"Roll Change")</f>
        <v>0</v>
      </c>
      <c r="DL29" s="3">
        <f>SUMIFS('Factory Log'!$M:$M,'Factory Log'!$B:$B,Performance!DG$1,'Factory Log'!$J:$J,Performance!DG29,'Factory Log'!$C:$C,"Running")</f>
        <v>0</v>
      </c>
      <c r="DM29" s="58" cm="1">
        <f t="array" ref="DM29">IFERROR(INDEX('Factory Log'!$S:$S,MATCH(1,(Performance!DG$1='Factory Log'!$B:$B)*(Performance!DG29='Factory Log'!$A:$A),0)),0)</f>
        <v>0</v>
      </c>
      <c r="DN29" s="3">
        <f>IFERROR(VLOOKUP(DG29,'Factory Log'!$J:$R,9,0),0)</f>
        <v>0</v>
      </c>
      <c r="DO29" s="64">
        <f t="shared" si="20"/>
        <v>0</v>
      </c>
      <c r="DP29" s="58">
        <f t="shared" si="21"/>
        <v>0</v>
      </c>
      <c r="DS29" s="3">
        <f>IFERROR(VLOOKUP(DR29,'Factory Log'!$J:$O,6,0),0)</f>
        <v>0</v>
      </c>
      <c r="DT29" s="3">
        <f>IFERROR(VLOOKUP(DR29,'Factory Log'!$J:$P,7,0),0)</f>
        <v>0</v>
      </c>
      <c r="DU29" s="3">
        <f>IFERROR(VLOOKUP(DR29,'Factory Log'!$J:$Q,8,0),0)</f>
        <v>0</v>
      </c>
      <c r="DV29" s="58">
        <f>SUMIFS('Factory Log'!$D:$D,'Factory Log'!$B:$B,Performance!DR$1,'Factory Log'!$J:$J,Performance!DR29,'Factory Log'!$C:$C,"Running")+SUMIFS('Factory Log'!$D:$D,'Factory Log'!$B:$B,Performance!DR$1,'Factory Log'!$J:$J,Performance!DR29,'Factory Log'!$C:$C,"Make Ready")+SUMIFS('Factory Log'!$D:$D,'Factory Log'!$B:$B,Performance!DR$1,'Factory Log'!$J:$J,Performance!DR29,'Factory Log'!$C:$C,"Roll Change")</f>
        <v>0</v>
      </c>
      <c r="DW29" s="3">
        <f>SUMIFS('Factory Log'!$M:$M,'Factory Log'!$B:$B,Performance!DR$1,'Factory Log'!$J:$J,Performance!DR29,'Factory Log'!$C:$C,"Running")</f>
        <v>0</v>
      </c>
      <c r="DX29" s="58" cm="1">
        <f t="array" ref="DX29">IFERROR(INDEX('Factory Log'!$S:$S,MATCH(1,(Performance!DR$1='Factory Log'!$B:$B)*(Performance!DR29='Factory Log'!$A:$A),0)),0)</f>
        <v>0</v>
      </c>
      <c r="DY29" s="3">
        <f>IFERROR(VLOOKUP(DR29,'Factory Log'!$J:$R,9,0),0)</f>
        <v>0</v>
      </c>
      <c r="DZ29" s="64">
        <f t="shared" si="22"/>
        <v>0</v>
      </c>
      <c r="EA29" s="58">
        <f t="shared" si="23"/>
        <v>0</v>
      </c>
      <c r="ED29" s="3">
        <f>IFERROR(VLOOKUP(EC29,'Factory Log'!$J:$O,6,0),0)</f>
        <v>0</v>
      </c>
      <c r="EE29" s="3">
        <f>IFERROR(VLOOKUP(EC29,'Factory Log'!$J:$P,7,0),0)</f>
        <v>0</v>
      </c>
      <c r="EF29" s="3">
        <f>IFERROR(VLOOKUP(EC29,'Factory Log'!$J:$Q,8,0),0)</f>
        <v>0</v>
      </c>
      <c r="EG29" s="58">
        <f>SUMIFS('Factory Log'!$D:$D,'Factory Log'!$B:$B,Performance!EC$1,'Factory Log'!$J:$J,Performance!EC29,'Factory Log'!$C:$C,"Running")+SUMIFS('Factory Log'!$D:$D,'Factory Log'!$B:$B,Performance!EC$1,'Factory Log'!$J:$J,Performance!EC29,'Factory Log'!$C:$C,"Make Ready")+SUMIFS('Factory Log'!$D:$D,'Factory Log'!$B:$B,Performance!EC$1,'Factory Log'!$J:$J,Performance!EC29,'Factory Log'!$C:$C,"Roll Change")</f>
        <v>0</v>
      </c>
      <c r="EH29" s="3">
        <f>SUMIFS('Factory Log'!$M:$M,'Factory Log'!$B:$B,Performance!EC$1,'Factory Log'!$J:$J,Performance!EC29,'Factory Log'!$C:$C,"Running")</f>
        <v>0</v>
      </c>
      <c r="EI29" s="58" cm="1">
        <f t="array" ref="EI29">IFERROR(INDEX('Factory Log'!$S:$S,MATCH(1,(Performance!EC$1='Factory Log'!$B:$B)*(Performance!EC29='Factory Log'!$A:$A),0)),0)</f>
        <v>0</v>
      </c>
      <c r="EJ29" s="3">
        <f>IFERROR(VLOOKUP(EC29,'Factory Log'!$J:$R,9,0),0)</f>
        <v>0</v>
      </c>
      <c r="EK29" s="64">
        <f t="shared" si="24"/>
        <v>0</v>
      </c>
      <c r="EL29" s="58">
        <f t="shared" si="25"/>
        <v>0</v>
      </c>
      <c r="EO29" s="3">
        <f>IFERROR(VLOOKUP(EN29,'Factory Log'!$J:$O,6,0),0)</f>
        <v>0</v>
      </c>
      <c r="EP29" s="3">
        <f>IFERROR(VLOOKUP(EN29,'Factory Log'!$J:$P,7,0),0)</f>
        <v>0</v>
      </c>
      <c r="EQ29" s="3">
        <f>IFERROR(VLOOKUP(EN29,'Factory Log'!$J:$Q,8,0),0)</f>
        <v>0</v>
      </c>
      <c r="ER29" s="58">
        <f>SUMIFS('Factory Log'!$D:$D,'Factory Log'!$B:$B,Performance!EN$1,'Factory Log'!$J:$J,Performance!EN29,'Factory Log'!$C:$C,"Running")+SUMIFS('Factory Log'!$D:$D,'Factory Log'!$B:$B,Performance!EN$1,'Factory Log'!$J:$J,Performance!EN29,'Factory Log'!$C:$C,"Make Ready")+SUMIFS('Factory Log'!$D:$D,'Factory Log'!$B:$B,Performance!EN$1,'Factory Log'!$J:$J,Performance!EN29,'Factory Log'!$C:$C,"Roll Change")</f>
        <v>0</v>
      </c>
      <c r="ES29" s="3">
        <f>SUMIFS('Factory Log'!$M:$M,'Factory Log'!$B:$B,Performance!EN$1,'Factory Log'!$J:$J,Performance!EN29,'Factory Log'!$C:$C,"Running")</f>
        <v>0</v>
      </c>
      <c r="ET29" s="58" cm="1">
        <f t="array" ref="ET29">IFERROR(INDEX('Factory Log'!$S:$S,MATCH(1,(Performance!EN$1='Factory Log'!$B:$B)*(Performance!EN29='Factory Log'!$A:$A),0)),0)</f>
        <v>0</v>
      </c>
      <c r="EU29" s="3">
        <f>IFERROR(VLOOKUP(EN29,'Factory Log'!$J:$R,9,0),0)</f>
        <v>0</v>
      </c>
      <c r="EV29" s="64">
        <f t="shared" si="26"/>
        <v>0</v>
      </c>
      <c r="EW29" s="58">
        <f t="shared" si="27"/>
        <v>0</v>
      </c>
      <c r="EZ29" s="3">
        <f>IFERROR(VLOOKUP(EY29,'Factory Log'!$J:$O,6,0),0)</f>
        <v>0</v>
      </c>
      <c r="FA29" s="3">
        <f>IFERROR(VLOOKUP(EY29,'Factory Log'!$J:$P,7,0),0)</f>
        <v>0</v>
      </c>
      <c r="FB29" s="3">
        <f>IFERROR(VLOOKUP(EY29,'Factory Log'!$J:$Q,8,0),0)</f>
        <v>0</v>
      </c>
      <c r="FC29" s="58">
        <f>SUMIFS('Factory Log'!$D:$D,'Factory Log'!$B:$B,Performance!EY$1,'Factory Log'!$J:$J,Performance!EY29,'Factory Log'!$C:$C,"Running")+SUMIFS('Factory Log'!$D:$D,'Factory Log'!$B:$B,Performance!EY$1,'Factory Log'!$J:$J,Performance!EY29,'Factory Log'!$C:$C,"Make Ready")+SUMIFS('Factory Log'!$D:$D,'Factory Log'!$B:$B,Performance!EY$1,'Factory Log'!$J:$J,Performance!EY29,'Factory Log'!$C:$C,"Roll Change")</f>
        <v>0</v>
      </c>
      <c r="FD29" s="3">
        <f>SUMIFS('Factory Log'!$M:$M,'Factory Log'!$B:$B,Performance!EY$1,'Factory Log'!$J:$J,Performance!EY29,'Factory Log'!$C:$C,"Running")</f>
        <v>0</v>
      </c>
      <c r="FE29" s="58" cm="1">
        <f t="array" ref="FE29">IFERROR(INDEX('Factory Log'!$S:$S,MATCH(1,(Performance!EY$1='Factory Log'!$B:$B)*(Performance!EY29='Factory Log'!$A:$A),0)),0)</f>
        <v>0</v>
      </c>
      <c r="FF29" s="3">
        <f>IFERROR(VLOOKUP(EY29,'Factory Log'!$J:$R,9,0),0)</f>
        <v>0</v>
      </c>
      <c r="FG29" s="64">
        <f t="shared" si="28"/>
        <v>0</v>
      </c>
      <c r="FH29" s="58">
        <f t="shared" si="29"/>
        <v>0</v>
      </c>
    </row>
    <row r="30" spans="2:164" ht="16" customHeight="1" x14ac:dyDescent="0.2">
      <c r="B30" s="3">
        <f>IFERROR(VLOOKUP(A30,'Factory Log'!$J:$O,6,0),0)</f>
        <v>0</v>
      </c>
      <c r="C30" s="3">
        <f>IFERROR(VLOOKUP(A30,'Factory Log'!$J:$P,7,0),0)</f>
        <v>0</v>
      </c>
      <c r="D30" s="3">
        <f>IFERROR(VLOOKUP(A30,'Factory Log'!$J:$Q,8,0),0)</f>
        <v>0</v>
      </c>
      <c r="E30" s="58">
        <f>SUMIFS('Factory Log'!$D:$D,'Factory Log'!$B:$B,Performance!A$1,'Factory Log'!$J:$J,Performance!A30,'Factory Log'!$C:$C,"Running")+SUMIFS('Factory Log'!$D:$D,'Factory Log'!$B:$B,Performance!A$1,'Factory Log'!$J:$J,Performance!A30,'Factory Log'!$C:$C,"Make Ready")+SUMIFS('Factory Log'!$D:$D,'Factory Log'!$B:$B,Performance!A$1,'Factory Log'!$J:$J,Performance!A30,'Factory Log'!$C:$C,"Roll Change")</f>
        <v>0</v>
      </c>
      <c r="F30" s="3">
        <f>SUMIFS('Factory Log'!$M:$M,'Factory Log'!$B:$B,Performance!A$1,'Factory Log'!$J:$J,Performance!A30,'Factory Log'!$C:$C,"Running")</f>
        <v>0</v>
      </c>
      <c r="G30" s="58" cm="1">
        <f t="array" ref="G30">IFERROR(INDEX('Factory Log'!$S:$S,MATCH(1,(Performance!A$1='Factory Log'!$B:$B)*(Performance!A30='Factory Log'!$A:$A),0)),0)</f>
        <v>0</v>
      </c>
      <c r="H30" s="3">
        <f>IFERROR(VLOOKUP(A30,'Factory Log'!$J:$R,9,0),0)</f>
        <v>0</v>
      </c>
      <c r="I30" s="64">
        <f t="shared" si="1"/>
        <v>0</v>
      </c>
      <c r="J30" s="58">
        <f t="shared" si="30"/>
        <v>0</v>
      </c>
      <c r="M30" s="3">
        <f>IFERROR(VLOOKUP(L30,'Factory Log'!$J:$O,6,0),0)</f>
        <v>0</v>
      </c>
      <c r="N30" s="3">
        <f>IFERROR(VLOOKUP(L30,'Factory Log'!$J:$P,7,0),0)</f>
        <v>0</v>
      </c>
      <c r="O30" s="3">
        <f>IFERROR(VLOOKUP(L30,'Factory Log'!$J:$Q,8,0),0)</f>
        <v>0</v>
      </c>
      <c r="P30" s="58">
        <f>SUMIFS('Factory Log'!$D:$D,'Factory Log'!$B:$B,Performance!L$1,'Factory Log'!$J:$J,Performance!L30,'Factory Log'!$C:$C,"Running")+SUMIFS('Factory Log'!$D:$D,'Factory Log'!$B:$B,Performance!L$1,'Factory Log'!$J:$J,Performance!L30,'Factory Log'!$C:$C,"Make Ready")+SUMIFS('Factory Log'!$D:$D,'Factory Log'!$B:$B,Performance!L$1,'Factory Log'!$J:$J,Performance!L30,'Factory Log'!$C:$C,"Roll Change")</f>
        <v>0</v>
      </c>
      <c r="Q30" s="3">
        <f>SUMIFS('Factory Log'!$M:$M,'Factory Log'!$B:$B,Performance!L$1,'Factory Log'!$J:$J,Performance!L30,'Factory Log'!$C:$C,"Running")</f>
        <v>0</v>
      </c>
      <c r="R30" s="58" cm="1">
        <f t="array" ref="R30">IFERROR(INDEX('Factory Log'!$S:$S,MATCH(1,(Performance!L$1='Factory Log'!$B:$B)*(Performance!L30='Factory Log'!$A:$A),0)),0)</f>
        <v>0</v>
      </c>
      <c r="S30" s="3">
        <f>IFERROR(VLOOKUP(L30,'Factory Log'!$J:$R,9,0),0)</f>
        <v>0</v>
      </c>
      <c r="T30" s="64">
        <f t="shared" si="2"/>
        <v>0</v>
      </c>
      <c r="U30" s="58">
        <f t="shared" si="31"/>
        <v>0</v>
      </c>
      <c r="X30" s="3">
        <f>IFERROR(VLOOKUP(W30,'Factory Log'!$J:$O,6,0),0)</f>
        <v>0</v>
      </c>
      <c r="Y30" s="3">
        <f>IFERROR(VLOOKUP(W30,'Factory Log'!$J:$P,7,0),0)</f>
        <v>0</v>
      </c>
      <c r="Z30" s="3">
        <f>IFERROR(VLOOKUP(W30,'Factory Log'!$J:$Q,8,0),0)</f>
        <v>0</v>
      </c>
      <c r="AA30" s="58">
        <f>SUMIFS('Factory Log'!$D:$D,'Factory Log'!$B:$B,Performance!W$1,'Factory Log'!$J:$J,Performance!W30,'Factory Log'!$C:$C,"Running")+SUMIFS('Factory Log'!$D:$D,'Factory Log'!$B:$B,Performance!W$1,'Factory Log'!$J:$J,Performance!W30,'Factory Log'!$C:$C,"Make Ready")+SUMIFS('Factory Log'!$D:$D,'Factory Log'!$B:$B,Performance!W$1,'Factory Log'!$J:$J,Performance!W30,'Factory Log'!$C:$C,"Roll Change")</f>
        <v>0</v>
      </c>
      <c r="AB30" s="3">
        <f>SUMIFS('Factory Log'!$M:$M,'Factory Log'!$B:$B,Performance!W$1,'Factory Log'!$J:$J,Performance!W30,'Factory Log'!$C:$C,"Running")</f>
        <v>0</v>
      </c>
      <c r="AC30" s="58" cm="1">
        <f t="array" ref="AC30">IFERROR(INDEX('Factory Log'!$S:$S,MATCH(1,(Performance!W$1='Factory Log'!$B:$B)*(Performance!W30='Factory Log'!$A:$A),0)),0)</f>
        <v>0</v>
      </c>
      <c r="AD30" s="3">
        <f>IFERROR(VLOOKUP(W30,'Factory Log'!$J:$R,9,0),0)</f>
        <v>0</v>
      </c>
      <c r="AE30" s="64">
        <f t="shared" si="4"/>
        <v>0</v>
      </c>
      <c r="AF30" s="58">
        <f t="shared" si="33"/>
        <v>0</v>
      </c>
      <c r="AI30" s="3">
        <f>IFERROR(VLOOKUP(AH30,'Factory Log'!$J:$O,6,0),0)</f>
        <v>0</v>
      </c>
      <c r="AJ30" s="3">
        <f>IFERROR(VLOOKUP(AH30,'Factory Log'!$J:$P,7,0),0)</f>
        <v>0</v>
      </c>
      <c r="AK30" s="3">
        <f>IFERROR(VLOOKUP(AH30,'Factory Log'!$J:$Q,8,0),0)</f>
        <v>0</v>
      </c>
      <c r="AL30" s="58">
        <f>SUMIFS('Factory Log'!$D:$D,'Factory Log'!$B:$B,Performance!AH$1,'Factory Log'!$J:$J,Performance!AH30,'Factory Log'!$C:$C,"Running")+SUMIFS('Factory Log'!$D:$D,'Factory Log'!$B:$B,Performance!AH$1,'Factory Log'!$J:$J,Performance!AH30,'Factory Log'!$C:$C,"Make Ready")+SUMIFS('Factory Log'!$D:$D,'Factory Log'!$B:$B,Performance!AH$1,'Factory Log'!$J:$J,Performance!AH30,'Factory Log'!$C:$C,"Roll Change")</f>
        <v>0</v>
      </c>
      <c r="AM30" s="3">
        <f>SUMIFS('Factory Log'!$M:$M,'Factory Log'!$B:$B,Performance!AH$1,'Factory Log'!$J:$J,Performance!AH30,'Factory Log'!$C:$C,"Running")</f>
        <v>0</v>
      </c>
      <c r="AN30" s="58" cm="1">
        <f t="array" ref="AN30">IFERROR(INDEX('Factory Log'!$S:$S,MATCH(1,(Performance!AH$1='Factory Log'!$B:$B)*(Performance!AH30='Factory Log'!$A:$A),0)),0)</f>
        <v>0</v>
      </c>
      <c r="AO30" s="3">
        <f>IFERROR(VLOOKUP(AH30,'Factory Log'!$J:$R,9,0),0)</f>
        <v>0</v>
      </c>
      <c r="AP30" s="64">
        <f t="shared" si="6"/>
        <v>0</v>
      </c>
      <c r="AQ30" s="58">
        <f t="shared" si="7"/>
        <v>0</v>
      </c>
      <c r="AT30" s="3">
        <f>IFERROR(VLOOKUP(AS30,'Factory Log'!$J:$O,6,0),0)</f>
        <v>0</v>
      </c>
      <c r="AU30" s="3">
        <f>IFERROR(VLOOKUP(AS30,'Factory Log'!$J:$P,7,0),0)</f>
        <v>0</v>
      </c>
      <c r="AV30" s="3">
        <f>IFERROR(VLOOKUP(AS30,'Factory Log'!$J:$Q,8,0),0)</f>
        <v>0</v>
      </c>
      <c r="AW30" s="58">
        <f>SUMIFS('Factory Log'!$D:$D,'Factory Log'!$B:$B,Performance!AS$1,'Factory Log'!$J:$J,Performance!AS30,'Factory Log'!$C:$C,"Running")+SUMIFS('Factory Log'!$D:$D,'Factory Log'!$B:$B,Performance!AS$1,'Factory Log'!$J:$J,Performance!AS30,'Factory Log'!$C:$C,"Make Ready")+SUMIFS('Factory Log'!$D:$D,'Factory Log'!$B:$B,Performance!AS$1,'Factory Log'!$J:$J,Performance!AS30,'Factory Log'!$C:$C,"Roll Change")</f>
        <v>0</v>
      </c>
      <c r="AX30" s="3">
        <f>SUMIFS('Factory Log'!$M:$M,'Factory Log'!$B:$B,Performance!AS$1,'Factory Log'!$J:$J,Performance!AS30,'Factory Log'!$C:$C,"Running")</f>
        <v>0</v>
      </c>
      <c r="AY30" s="58" cm="1">
        <f t="array" ref="AY30">IFERROR(INDEX('Factory Log'!$S:$S,MATCH(1,(Performance!AS$1='Factory Log'!$B:$B)*(Performance!AS30='Factory Log'!$A:$A),0)),0)</f>
        <v>0</v>
      </c>
      <c r="AZ30" s="3">
        <f>IFERROR(VLOOKUP(AS30,'Factory Log'!$J:$R,9,0),0)</f>
        <v>0</v>
      </c>
      <c r="BA30" s="64">
        <f t="shared" si="8"/>
        <v>0</v>
      </c>
      <c r="BB30" s="58">
        <f t="shared" si="9"/>
        <v>0</v>
      </c>
      <c r="BE30" s="3">
        <f>IFERROR(VLOOKUP(BD30,'Factory Log'!$J:$O,6,0),0)</f>
        <v>0</v>
      </c>
      <c r="BF30" s="3">
        <f>IFERROR(VLOOKUP(BD30,'Factory Log'!$J:$P,7,0),0)</f>
        <v>0</v>
      </c>
      <c r="BG30" s="3">
        <f>IFERROR(VLOOKUP(BD30,'Factory Log'!$J:$Q,8,0),0)</f>
        <v>0</v>
      </c>
      <c r="BH30" s="58">
        <f>SUMIFS('Factory Log'!$D:$D,'Factory Log'!$B:$B,Performance!BD$1,'Factory Log'!$J:$J,Performance!BD30,'Factory Log'!$C:$C,"Running")+SUMIFS('Factory Log'!$D:$D,'Factory Log'!$B:$B,Performance!BD$1,'Factory Log'!$J:$J,Performance!BD30,'Factory Log'!$C:$C,"Make Ready")+SUMIFS('Factory Log'!$D:$D,'Factory Log'!$B:$B,Performance!BD$1,'Factory Log'!$J:$J,Performance!BD30,'Factory Log'!$C:$C,"Roll Change")</f>
        <v>0</v>
      </c>
      <c r="BI30" s="3">
        <f>SUMIFS('Factory Log'!$M:$M,'Factory Log'!$B:$B,Performance!BD$1,'Factory Log'!$J:$J,Performance!BD30,'Factory Log'!$C:$C,"Running")</f>
        <v>0</v>
      </c>
      <c r="BJ30" s="58" cm="1">
        <f t="array" ref="BJ30">IFERROR(INDEX('Factory Log'!$S:$S,MATCH(1,(Performance!BD$1='Factory Log'!$B:$B)*(Performance!BD30='Factory Log'!$A:$A),0)),0)</f>
        <v>0</v>
      </c>
      <c r="BK30" s="3">
        <f>IFERROR(VLOOKUP(BD30,'Factory Log'!$J:$R,9,0),0)</f>
        <v>0</v>
      </c>
      <c r="BL30" s="64">
        <f t="shared" si="10"/>
        <v>0</v>
      </c>
      <c r="BM30" s="58">
        <f t="shared" si="11"/>
        <v>0</v>
      </c>
      <c r="BP30" s="3">
        <f>IFERROR(VLOOKUP(BO30,'Factory Log'!$J:$O,6,0),0)</f>
        <v>0</v>
      </c>
      <c r="BQ30" s="3">
        <f>IFERROR(VLOOKUP(BO30,'Factory Log'!$J:$P,7,0),0)</f>
        <v>0</v>
      </c>
      <c r="BR30" s="3">
        <f>IFERROR(VLOOKUP(BO30,'Factory Log'!$J:$Q,8,0),0)</f>
        <v>0</v>
      </c>
      <c r="BS30" s="58">
        <f>SUMIFS('Factory Log'!$D:$D,'Factory Log'!$B:$B,Performance!BO$1,'Factory Log'!$J:$J,Performance!BO30,'Factory Log'!$C:$C,"Running")+SUMIFS('Factory Log'!$D:$D,'Factory Log'!$B:$B,Performance!BO$1,'Factory Log'!$J:$J,Performance!BO30,'Factory Log'!$C:$C,"Make Ready")+SUMIFS('Factory Log'!$D:$D,'Factory Log'!$B:$B,Performance!BO$1,'Factory Log'!$J:$J,Performance!BO30,'Factory Log'!$C:$C,"Roll Change")</f>
        <v>0</v>
      </c>
      <c r="BT30" s="3">
        <f>SUMIFS('Factory Log'!$M:$M,'Factory Log'!$B:$B,Performance!BO$1,'Factory Log'!$J:$J,Performance!BO30,'Factory Log'!$C:$C,"Running")</f>
        <v>0</v>
      </c>
      <c r="BU30" s="58" cm="1">
        <f t="array" ref="BU30">IFERROR(INDEX('Factory Log'!$S:$S,MATCH(1,(Performance!BO$1='Factory Log'!$B:$B)*(Performance!BO30='Factory Log'!$A:$A),0)),0)</f>
        <v>0</v>
      </c>
      <c r="BV30" s="3">
        <f>IFERROR(VLOOKUP(BO30,'Factory Log'!$J:$R,9,0),0)</f>
        <v>0</v>
      </c>
      <c r="BW30" s="64">
        <f t="shared" si="12"/>
        <v>0</v>
      </c>
      <c r="BX30" s="58">
        <f t="shared" si="13"/>
        <v>0</v>
      </c>
      <c r="CA30" s="3">
        <f>IFERROR(VLOOKUP(BZ30,'Factory Log'!$J:$O,6,0),0)</f>
        <v>0</v>
      </c>
      <c r="CB30" s="3">
        <f>IFERROR(VLOOKUP(BZ30,'Factory Log'!$J:$P,7,0),0)</f>
        <v>0</v>
      </c>
      <c r="CC30" s="3">
        <f>IFERROR(VLOOKUP(BZ30,'Factory Log'!$J:$Q,8,0),0)</f>
        <v>0</v>
      </c>
      <c r="CD30" s="58">
        <f>SUMIFS('Factory Log'!$D:$D,'Factory Log'!$B:$B,Performance!BZ$1,'Factory Log'!$J:$J,Performance!BZ30,'Factory Log'!$C:$C,"Running")+SUMIFS('Factory Log'!$D:$D,'Factory Log'!$B:$B,Performance!BZ$1,'Factory Log'!$J:$J,Performance!BZ30,'Factory Log'!$C:$C,"Make Ready")+SUMIFS('Factory Log'!$D:$D,'Factory Log'!$B:$B,Performance!BZ$1,'Factory Log'!$J:$J,Performance!BZ30,'Factory Log'!$C:$C,"Roll Change")</f>
        <v>0</v>
      </c>
      <c r="CE30" s="3">
        <f>SUMIFS('Factory Log'!$M:$M,'Factory Log'!$B:$B,Performance!BZ$1,'Factory Log'!$J:$J,Performance!BZ30,'Factory Log'!$C:$C,"Running")</f>
        <v>0</v>
      </c>
      <c r="CF30" s="58" cm="1">
        <f t="array" ref="CF30">IFERROR(INDEX('Factory Log'!$S:$S,MATCH(1,(Performance!BZ$1='Factory Log'!$B:$B)*(Performance!BZ30='Factory Log'!$A:$A),0)),0)</f>
        <v>0</v>
      </c>
      <c r="CG30" s="3">
        <f>IFERROR(VLOOKUP(BZ30,'Factory Log'!$J:$R,9,0),0)</f>
        <v>0</v>
      </c>
      <c r="CH30" s="64">
        <f t="shared" si="14"/>
        <v>0</v>
      </c>
      <c r="CI30" s="58">
        <f t="shared" si="15"/>
        <v>0</v>
      </c>
      <c r="CL30" s="3">
        <f>IFERROR(VLOOKUP(CK30,'Factory Log'!$J:$O,6,0),0)</f>
        <v>0</v>
      </c>
      <c r="CM30" s="3">
        <f>IFERROR(VLOOKUP(CK30,'Factory Log'!$J:$P,7,0),0)</f>
        <v>0</v>
      </c>
      <c r="CN30" s="3">
        <f>IFERROR(VLOOKUP(CK30,'Factory Log'!$J:$Q,8,0),0)</f>
        <v>0</v>
      </c>
      <c r="CO30" s="58">
        <f>SUMIFS('Factory Log'!$D:$D,'Factory Log'!$B:$B,Performance!CK$1,'Factory Log'!$J:$J,Performance!CK30,'Factory Log'!$C:$C,"Running")+SUMIFS('Factory Log'!$D:$D,'Factory Log'!$B:$B,Performance!CK$1,'Factory Log'!$J:$J,Performance!CK30,'Factory Log'!$C:$C,"Make Ready")+SUMIFS('Factory Log'!$D:$D,'Factory Log'!$B:$B,Performance!CK$1,'Factory Log'!$J:$J,Performance!CK30,'Factory Log'!$C:$C,"Roll Change")</f>
        <v>0</v>
      </c>
      <c r="CP30" s="3">
        <f>SUMIFS('Factory Log'!$M:$M,'Factory Log'!$B:$B,Performance!CK$1,'Factory Log'!$J:$J,Performance!CK30,'Factory Log'!$C:$C,"Running")</f>
        <v>0</v>
      </c>
      <c r="CQ30" s="58" cm="1">
        <f t="array" ref="CQ30">IFERROR(INDEX('Factory Log'!$S:$S,MATCH(1,(Performance!CK$1='Factory Log'!$B:$B)*(Performance!CK30='Factory Log'!$A:$A),0)),0)</f>
        <v>0</v>
      </c>
      <c r="CR30" s="3">
        <f>IFERROR(VLOOKUP(CK30,'Factory Log'!$J:$R,9,0),0)</f>
        <v>0</v>
      </c>
      <c r="CS30" s="64">
        <f t="shared" si="16"/>
        <v>0</v>
      </c>
      <c r="CT30" s="58">
        <f t="shared" si="17"/>
        <v>0</v>
      </c>
      <c r="CW30" s="3">
        <f>IFERROR(VLOOKUP(CV30,'Factory Log'!$J:$O,6,0),0)</f>
        <v>0</v>
      </c>
      <c r="CX30" s="3">
        <f>IFERROR(VLOOKUP(CV30,'Factory Log'!$J:$P,7,0),0)</f>
        <v>0</v>
      </c>
      <c r="CY30" s="3">
        <f>IFERROR(VLOOKUP(CV30,'Factory Log'!$J:$Q,8,0),0)</f>
        <v>0</v>
      </c>
      <c r="CZ30" s="58">
        <f>SUMIFS('Factory Log'!$D:$D,'Factory Log'!$B:$B,Performance!CV$1,'Factory Log'!$J:$J,Performance!CV30,'Factory Log'!$C:$C,"Running")+SUMIFS('Factory Log'!$D:$D,'Factory Log'!$B:$B,Performance!CV$1,'Factory Log'!$J:$J,Performance!CV30,'Factory Log'!$C:$C,"Make Ready")+SUMIFS('Factory Log'!$D:$D,'Factory Log'!$B:$B,Performance!CV$1,'Factory Log'!$J:$J,Performance!CV30,'Factory Log'!$C:$C,"Roll Change")</f>
        <v>0</v>
      </c>
      <c r="DA30" s="3">
        <f>SUMIFS('Factory Log'!$M:$M,'Factory Log'!$B:$B,Performance!CV$1,'Factory Log'!$J:$J,Performance!CV30,'Factory Log'!$C:$C,"Running")</f>
        <v>0</v>
      </c>
      <c r="DB30" s="58" cm="1">
        <f t="array" ref="DB30">IFERROR(INDEX('Factory Log'!$S:$S,MATCH(1,(Performance!CV$1='Factory Log'!$B:$B)*(Performance!CV30='Factory Log'!$A:$A),0)),0)</f>
        <v>0</v>
      </c>
      <c r="DC30" s="3">
        <f>IFERROR(VLOOKUP(CV30,'Factory Log'!$J:$R,9,0),0)</f>
        <v>0</v>
      </c>
      <c r="DD30" s="64">
        <f t="shared" si="18"/>
        <v>0</v>
      </c>
      <c r="DE30" s="58">
        <f t="shared" si="19"/>
        <v>0</v>
      </c>
      <c r="DH30" s="3">
        <f>IFERROR(VLOOKUP(DG30,'Factory Log'!$J:$O,6,0),0)</f>
        <v>0</v>
      </c>
      <c r="DI30" s="3">
        <f>IFERROR(VLOOKUP(DG30,'Factory Log'!$J:$P,7,0),0)</f>
        <v>0</v>
      </c>
      <c r="DJ30" s="3">
        <f>IFERROR(VLOOKUP(DG30,'Factory Log'!$J:$Q,8,0),0)</f>
        <v>0</v>
      </c>
      <c r="DK30" s="58">
        <f>SUMIFS('Factory Log'!$D:$D,'Factory Log'!$B:$B,Performance!DG$1,'Factory Log'!$J:$J,Performance!DG30,'Factory Log'!$C:$C,"Running")+SUMIFS('Factory Log'!$D:$D,'Factory Log'!$B:$B,Performance!DG$1,'Factory Log'!$J:$J,Performance!DG30,'Factory Log'!$C:$C,"Make Ready")+SUMIFS('Factory Log'!$D:$D,'Factory Log'!$B:$B,Performance!DG$1,'Factory Log'!$J:$J,Performance!DG30,'Factory Log'!$C:$C,"Roll Change")</f>
        <v>0</v>
      </c>
      <c r="DL30" s="3">
        <f>SUMIFS('Factory Log'!$M:$M,'Factory Log'!$B:$B,Performance!DG$1,'Factory Log'!$J:$J,Performance!DG30,'Factory Log'!$C:$C,"Running")</f>
        <v>0</v>
      </c>
      <c r="DM30" s="58" cm="1">
        <f t="array" ref="DM30">IFERROR(INDEX('Factory Log'!$S:$S,MATCH(1,(Performance!DG$1='Factory Log'!$B:$B)*(Performance!DG30='Factory Log'!$A:$A),0)),0)</f>
        <v>0</v>
      </c>
      <c r="DN30" s="3">
        <f>IFERROR(VLOOKUP(DG30,'Factory Log'!$J:$R,9,0),0)</f>
        <v>0</v>
      </c>
      <c r="DO30" s="64">
        <f t="shared" si="20"/>
        <v>0</v>
      </c>
      <c r="DP30" s="58">
        <f t="shared" si="21"/>
        <v>0</v>
      </c>
      <c r="DS30" s="3">
        <f>IFERROR(VLOOKUP(DR30,'Factory Log'!$J:$O,6,0),0)</f>
        <v>0</v>
      </c>
      <c r="DT30" s="3">
        <f>IFERROR(VLOOKUP(DR30,'Factory Log'!$J:$P,7,0),0)</f>
        <v>0</v>
      </c>
      <c r="DU30" s="3">
        <f>IFERROR(VLOOKUP(DR30,'Factory Log'!$J:$Q,8,0),0)</f>
        <v>0</v>
      </c>
      <c r="DV30" s="58">
        <f>SUMIFS('Factory Log'!$D:$D,'Factory Log'!$B:$B,Performance!DR$1,'Factory Log'!$J:$J,Performance!DR30,'Factory Log'!$C:$C,"Running")+SUMIFS('Factory Log'!$D:$D,'Factory Log'!$B:$B,Performance!DR$1,'Factory Log'!$J:$J,Performance!DR30,'Factory Log'!$C:$C,"Make Ready")+SUMIFS('Factory Log'!$D:$D,'Factory Log'!$B:$B,Performance!DR$1,'Factory Log'!$J:$J,Performance!DR30,'Factory Log'!$C:$C,"Roll Change")</f>
        <v>0</v>
      </c>
      <c r="DW30" s="3">
        <f>SUMIFS('Factory Log'!$M:$M,'Factory Log'!$B:$B,Performance!DR$1,'Factory Log'!$J:$J,Performance!DR30,'Factory Log'!$C:$C,"Running")</f>
        <v>0</v>
      </c>
      <c r="DX30" s="58" cm="1">
        <f t="array" ref="DX30">IFERROR(INDEX('Factory Log'!$S:$S,MATCH(1,(Performance!DR$1='Factory Log'!$B:$B)*(Performance!DR30='Factory Log'!$A:$A),0)),0)</f>
        <v>0</v>
      </c>
      <c r="DY30" s="3">
        <f>IFERROR(VLOOKUP(DR30,'Factory Log'!$J:$R,9,0),0)</f>
        <v>0</v>
      </c>
      <c r="DZ30" s="64">
        <f t="shared" si="22"/>
        <v>0</v>
      </c>
      <c r="EA30" s="58">
        <f t="shared" si="23"/>
        <v>0</v>
      </c>
      <c r="ED30" s="3">
        <f>IFERROR(VLOOKUP(EC30,'Factory Log'!$J:$O,6,0),0)</f>
        <v>0</v>
      </c>
      <c r="EE30" s="3">
        <f>IFERROR(VLOOKUP(EC30,'Factory Log'!$J:$P,7,0),0)</f>
        <v>0</v>
      </c>
      <c r="EF30" s="3">
        <f>IFERROR(VLOOKUP(EC30,'Factory Log'!$J:$Q,8,0),0)</f>
        <v>0</v>
      </c>
      <c r="EG30" s="58">
        <f>SUMIFS('Factory Log'!$D:$D,'Factory Log'!$B:$B,Performance!EC$1,'Factory Log'!$J:$J,Performance!EC30,'Factory Log'!$C:$C,"Running")+SUMIFS('Factory Log'!$D:$D,'Factory Log'!$B:$B,Performance!EC$1,'Factory Log'!$J:$J,Performance!EC30,'Factory Log'!$C:$C,"Make Ready")+SUMIFS('Factory Log'!$D:$D,'Factory Log'!$B:$B,Performance!EC$1,'Factory Log'!$J:$J,Performance!EC30,'Factory Log'!$C:$C,"Roll Change")</f>
        <v>0</v>
      </c>
      <c r="EH30" s="3">
        <f>SUMIFS('Factory Log'!$M:$M,'Factory Log'!$B:$B,Performance!EC$1,'Factory Log'!$J:$J,Performance!EC30,'Factory Log'!$C:$C,"Running")</f>
        <v>0</v>
      </c>
      <c r="EI30" s="58" cm="1">
        <f t="array" ref="EI30">IFERROR(INDEX('Factory Log'!$S:$S,MATCH(1,(Performance!EC$1='Factory Log'!$B:$B)*(Performance!EC30='Factory Log'!$A:$A),0)),0)</f>
        <v>0</v>
      </c>
      <c r="EJ30" s="3">
        <f>IFERROR(VLOOKUP(EC30,'Factory Log'!$J:$R,9,0),0)</f>
        <v>0</v>
      </c>
      <c r="EK30" s="64">
        <f t="shared" si="24"/>
        <v>0</v>
      </c>
      <c r="EL30" s="58">
        <f t="shared" si="25"/>
        <v>0</v>
      </c>
      <c r="EO30" s="3">
        <f>IFERROR(VLOOKUP(EN30,'Factory Log'!$J:$O,6,0),0)</f>
        <v>0</v>
      </c>
      <c r="EP30" s="3">
        <f>IFERROR(VLOOKUP(EN30,'Factory Log'!$J:$P,7,0),0)</f>
        <v>0</v>
      </c>
      <c r="EQ30" s="3">
        <f>IFERROR(VLOOKUP(EN30,'Factory Log'!$J:$Q,8,0),0)</f>
        <v>0</v>
      </c>
      <c r="ER30" s="58">
        <f>SUMIFS('Factory Log'!$D:$D,'Factory Log'!$B:$B,Performance!EN$1,'Factory Log'!$J:$J,Performance!EN30,'Factory Log'!$C:$C,"Running")+SUMIFS('Factory Log'!$D:$D,'Factory Log'!$B:$B,Performance!EN$1,'Factory Log'!$J:$J,Performance!EN30,'Factory Log'!$C:$C,"Make Ready")+SUMIFS('Factory Log'!$D:$D,'Factory Log'!$B:$B,Performance!EN$1,'Factory Log'!$J:$J,Performance!EN30,'Factory Log'!$C:$C,"Roll Change")</f>
        <v>0</v>
      </c>
      <c r="ES30" s="3">
        <f>SUMIFS('Factory Log'!$M:$M,'Factory Log'!$B:$B,Performance!EN$1,'Factory Log'!$J:$J,Performance!EN30,'Factory Log'!$C:$C,"Running")</f>
        <v>0</v>
      </c>
      <c r="ET30" s="58" cm="1">
        <f t="array" ref="ET30">IFERROR(INDEX('Factory Log'!$S:$S,MATCH(1,(Performance!EN$1='Factory Log'!$B:$B)*(Performance!EN30='Factory Log'!$A:$A),0)),0)</f>
        <v>0</v>
      </c>
      <c r="EU30" s="3">
        <f>IFERROR(VLOOKUP(EN30,'Factory Log'!$J:$R,9,0),0)</f>
        <v>0</v>
      </c>
      <c r="EV30" s="64">
        <f t="shared" si="26"/>
        <v>0</v>
      </c>
      <c r="EW30" s="58">
        <f t="shared" si="27"/>
        <v>0</v>
      </c>
      <c r="EZ30" s="3">
        <f>IFERROR(VLOOKUP(EY30,'Factory Log'!$J:$O,6,0),0)</f>
        <v>0</v>
      </c>
      <c r="FA30" s="3">
        <f>IFERROR(VLOOKUP(EY30,'Factory Log'!$J:$P,7,0),0)</f>
        <v>0</v>
      </c>
      <c r="FB30" s="3">
        <f>IFERROR(VLOOKUP(EY30,'Factory Log'!$J:$Q,8,0),0)</f>
        <v>0</v>
      </c>
      <c r="FC30" s="58">
        <f>SUMIFS('Factory Log'!$D:$D,'Factory Log'!$B:$B,Performance!EY$1,'Factory Log'!$J:$J,Performance!EY30,'Factory Log'!$C:$C,"Running")+SUMIFS('Factory Log'!$D:$D,'Factory Log'!$B:$B,Performance!EY$1,'Factory Log'!$J:$J,Performance!EY30,'Factory Log'!$C:$C,"Make Ready")+SUMIFS('Factory Log'!$D:$D,'Factory Log'!$B:$B,Performance!EY$1,'Factory Log'!$J:$J,Performance!EY30,'Factory Log'!$C:$C,"Roll Change")</f>
        <v>0</v>
      </c>
      <c r="FD30" s="3">
        <f>SUMIFS('Factory Log'!$M:$M,'Factory Log'!$B:$B,Performance!EY$1,'Factory Log'!$J:$J,Performance!EY30,'Factory Log'!$C:$C,"Running")</f>
        <v>0</v>
      </c>
      <c r="FE30" s="58" cm="1">
        <f t="array" ref="FE30">IFERROR(INDEX('Factory Log'!$S:$S,MATCH(1,(Performance!EY$1='Factory Log'!$B:$B)*(Performance!EY30='Factory Log'!$A:$A),0)),0)</f>
        <v>0</v>
      </c>
      <c r="FF30" s="3">
        <f>IFERROR(VLOOKUP(EY30,'Factory Log'!$J:$R,9,0),0)</f>
        <v>0</v>
      </c>
      <c r="FG30" s="64">
        <f t="shared" si="28"/>
        <v>0</v>
      </c>
      <c r="FH30" s="58">
        <f t="shared" si="29"/>
        <v>0</v>
      </c>
    </row>
    <row r="31" spans="2:164" ht="16" customHeight="1" x14ac:dyDescent="0.2">
      <c r="B31" s="3">
        <f>IFERROR(VLOOKUP(A31,'Factory Log'!$J:$O,6,0),0)</f>
        <v>0</v>
      </c>
      <c r="C31" s="3">
        <f>IFERROR(VLOOKUP(A31,'Factory Log'!$J:$P,7,0),0)</f>
        <v>0</v>
      </c>
      <c r="D31" s="3">
        <f>IFERROR(VLOOKUP(A31,'Factory Log'!$J:$Q,8,0),0)</f>
        <v>0</v>
      </c>
      <c r="E31" s="58">
        <f>SUMIFS('Factory Log'!$D:$D,'Factory Log'!$B:$B,Performance!A$1,'Factory Log'!$J:$J,Performance!A31,'Factory Log'!$C:$C,"Running")+SUMIFS('Factory Log'!$D:$D,'Factory Log'!$B:$B,Performance!A$1,'Factory Log'!$J:$J,Performance!A31,'Factory Log'!$C:$C,"Make Ready")+SUMIFS('Factory Log'!$D:$D,'Factory Log'!$B:$B,Performance!A$1,'Factory Log'!$J:$J,Performance!A31,'Factory Log'!$C:$C,"Roll Change")</f>
        <v>0</v>
      </c>
      <c r="F31" s="3">
        <f>SUMIFS('Factory Log'!$M:$M,'Factory Log'!$B:$B,Performance!A$1,'Factory Log'!$J:$J,Performance!A31,'Factory Log'!$C:$C,"Running")</f>
        <v>0</v>
      </c>
      <c r="G31" s="58" cm="1">
        <f t="array" ref="G31">IFERROR(INDEX('Factory Log'!$S:$S,MATCH(1,(Performance!A$1='Factory Log'!$B:$B)*(Performance!A31='Factory Log'!$A:$A),0)),0)</f>
        <v>0</v>
      </c>
      <c r="H31" s="3">
        <f>IFERROR(VLOOKUP(A31,'Factory Log'!$J:$R,9,0),0)</f>
        <v>0</v>
      </c>
      <c r="I31" s="64">
        <f t="shared" si="1"/>
        <v>0</v>
      </c>
      <c r="J31" s="58">
        <f t="shared" si="30"/>
        <v>0</v>
      </c>
      <c r="M31" s="3">
        <f>IFERROR(VLOOKUP(L31,'Factory Log'!$J:$O,6,0),0)</f>
        <v>0</v>
      </c>
      <c r="N31" s="3">
        <f>IFERROR(VLOOKUP(L31,'Factory Log'!$J:$P,7,0),0)</f>
        <v>0</v>
      </c>
      <c r="O31" s="3">
        <f>IFERROR(VLOOKUP(L31,'Factory Log'!$J:$Q,8,0),0)</f>
        <v>0</v>
      </c>
      <c r="P31" s="58">
        <f>SUMIFS('Factory Log'!$D:$D,'Factory Log'!$B:$B,Performance!L$1,'Factory Log'!$J:$J,Performance!L31,'Factory Log'!$C:$C,"Running")+SUMIFS('Factory Log'!$D:$D,'Factory Log'!$B:$B,Performance!L$1,'Factory Log'!$J:$J,Performance!L31,'Factory Log'!$C:$C,"Make Ready")+SUMIFS('Factory Log'!$D:$D,'Factory Log'!$B:$B,Performance!L$1,'Factory Log'!$J:$J,Performance!L31,'Factory Log'!$C:$C,"Roll Change")</f>
        <v>0</v>
      </c>
      <c r="Q31" s="3">
        <f>SUMIFS('Factory Log'!$M:$M,'Factory Log'!$B:$B,Performance!L$1,'Factory Log'!$J:$J,Performance!L31,'Factory Log'!$C:$C,"Running")</f>
        <v>0</v>
      </c>
      <c r="R31" s="58" cm="1">
        <f t="array" ref="R31">IFERROR(INDEX('Factory Log'!$S:$S,MATCH(1,(Performance!L$1='Factory Log'!$B:$B)*(Performance!L31='Factory Log'!$A:$A),0)),0)</f>
        <v>0</v>
      </c>
      <c r="S31" s="3">
        <f>IFERROR(VLOOKUP(L31,'Factory Log'!$J:$R,9,0),0)</f>
        <v>0</v>
      </c>
      <c r="T31" s="64">
        <f t="shared" si="2"/>
        <v>0</v>
      </c>
      <c r="U31" s="58">
        <f t="shared" si="31"/>
        <v>0</v>
      </c>
      <c r="X31" s="3">
        <f>IFERROR(VLOOKUP(W31,'Factory Log'!$J:$O,6,0),0)</f>
        <v>0</v>
      </c>
      <c r="Y31" s="3">
        <f>IFERROR(VLOOKUP(W31,'Factory Log'!$J:$P,7,0),0)</f>
        <v>0</v>
      </c>
      <c r="Z31" s="3">
        <f>IFERROR(VLOOKUP(W31,'Factory Log'!$J:$Q,8,0),0)</f>
        <v>0</v>
      </c>
      <c r="AA31" s="58">
        <f>SUMIFS('Factory Log'!$D:$D,'Factory Log'!$B:$B,Performance!W$1,'Factory Log'!$J:$J,Performance!W31,'Factory Log'!$C:$C,"Running")+SUMIFS('Factory Log'!$D:$D,'Factory Log'!$B:$B,Performance!W$1,'Factory Log'!$J:$J,Performance!W31,'Factory Log'!$C:$C,"Make Ready")+SUMIFS('Factory Log'!$D:$D,'Factory Log'!$B:$B,Performance!W$1,'Factory Log'!$J:$J,Performance!W31,'Factory Log'!$C:$C,"Roll Change")</f>
        <v>0</v>
      </c>
      <c r="AB31" s="3">
        <f>SUMIFS('Factory Log'!$M:$M,'Factory Log'!$B:$B,Performance!W$1,'Factory Log'!$J:$J,Performance!W31,'Factory Log'!$C:$C,"Running")</f>
        <v>0</v>
      </c>
      <c r="AC31" s="58" cm="1">
        <f t="array" ref="AC31">IFERROR(INDEX('Factory Log'!$S:$S,MATCH(1,(Performance!W$1='Factory Log'!$B:$B)*(Performance!W31='Factory Log'!$A:$A),0)),0)</f>
        <v>0</v>
      </c>
      <c r="AD31" s="3">
        <f>IFERROR(VLOOKUP(W31,'Factory Log'!$J:$R,9,0),0)</f>
        <v>0</v>
      </c>
      <c r="AE31" s="64">
        <f t="shared" si="4"/>
        <v>0</v>
      </c>
      <c r="AF31" s="58">
        <f t="shared" si="33"/>
        <v>0</v>
      </c>
      <c r="AI31" s="3">
        <f>IFERROR(VLOOKUP(AH31,'Factory Log'!$J:$O,6,0),0)</f>
        <v>0</v>
      </c>
      <c r="AJ31" s="3">
        <f>IFERROR(VLOOKUP(AH31,'Factory Log'!$J:$P,7,0),0)</f>
        <v>0</v>
      </c>
      <c r="AK31" s="3">
        <f>IFERROR(VLOOKUP(AH31,'Factory Log'!$J:$Q,8,0),0)</f>
        <v>0</v>
      </c>
      <c r="AL31" s="58">
        <f>SUMIFS('Factory Log'!$D:$D,'Factory Log'!$B:$B,Performance!AH$1,'Factory Log'!$J:$J,Performance!AH31,'Factory Log'!$C:$C,"Running")+SUMIFS('Factory Log'!$D:$D,'Factory Log'!$B:$B,Performance!AH$1,'Factory Log'!$J:$J,Performance!AH31,'Factory Log'!$C:$C,"Make Ready")+SUMIFS('Factory Log'!$D:$D,'Factory Log'!$B:$B,Performance!AH$1,'Factory Log'!$J:$J,Performance!AH31,'Factory Log'!$C:$C,"Roll Change")</f>
        <v>0</v>
      </c>
      <c r="AM31" s="3">
        <f>SUMIFS('Factory Log'!$M:$M,'Factory Log'!$B:$B,Performance!AH$1,'Factory Log'!$J:$J,Performance!AH31,'Factory Log'!$C:$C,"Running")</f>
        <v>0</v>
      </c>
      <c r="AN31" s="58" cm="1">
        <f t="array" ref="AN31">IFERROR(INDEX('Factory Log'!$S:$S,MATCH(1,(Performance!AH$1='Factory Log'!$B:$B)*(Performance!AH31='Factory Log'!$A:$A),0)),0)</f>
        <v>0</v>
      </c>
      <c r="AO31" s="3">
        <f>IFERROR(VLOOKUP(AH31,'Factory Log'!$J:$R,9,0),0)</f>
        <v>0</v>
      </c>
      <c r="AP31" s="64">
        <f t="shared" si="6"/>
        <v>0</v>
      </c>
      <c r="AQ31" s="58">
        <f t="shared" si="7"/>
        <v>0</v>
      </c>
      <c r="AT31" s="3">
        <f>IFERROR(VLOOKUP(AS31,'Factory Log'!$J:$O,6,0),0)</f>
        <v>0</v>
      </c>
      <c r="AU31" s="3">
        <f>IFERROR(VLOOKUP(AS31,'Factory Log'!$J:$P,7,0),0)</f>
        <v>0</v>
      </c>
      <c r="AV31" s="3">
        <f>IFERROR(VLOOKUP(AS31,'Factory Log'!$J:$Q,8,0),0)</f>
        <v>0</v>
      </c>
      <c r="AW31" s="58">
        <f>SUMIFS('Factory Log'!$D:$D,'Factory Log'!$B:$B,Performance!AS$1,'Factory Log'!$J:$J,Performance!AS31,'Factory Log'!$C:$C,"Running")+SUMIFS('Factory Log'!$D:$D,'Factory Log'!$B:$B,Performance!AS$1,'Factory Log'!$J:$J,Performance!AS31,'Factory Log'!$C:$C,"Make Ready")+SUMIFS('Factory Log'!$D:$D,'Factory Log'!$B:$B,Performance!AS$1,'Factory Log'!$J:$J,Performance!AS31,'Factory Log'!$C:$C,"Roll Change")</f>
        <v>0</v>
      </c>
      <c r="AX31" s="3">
        <f>SUMIFS('Factory Log'!$M:$M,'Factory Log'!$B:$B,Performance!AS$1,'Factory Log'!$J:$J,Performance!AS31,'Factory Log'!$C:$C,"Running")</f>
        <v>0</v>
      </c>
      <c r="AY31" s="58" cm="1">
        <f t="array" ref="AY31">IFERROR(INDEX('Factory Log'!$S:$S,MATCH(1,(Performance!AS$1='Factory Log'!$B:$B)*(Performance!AS31='Factory Log'!$A:$A),0)),0)</f>
        <v>0</v>
      </c>
      <c r="AZ31" s="3">
        <f>IFERROR(VLOOKUP(AS31,'Factory Log'!$J:$R,9,0),0)</f>
        <v>0</v>
      </c>
      <c r="BA31" s="64">
        <f t="shared" si="8"/>
        <v>0</v>
      </c>
      <c r="BB31" s="58">
        <f t="shared" si="9"/>
        <v>0</v>
      </c>
      <c r="BE31" s="3">
        <f>IFERROR(VLOOKUP(BD31,'Factory Log'!$J:$O,6,0),0)</f>
        <v>0</v>
      </c>
      <c r="BF31" s="3">
        <f>IFERROR(VLOOKUP(BD31,'Factory Log'!$J:$P,7,0),0)</f>
        <v>0</v>
      </c>
      <c r="BG31" s="3">
        <f>IFERROR(VLOOKUP(BD31,'Factory Log'!$J:$Q,8,0),0)</f>
        <v>0</v>
      </c>
      <c r="BH31" s="58">
        <f>SUMIFS('Factory Log'!$D:$D,'Factory Log'!$B:$B,Performance!BD$1,'Factory Log'!$J:$J,Performance!BD31,'Factory Log'!$C:$C,"Running")+SUMIFS('Factory Log'!$D:$D,'Factory Log'!$B:$B,Performance!BD$1,'Factory Log'!$J:$J,Performance!BD31,'Factory Log'!$C:$C,"Make Ready")+SUMIFS('Factory Log'!$D:$D,'Factory Log'!$B:$B,Performance!BD$1,'Factory Log'!$J:$J,Performance!BD31,'Factory Log'!$C:$C,"Roll Change")</f>
        <v>0</v>
      </c>
      <c r="BI31" s="3">
        <f>SUMIFS('Factory Log'!$M:$M,'Factory Log'!$B:$B,Performance!BD$1,'Factory Log'!$J:$J,Performance!BD31,'Factory Log'!$C:$C,"Running")</f>
        <v>0</v>
      </c>
      <c r="BJ31" s="58" cm="1">
        <f t="array" ref="BJ31">IFERROR(INDEX('Factory Log'!$S:$S,MATCH(1,(Performance!BD$1='Factory Log'!$B:$B)*(Performance!BD31='Factory Log'!$A:$A),0)),0)</f>
        <v>0</v>
      </c>
      <c r="BK31" s="3">
        <f>IFERROR(VLOOKUP(BD31,'Factory Log'!$J:$R,9,0),0)</f>
        <v>0</v>
      </c>
      <c r="BL31" s="64">
        <f t="shared" si="10"/>
        <v>0</v>
      </c>
      <c r="BM31" s="58">
        <f t="shared" si="11"/>
        <v>0</v>
      </c>
      <c r="BP31" s="3">
        <f>IFERROR(VLOOKUP(BO31,'Factory Log'!$J:$O,6,0),0)</f>
        <v>0</v>
      </c>
      <c r="BQ31" s="3">
        <f>IFERROR(VLOOKUP(BO31,'Factory Log'!$J:$P,7,0),0)</f>
        <v>0</v>
      </c>
      <c r="BR31" s="3">
        <f>IFERROR(VLOOKUP(BO31,'Factory Log'!$J:$Q,8,0),0)</f>
        <v>0</v>
      </c>
      <c r="BS31" s="58">
        <f>SUMIFS('Factory Log'!$D:$D,'Factory Log'!$B:$B,Performance!BO$1,'Factory Log'!$J:$J,Performance!BO31,'Factory Log'!$C:$C,"Running")+SUMIFS('Factory Log'!$D:$D,'Factory Log'!$B:$B,Performance!BO$1,'Factory Log'!$J:$J,Performance!BO31,'Factory Log'!$C:$C,"Make Ready")+SUMIFS('Factory Log'!$D:$D,'Factory Log'!$B:$B,Performance!BO$1,'Factory Log'!$J:$J,Performance!BO31,'Factory Log'!$C:$C,"Roll Change")</f>
        <v>0</v>
      </c>
      <c r="BT31" s="3">
        <f>SUMIFS('Factory Log'!$M:$M,'Factory Log'!$B:$B,Performance!BO$1,'Factory Log'!$J:$J,Performance!BO31,'Factory Log'!$C:$C,"Running")</f>
        <v>0</v>
      </c>
      <c r="BU31" s="58" cm="1">
        <f t="array" ref="BU31">IFERROR(INDEX('Factory Log'!$S:$S,MATCH(1,(Performance!BO$1='Factory Log'!$B:$B)*(Performance!BO31='Factory Log'!$A:$A),0)),0)</f>
        <v>0</v>
      </c>
      <c r="BV31" s="3">
        <f>IFERROR(VLOOKUP(BO31,'Factory Log'!$J:$R,9,0),0)</f>
        <v>0</v>
      </c>
      <c r="BW31" s="64">
        <f t="shared" si="12"/>
        <v>0</v>
      </c>
      <c r="BX31" s="58">
        <f t="shared" si="13"/>
        <v>0</v>
      </c>
      <c r="CA31" s="3">
        <f>IFERROR(VLOOKUP(BZ31,'Factory Log'!$J:$O,6,0),0)</f>
        <v>0</v>
      </c>
      <c r="CB31" s="3">
        <f>IFERROR(VLOOKUP(BZ31,'Factory Log'!$J:$P,7,0),0)</f>
        <v>0</v>
      </c>
      <c r="CC31" s="3">
        <f>IFERROR(VLOOKUP(BZ31,'Factory Log'!$J:$Q,8,0),0)</f>
        <v>0</v>
      </c>
      <c r="CD31" s="58">
        <f>SUMIFS('Factory Log'!$D:$D,'Factory Log'!$B:$B,Performance!BZ$1,'Factory Log'!$J:$J,Performance!BZ31,'Factory Log'!$C:$C,"Running")+SUMIFS('Factory Log'!$D:$D,'Factory Log'!$B:$B,Performance!BZ$1,'Factory Log'!$J:$J,Performance!BZ31,'Factory Log'!$C:$C,"Make Ready")+SUMIFS('Factory Log'!$D:$D,'Factory Log'!$B:$B,Performance!BZ$1,'Factory Log'!$J:$J,Performance!BZ31,'Factory Log'!$C:$C,"Roll Change")</f>
        <v>0</v>
      </c>
      <c r="CE31" s="3">
        <f>SUMIFS('Factory Log'!$M:$M,'Factory Log'!$B:$B,Performance!BZ$1,'Factory Log'!$J:$J,Performance!BZ31,'Factory Log'!$C:$C,"Running")</f>
        <v>0</v>
      </c>
      <c r="CF31" s="58" cm="1">
        <f t="array" ref="CF31">IFERROR(INDEX('Factory Log'!$S:$S,MATCH(1,(Performance!BZ$1='Factory Log'!$B:$B)*(Performance!BZ31='Factory Log'!$A:$A),0)),0)</f>
        <v>0</v>
      </c>
      <c r="CG31" s="3">
        <f>IFERROR(VLOOKUP(BZ31,'Factory Log'!$J:$R,9,0),0)</f>
        <v>0</v>
      </c>
      <c r="CH31" s="64">
        <f t="shared" si="14"/>
        <v>0</v>
      </c>
      <c r="CI31" s="58">
        <f t="shared" si="15"/>
        <v>0</v>
      </c>
      <c r="CL31" s="3">
        <f>IFERROR(VLOOKUP(CK31,'Factory Log'!$J:$O,6,0),0)</f>
        <v>0</v>
      </c>
      <c r="CM31" s="3">
        <f>IFERROR(VLOOKUP(CK31,'Factory Log'!$J:$P,7,0),0)</f>
        <v>0</v>
      </c>
      <c r="CN31" s="3">
        <f>IFERROR(VLOOKUP(CK31,'Factory Log'!$J:$Q,8,0),0)</f>
        <v>0</v>
      </c>
      <c r="CO31" s="58">
        <f>SUMIFS('Factory Log'!$D:$D,'Factory Log'!$B:$B,Performance!CK$1,'Factory Log'!$J:$J,Performance!CK31,'Factory Log'!$C:$C,"Running")+SUMIFS('Factory Log'!$D:$D,'Factory Log'!$B:$B,Performance!CK$1,'Factory Log'!$J:$J,Performance!CK31,'Factory Log'!$C:$C,"Make Ready")+SUMIFS('Factory Log'!$D:$D,'Factory Log'!$B:$B,Performance!CK$1,'Factory Log'!$J:$J,Performance!CK31,'Factory Log'!$C:$C,"Roll Change")</f>
        <v>0</v>
      </c>
      <c r="CP31" s="3">
        <f>SUMIFS('Factory Log'!$M:$M,'Factory Log'!$B:$B,Performance!CK$1,'Factory Log'!$J:$J,Performance!CK31,'Factory Log'!$C:$C,"Running")</f>
        <v>0</v>
      </c>
      <c r="CQ31" s="58" cm="1">
        <f t="array" ref="CQ31">IFERROR(INDEX('Factory Log'!$S:$S,MATCH(1,(Performance!CK$1='Factory Log'!$B:$B)*(Performance!CK31='Factory Log'!$A:$A),0)),0)</f>
        <v>0</v>
      </c>
      <c r="CR31" s="3">
        <f>IFERROR(VLOOKUP(CK31,'Factory Log'!$J:$R,9,0),0)</f>
        <v>0</v>
      </c>
      <c r="CS31" s="64">
        <f t="shared" si="16"/>
        <v>0</v>
      </c>
      <c r="CT31" s="58">
        <f t="shared" si="17"/>
        <v>0</v>
      </c>
      <c r="CW31" s="3">
        <f>IFERROR(VLOOKUP(CV31,'Factory Log'!$J:$O,6,0),0)</f>
        <v>0</v>
      </c>
      <c r="CX31" s="3">
        <f>IFERROR(VLOOKUP(CV31,'Factory Log'!$J:$P,7,0),0)</f>
        <v>0</v>
      </c>
      <c r="CY31" s="3">
        <f>IFERROR(VLOOKUP(CV31,'Factory Log'!$J:$Q,8,0),0)</f>
        <v>0</v>
      </c>
      <c r="CZ31" s="58">
        <f>SUMIFS('Factory Log'!$D:$D,'Factory Log'!$B:$B,Performance!CV$1,'Factory Log'!$J:$J,Performance!CV31,'Factory Log'!$C:$C,"Running")+SUMIFS('Factory Log'!$D:$D,'Factory Log'!$B:$B,Performance!CV$1,'Factory Log'!$J:$J,Performance!CV31,'Factory Log'!$C:$C,"Make Ready")+SUMIFS('Factory Log'!$D:$D,'Factory Log'!$B:$B,Performance!CV$1,'Factory Log'!$J:$J,Performance!CV31,'Factory Log'!$C:$C,"Roll Change")</f>
        <v>0</v>
      </c>
      <c r="DA31" s="3">
        <f>SUMIFS('Factory Log'!$M:$M,'Factory Log'!$B:$B,Performance!CV$1,'Factory Log'!$J:$J,Performance!CV31,'Factory Log'!$C:$C,"Running")</f>
        <v>0</v>
      </c>
      <c r="DB31" s="58" cm="1">
        <f t="array" ref="DB31">IFERROR(INDEX('Factory Log'!$S:$S,MATCH(1,(Performance!CV$1='Factory Log'!$B:$B)*(Performance!CV31='Factory Log'!$A:$A),0)),0)</f>
        <v>0</v>
      </c>
      <c r="DC31" s="3">
        <f>IFERROR(VLOOKUP(CV31,'Factory Log'!$J:$R,9,0),0)</f>
        <v>0</v>
      </c>
      <c r="DD31" s="64">
        <f t="shared" si="18"/>
        <v>0</v>
      </c>
      <c r="DE31" s="58">
        <f t="shared" si="19"/>
        <v>0</v>
      </c>
      <c r="DH31" s="3">
        <f>IFERROR(VLOOKUP(DG31,'Factory Log'!$J:$O,6,0),0)</f>
        <v>0</v>
      </c>
      <c r="DI31" s="3">
        <f>IFERROR(VLOOKUP(DG31,'Factory Log'!$J:$P,7,0),0)</f>
        <v>0</v>
      </c>
      <c r="DJ31" s="3">
        <f>IFERROR(VLOOKUP(DG31,'Factory Log'!$J:$Q,8,0),0)</f>
        <v>0</v>
      </c>
      <c r="DK31" s="58">
        <f>SUMIFS('Factory Log'!$D:$D,'Factory Log'!$B:$B,Performance!DG$1,'Factory Log'!$J:$J,Performance!DG31,'Factory Log'!$C:$C,"Running")+SUMIFS('Factory Log'!$D:$D,'Factory Log'!$B:$B,Performance!DG$1,'Factory Log'!$J:$J,Performance!DG31,'Factory Log'!$C:$C,"Make Ready")+SUMIFS('Factory Log'!$D:$D,'Factory Log'!$B:$B,Performance!DG$1,'Factory Log'!$J:$J,Performance!DG31,'Factory Log'!$C:$C,"Roll Change")</f>
        <v>0</v>
      </c>
      <c r="DL31" s="3">
        <f>SUMIFS('Factory Log'!$M:$M,'Factory Log'!$B:$B,Performance!DG$1,'Factory Log'!$J:$J,Performance!DG31,'Factory Log'!$C:$C,"Running")</f>
        <v>0</v>
      </c>
      <c r="DM31" s="58" cm="1">
        <f t="array" ref="DM31">IFERROR(INDEX('Factory Log'!$S:$S,MATCH(1,(Performance!DG$1='Factory Log'!$B:$B)*(Performance!DG31='Factory Log'!$A:$A),0)),0)</f>
        <v>0</v>
      </c>
      <c r="DN31" s="3">
        <f>IFERROR(VLOOKUP(DG31,'Factory Log'!$J:$R,9,0),0)</f>
        <v>0</v>
      </c>
      <c r="DO31" s="64">
        <f t="shared" si="20"/>
        <v>0</v>
      </c>
      <c r="DP31" s="58">
        <f t="shared" si="21"/>
        <v>0</v>
      </c>
      <c r="DS31" s="3">
        <f>IFERROR(VLOOKUP(DR31,'Factory Log'!$J:$O,6,0),0)</f>
        <v>0</v>
      </c>
      <c r="DT31" s="3">
        <f>IFERROR(VLOOKUP(DR31,'Factory Log'!$J:$P,7,0),0)</f>
        <v>0</v>
      </c>
      <c r="DU31" s="3">
        <f>IFERROR(VLOOKUP(DR31,'Factory Log'!$J:$Q,8,0),0)</f>
        <v>0</v>
      </c>
      <c r="DV31" s="58">
        <f>SUMIFS('Factory Log'!$D:$D,'Factory Log'!$B:$B,Performance!DR$1,'Factory Log'!$J:$J,Performance!DR31,'Factory Log'!$C:$C,"Running")+SUMIFS('Factory Log'!$D:$D,'Factory Log'!$B:$B,Performance!DR$1,'Factory Log'!$J:$J,Performance!DR31,'Factory Log'!$C:$C,"Make Ready")+SUMIFS('Factory Log'!$D:$D,'Factory Log'!$B:$B,Performance!DR$1,'Factory Log'!$J:$J,Performance!DR31,'Factory Log'!$C:$C,"Roll Change")</f>
        <v>0</v>
      </c>
      <c r="DW31" s="3">
        <f>SUMIFS('Factory Log'!$M:$M,'Factory Log'!$B:$B,Performance!DR$1,'Factory Log'!$J:$J,Performance!DR31,'Factory Log'!$C:$C,"Running")</f>
        <v>0</v>
      </c>
      <c r="DX31" s="58" cm="1">
        <f t="array" ref="DX31">IFERROR(INDEX('Factory Log'!$S:$S,MATCH(1,(Performance!DR$1='Factory Log'!$B:$B)*(Performance!DR31='Factory Log'!$A:$A),0)),0)</f>
        <v>0</v>
      </c>
      <c r="DY31" s="3">
        <f>IFERROR(VLOOKUP(DR31,'Factory Log'!$J:$R,9,0),0)</f>
        <v>0</v>
      </c>
      <c r="DZ31" s="64">
        <f t="shared" si="22"/>
        <v>0</v>
      </c>
      <c r="EA31" s="58">
        <f t="shared" si="23"/>
        <v>0</v>
      </c>
      <c r="ED31" s="3">
        <f>IFERROR(VLOOKUP(EC31,'Factory Log'!$J:$O,6,0),0)</f>
        <v>0</v>
      </c>
      <c r="EE31" s="3">
        <f>IFERROR(VLOOKUP(EC31,'Factory Log'!$J:$P,7,0),0)</f>
        <v>0</v>
      </c>
      <c r="EF31" s="3">
        <f>IFERROR(VLOOKUP(EC31,'Factory Log'!$J:$Q,8,0),0)</f>
        <v>0</v>
      </c>
      <c r="EG31" s="58">
        <f>SUMIFS('Factory Log'!$D:$D,'Factory Log'!$B:$B,Performance!EC$1,'Factory Log'!$J:$J,Performance!EC31,'Factory Log'!$C:$C,"Running")+SUMIFS('Factory Log'!$D:$D,'Factory Log'!$B:$B,Performance!EC$1,'Factory Log'!$J:$J,Performance!EC31,'Factory Log'!$C:$C,"Make Ready")+SUMIFS('Factory Log'!$D:$D,'Factory Log'!$B:$B,Performance!EC$1,'Factory Log'!$J:$J,Performance!EC31,'Factory Log'!$C:$C,"Roll Change")</f>
        <v>0</v>
      </c>
      <c r="EH31" s="3">
        <f>SUMIFS('Factory Log'!$M:$M,'Factory Log'!$B:$B,Performance!EC$1,'Factory Log'!$J:$J,Performance!EC31,'Factory Log'!$C:$C,"Running")</f>
        <v>0</v>
      </c>
      <c r="EI31" s="58" cm="1">
        <f t="array" ref="EI31">IFERROR(INDEX('Factory Log'!$S:$S,MATCH(1,(Performance!EC$1='Factory Log'!$B:$B)*(Performance!EC31='Factory Log'!$A:$A),0)),0)</f>
        <v>0</v>
      </c>
      <c r="EJ31" s="3">
        <f>IFERROR(VLOOKUP(EC31,'Factory Log'!$J:$R,9,0),0)</f>
        <v>0</v>
      </c>
      <c r="EK31" s="64">
        <f t="shared" si="24"/>
        <v>0</v>
      </c>
      <c r="EL31" s="58">
        <f t="shared" si="25"/>
        <v>0</v>
      </c>
      <c r="EO31" s="3">
        <f>IFERROR(VLOOKUP(EN31,'Factory Log'!$J:$O,6,0),0)</f>
        <v>0</v>
      </c>
      <c r="EP31" s="3">
        <f>IFERROR(VLOOKUP(EN31,'Factory Log'!$J:$P,7,0),0)</f>
        <v>0</v>
      </c>
      <c r="EQ31" s="3">
        <f>IFERROR(VLOOKUP(EN31,'Factory Log'!$J:$Q,8,0),0)</f>
        <v>0</v>
      </c>
      <c r="ER31" s="58">
        <f>SUMIFS('Factory Log'!$D:$D,'Factory Log'!$B:$B,Performance!EN$1,'Factory Log'!$J:$J,Performance!EN31,'Factory Log'!$C:$C,"Running")+SUMIFS('Factory Log'!$D:$D,'Factory Log'!$B:$B,Performance!EN$1,'Factory Log'!$J:$J,Performance!EN31,'Factory Log'!$C:$C,"Make Ready")+SUMIFS('Factory Log'!$D:$D,'Factory Log'!$B:$B,Performance!EN$1,'Factory Log'!$J:$J,Performance!EN31,'Factory Log'!$C:$C,"Roll Change")</f>
        <v>0</v>
      </c>
      <c r="ES31" s="3">
        <f>SUMIFS('Factory Log'!$M:$M,'Factory Log'!$B:$B,Performance!EN$1,'Factory Log'!$J:$J,Performance!EN31,'Factory Log'!$C:$C,"Running")</f>
        <v>0</v>
      </c>
      <c r="ET31" s="58" cm="1">
        <f t="array" ref="ET31">IFERROR(INDEX('Factory Log'!$S:$S,MATCH(1,(Performance!EN$1='Factory Log'!$B:$B)*(Performance!EN31='Factory Log'!$A:$A),0)),0)</f>
        <v>0</v>
      </c>
      <c r="EU31" s="3">
        <f>IFERROR(VLOOKUP(EN31,'Factory Log'!$J:$R,9,0),0)</f>
        <v>0</v>
      </c>
      <c r="EV31" s="64">
        <f t="shared" si="26"/>
        <v>0</v>
      </c>
      <c r="EW31" s="58">
        <f t="shared" si="27"/>
        <v>0</v>
      </c>
      <c r="EZ31" s="3">
        <f>IFERROR(VLOOKUP(EY31,'Factory Log'!$J:$O,6,0),0)</f>
        <v>0</v>
      </c>
      <c r="FA31" s="3">
        <f>IFERROR(VLOOKUP(EY31,'Factory Log'!$J:$P,7,0),0)</f>
        <v>0</v>
      </c>
      <c r="FB31" s="3">
        <f>IFERROR(VLOOKUP(EY31,'Factory Log'!$J:$Q,8,0),0)</f>
        <v>0</v>
      </c>
      <c r="FC31" s="58">
        <f>SUMIFS('Factory Log'!$D:$D,'Factory Log'!$B:$B,Performance!EY$1,'Factory Log'!$J:$J,Performance!EY31,'Factory Log'!$C:$C,"Running")+SUMIFS('Factory Log'!$D:$D,'Factory Log'!$B:$B,Performance!EY$1,'Factory Log'!$J:$J,Performance!EY31,'Factory Log'!$C:$C,"Make Ready")+SUMIFS('Factory Log'!$D:$D,'Factory Log'!$B:$B,Performance!EY$1,'Factory Log'!$J:$J,Performance!EY31,'Factory Log'!$C:$C,"Roll Change")</f>
        <v>0</v>
      </c>
      <c r="FD31" s="3">
        <f>SUMIFS('Factory Log'!$M:$M,'Factory Log'!$B:$B,Performance!EY$1,'Factory Log'!$J:$J,Performance!EY31,'Factory Log'!$C:$C,"Running")</f>
        <v>0</v>
      </c>
      <c r="FE31" s="58" cm="1">
        <f t="array" ref="FE31">IFERROR(INDEX('Factory Log'!$S:$S,MATCH(1,(Performance!EY$1='Factory Log'!$B:$B)*(Performance!EY31='Factory Log'!$A:$A),0)),0)</f>
        <v>0</v>
      </c>
      <c r="FF31" s="3">
        <f>IFERROR(VLOOKUP(EY31,'Factory Log'!$J:$R,9,0),0)</f>
        <v>0</v>
      </c>
      <c r="FG31" s="64">
        <f t="shared" si="28"/>
        <v>0</v>
      </c>
      <c r="FH31" s="58">
        <f t="shared" si="29"/>
        <v>0</v>
      </c>
    </row>
    <row r="32" spans="2:164" ht="16" customHeight="1" x14ac:dyDescent="0.2">
      <c r="B32" s="3">
        <f>IFERROR(VLOOKUP(A32,'Factory Log'!$J:$O,6,0),0)</f>
        <v>0</v>
      </c>
      <c r="C32" s="3">
        <f>IFERROR(VLOOKUP(A32,'Factory Log'!$J:$P,7,0),0)</f>
        <v>0</v>
      </c>
      <c r="D32" s="3">
        <f>IFERROR(VLOOKUP(A32,'Factory Log'!$J:$Q,8,0),0)</f>
        <v>0</v>
      </c>
      <c r="E32" s="58">
        <f>SUMIFS('Factory Log'!$D:$D,'Factory Log'!$B:$B,Performance!A$1,'Factory Log'!$J:$J,Performance!A32,'Factory Log'!$C:$C,"Running")+SUMIFS('Factory Log'!$D:$D,'Factory Log'!$B:$B,Performance!A$1,'Factory Log'!$J:$J,Performance!A32,'Factory Log'!$C:$C,"Make Ready")+SUMIFS('Factory Log'!$D:$D,'Factory Log'!$B:$B,Performance!A$1,'Factory Log'!$J:$J,Performance!A32,'Factory Log'!$C:$C,"Roll Change")</f>
        <v>0</v>
      </c>
      <c r="F32" s="3">
        <f>SUMIFS('Factory Log'!$M:$M,'Factory Log'!$B:$B,Performance!A$1,'Factory Log'!$J:$J,Performance!A32,'Factory Log'!$C:$C,"Running")</f>
        <v>0</v>
      </c>
      <c r="G32" s="58" cm="1">
        <f t="array" ref="G32">IFERROR(INDEX('Factory Log'!$S:$S,MATCH(1,(Performance!A$1='Factory Log'!$B:$B)*(Performance!A32='Factory Log'!$A:$A),0)),0)</f>
        <v>0</v>
      </c>
      <c r="H32" s="3">
        <f>IFERROR(VLOOKUP(A32,'Factory Log'!$J:$R,9,0),0)</f>
        <v>0</v>
      </c>
      <c r="I32" s="64">
        <f t="shared" si="1"/>
        <v>0</v>
      </c>
      <c r="J32" s="58">
        <f t="shared" si="30"/>
        <v>0</v>
      </c>
      <c r="M32" s="3">
        <f>IFERROR(VLOOKUP(L32,'Factory Log'!$J:$O,6,0),0)</f>
        <v>0</v>
      </c>
      <c r="N32" s="3">
        <f>IFERROR(VLOOKUP(L32,'Factory Log'!$J:$P,7,0),0)</f>
        <v>0</v>
      </c>
      <c r="O32" s="3">
        <f>IFERROR(VLOOKUP(L32,'Factory Log'!$J:$Q,8,0),0)</f>
        <v>0</v>
      </c>
      <c r="P32" s="58">
        <f>SUMIFS('Factory Log'!$D:$D,'Factory Log'!$B:$B,Performance!L$1,'Factory Log'!$J:$J,Performance!L32,'Factory Log'!$C:$C,"Running")+SUMIFS('Factory Log'!$D:$D,'Factory Log'!$B:$B,Performance!L$1,'Factory Log'!$J:$J,Performance!L32,'Factory Log'!$C:$C,"Make Ready")+SUMIFS('Factory Log'!$D:$D,'Factory Log'!$B:$B,Performance!L$1,'Factory Log'!$J:$J,Performance!L32,'Factory Log'!$C:$C,"Roll Change")</f>
        <v>0</v>
      </c>
      <c r="Q32" s="3">
        <f>SUMIFS('Factory Log'!$M:$M,'Factory Log'!$B:$B,Performance!L$1,'Factory Log'!$J:$J,Performance!L32,'Factory Log'!$C:$C,"Running")</f>
        <v>0</v>
      </c>
      <c r="R32" s="58" cm="1">
        <f t="array" ref="R32">IFERROR(INDEX('Factory Log'!$S:$S,MATCH(1,(Performance!L$1='Factory Log'!$B:$B)*(Performance!L32='Factory Log'!$A:$A),0)),0)</f>
        <v>0</v>
      </c>
      <c r="S32" s="3">
        <f>IFERROR(VLOOKUP(L32,'Factory Log'!$J:$R,9,0),0)</f>
        <v>0</v>
      </c>
      <c r="T32" s="64">
        <f t="shared" si="2"/>
        <v>0</v>
      </c>
      <c r="U32" s="58">
        <f t="shared" si="31"/>
        <v>0</v>
      </c>
      <c r="X32" s="3">
        <f>IFERROR(VLOOKUP(W32,'Factory Log'!$J:$O,6,0),0)</f>
        <v>0</v>
      </c>
      <c r="Y32" s="3">
        <f>IFERROR(VLOOKUP(W32,'Factory Log'!$J:$P,7,0),0)</f>
        <v>0</v>
      </c>
      <c r="Z32" s="3">
        <f>IFERROR(VLOOKUP(W32,'Factory Log'!$J:$Q,8,0),0)</f>
        <v>0</v>
      </c>
      <c r="AA32" s="58">
        <f>SUMIFS('Factory Log'!$D:$D,'Factory Log'!$B:$B,Performance!W$1,'Factory Log'!$J:$J,Performance!W32,'Factory Log'!$C:$C,"Running")+SUMIFS('Factory Log'!$D:$D,'Factory Log'!$B:$B,Performance!W$1,'Factory Log'!$J:$J,Performance!W32,'Factory Log'!$C:$C,"Make Ready")+SUMIFS('Factory Log'!$D:$D,'Factory Log'!$B:$B,Performance!W$1,'Factory Log'!$J:$J,Performance!W32,'Factory Log'!$C:$C,"Roll Change")</f>
        <v>0</v>
      </c>
      <c r="AB32" s="3">
        <f>SUMIFS('Factory Log'!$M:$M,'Factory Log'!$B:$B,Performance!W$1,'Factory Log'!$J:$J,Performance!W32,'Factory Log'!$C:$C,"Running")</f>
        <v>0</v>
      </c>
      <c r="AC32" s="58" cm="1">
        <f t="array" ref="AC32">IFERROR(INDEX('Factory Log'!$S:$S,MATCH(1,(Performance!W$1='Factory Log'!$B:$B)*(Performance!W32='Factory Log'!$A:$A),0)),0)</f>
        <v>0</v>
      </c>
      <c r="AD32" s="3">
        <f>IFERROR(VLOOKUP(W32,'Factory Log'!$J:$R,9,0),0)</f>
        <v>0</v>
      </c>
      <c r="AE32" s="64">
        <f t="shared" si="4"/>
        <v>0</v>
      </c>
      <c r="AF32" s="58">
        <f t="shared" si="33"/>
        <v>0</v>
      </c>
      <c r="AI32" s="3">
        <f>IFERROR(VLOOKUP(AH32,'Factory Log'!$J:$O,6,0),0)</f>
        <v>0</v>
      </c>
      <c r="AJ32" s="3">
        <f>IFERROR(VLOOKUP(AH32,'Factory Log'!$J:$P,7,0),0)</f>
        <v>0</v>
      </c>
      <c r="AK32" s="3">
        <f>IFERROR(VLOOKUP(AH32,'Factory Log'!$J:$Q,8,0),0)</f>
        <v>0</v>
      </c>
      <c r="AL32" s="58">
        <f>SUMIFS('Factory Log'!$D:$D,'Factory Log'!$B:$B,Performance!AH$1,'Factory Log'!$J:$J,Performance!AH32,'Factory Log'!$C:$C,"Running")+SUMIFS('Factory Log'!$D:$D,'Factory Log'!$B:$B,Performance!AH$1,'Factory Log'!$J:$J,Performance!AH32,'Factory Log'!$C:$C,"Make Ready")+SUMIFS('Factory Log'!$D:$D,'Factory Log'!$B:$B,Performance!AH$1,'Factory Log'!$J:$J,Performance!AH32,'Factory Log'!$C:$C,"Roll Change")</f>
        <v>0</v>
      </c>
      <c r="AM32" s="3">
        <f>SUMIFS('Factory Log'!$M:$M,'Factory Log'!$B:$B,Performance!AH$1,'Factory Log'!$J:$J,Performance!AH32,'Factory Log'!$C:$C,"Running")</f>
        <v>0</v>
      </c>
      <c r="AN32" s="58" cm="1">
        <f t="array" ref="AN32">IFERROR(INDEX('Factory Log'!$S:$S,MATCH(1,(Performance!AH$1='Factory Log'!$B:$B)*(Performance!AH32='Factory Log'!$A:$A),0)),0)</f>
        <v>0</v>
      </c>
      <c r="AO32" s="3">
        <f>IFERROR(VLOOKUP(AH32,'Factory Log'!$J:$R,9,0),0)</f>
        <v>0</v>
      </c>
      <c r="AP32" s="64">
        <f t="shared" si="6"/>
        <v>0</v>
      </c>
      <c r="AQ32" s="58">
        <f t="shared" si="7"/>
        <v>0</v>
      </c>
      <c r="AT32" s="3">
        <f>IFERROR(VLOOKUP(AS32,'Factory Log'!$J:$O,6,0),0)</f>
        <v>0</v>
      </c>
      <c r="AU32" s="3">
        <f>IFERROR(VLOOKUP(AS32,'Factory Log'!$J:$P,7,0),0)</f>
        <v>0</v>
      </c>
      <c r="AV32" s="3">
        <f>IFERROR(VLOOKUP(AS32,'Factory Log'!$J:$Q,8,0),0)</f>
        <v>0</v>
      </c>
      <c r="AW32" s="58">
        <f>SUMIFS('Factory Log'!$D:$D,'Factory Log'!$B:$B,Performance!AS$1,'Factory Log'!$J:$J,Performance!AS32,'Factory Log'!$C:$C,"Running")+SUMIFS('Factory Log'!$D:$D,'Factory Log'!$B:$B,Performance!AS$1,'Factory Log'!$J:$J,Performance!AS32,'Factory Log'!$C:$C,"Make Ready")+SUMIFS('Factory Log'!$D:$D,'Factory Log'!$B:$B,Performance!AS$1,'Factory Log'!$J:$J,Performance!AS32,'Factory Log'!$C:$C,"Roll Change")</f>
        <v>0</v>
      </c>
      <c r="AX32" s="3">
        <f>SUMIFS('Factory Log'!$M:$M,'Factory Log'!$B:$B,Performance!AS$1,'Factory Log'!$J:$J,Performance!AS32,'Factory Log'!$C:$C,"Running")</f>
        <v>0</v>
      </c>
      <c r="AY32" s="58" cm="1">
        <f t="array" ref="AY32">IFERROR(INDEX('Factory Log'!$S:$S,MATCH(1,(Performance!AS$1='Factory Log'!$B:$B)*(Performance!AS32='Factory Log'!$A:$A),0)),0)</f>
        <v>0</v>
      </c>
      <c r="AZ32" s="3">
        <f>IFERROR(VLOOKUP(AS32,'Factory Log'!$J:$R,9,0),0)</f>
        <v>0</v>
      </c>
      <c r="BA32" s="64">
        <f t="shared" si="8"/>
        <v>0</v>
      </c>
      <c r="BB32" s="58">
        <f t="shared" si="9"/>
        <v>0</v>
      </c>
      <c r="BE32" s="3">
        <f>IFERROR(VLOOKUP(BD32,'Factory Log'!$J:$O,6,0),0)</f>
        <v>0</v>
      </c>
      <c r="BF32" s="3">
        <f>IFERROR(VLOOKUP(BD32,'Factory Log'!$J:$P,7,0),0)</f>
        <v>0</v>
      </c>
      <c r="BG32" s="3">
        <f>IFERROR(VLOOKUP(BD32,'Factory Log'!$J:$Q,8,0),0)</f>
        <v>0</v>
      </c>
      <c r="BH32" s="58">
        <f>SUMIFS('Factory Log'!$D:$D,'Factory Log'!$B:$B,Performance!BD$1,'Factory Log'!$J:$J,Performance!BD32,'Factory Log'!$C:$C,"Running")+SUMIFS('Factory Log'!$D:$D,'Factory Log'!$B:$B,Performance!BD$1,'Factory Log'!$J:$J,Performance!BD32,'Factory Log'!$C:$C,"Make Ready")+SUMIFS('Factory Log'!$D:$D,'Factory Log'!$B:$B,Performance!BD$1,'Factory Log'!$J:$J,Performance!BD32,'Factory Log'!$C:$C,"Roll Change")</f>
        <v>0</v>
      </c>
      <c r="BI32" s="3">
        <f>SUMIFS('Factory Log'!$M:$M,'Factory Log'!$B:$B,Performance!BD$1,'Factory Log'!$J:$J,Performance!BD32,'Factory Log'!$C:$C,"Running")</f>
        <v>0</v>
      </c>
      <c r="BJ32" s="58" cm="1">
        <f t="array" ref="BJ32">IFERROR(INDEX('Factory Log'!$S:$S,MATCH(1,(Performance!BD$1='Factory Log'!$B:$B)*(Performance!BD32='Factory Log'!$A:$A),0)),0)</f>
        <v>0</v>
      </c>
      <c r="BK32" s="3">
        <f>IFERROR(VLOOKUP(BD32,'Factory Log'!$J:$R,9,0),0)</f>
        <v>0</v>
      </c>
      <c r="BL32" s="64">
        <f t="shared" si="10"/>
        <v>0</v>
      </c>
      <c r="BM32" s="58">
        <f t="shared" si="11"/>
        <v>0</v>
      </c>
      <c r="BP32" s="3">
        <f>IFERROR(VLOOKUP(BO32,'Factory Log'!$J:$O,6,0),0)</f>
        <v>0</v>
      </c>
      <c r="BQ32" s="3">
        <f>IFERROR(VLOOKUP(BO32,'Factory Log'!$J:$P,7,0),0)</f>
        <v>0</v>
      </c>
      <c r="BR32" s="3">
        <f>IFERROR(VLOOKUP(BO32,'Factory Log'!$J:$Q,8,0),0)</f>
        <v>0</v>
      </c>
      <c r="BS32" s="58">
        <f>SUMIFS('Factory Log'!$D:$D,'Factory Log'!$B:$B,Performance!BO$1,'Factory Log'!$J:$J,Performance!BO32,'Factory Log'!$C:$C,"Running")+SUMIFS('Factory Log'!$D:$D,'Factory Log'!$B:$B,Performance!BO$1,'Factory Log'!$J:$J,Performance!BO32,'Factory Log'!$C:$C,"Make Ready")+SUMIFS('Factory Log'!$D:$D,'Factory Log'!$B:$B,Performance!BO$1,'Factory Log'!$J:$J,Performance!BO32,'Factory Log'!$C:$C,"Roll Change")</f>
        <v>0</v>
      </c>
      <c r="BT32" s="3">
        <f>SUMIFS('Factory Log'!$M:$M,'Factory Log'!$B:$B,Performance!BO$1,'Factory Log'!$J:$J,Performance!BO32,'Factory Log'!$C:$C,"Running")</f>
        <v>0</v>
      </c>
      <c r="BU32" s="58" cm="1">
        <f t="array" ref="BU32">IFERROR(INDEX('Factory Log'!$S:$S,MATCH(1,(Performance!BO$1='Factory Log'!$B:$B)*(Performance!BO32='Factory Log'!$A:$A),0)),0)</f>
        <v>0</v>
      </c>
      <c r="BV32" s="3">
        <f>IFERROR(VLOOKUP(BO32,'Factory Log'!$J:$R,9,0),0)</f>
        <v>0</v>
      </c>
      <c r="BW32" s="64">
        <f t="shared" si="12"/>
        <v>0</v>
      </c>
      <c r="BX32" s="58">
        <f t="shared" si="13"/>
        <v>0</v>
      </c>
      <c r="CA32" s="3">
        <f>IFERROR(VLOOKUP(BZ32,'Factory Log'!$J:$O,6,0),0)</f>
        <v>0</v>
      </c>
      <c r="CB32" s="3">
        <f>IFERROR(VLOOKUP(BZ32,'Factory Log'!$J:$P,7,0),0)</f>
        <v>0</v>
      </c>
      <c r="CC32" s="3">
        <f>IFERROR(VLOOKUP(BZ32,'Factory Log'!$J:$Q,8,0),0)</f>
        <v>0</v>
      </c>
      <c r="CD32" s="58">
        <f>SUMIFS('Factory Log'!$D:$D,'Factory Log'!$B:$B,Performance!BZ$1,'Factory Log'!$J:$J,Performance!BZ32,'Factory Log'!$C:$C,"Running")+SUMIFS('Factory Log'!$D:$D,'Factory Log'!$B:$B,Performance!BZ$1,'Factory Log'!$J:$J,Performance!BZ32,'Factory Log'!$C:$C,"Make Ready")+SUMIFS('Factory Log'!$D:$D,'Factory Log'!$B:$B,Performance!BZ$1,'Factory Log'!$J:$J,Performance!BZ32,'Factory Log'!$C:$C,"Roll Change")</f>
        <v>0</v>
      </c>
      <c r="CE32" s="3">
        <f>SUMIFS('Factory Log'!$M:$M,'Factory Log'!$B:$B,Performance!BZ$1,'Factory Log'!$J:$J,Performance!BZ32,'Factory Log'!$C:$C,"Running")</f>
        <v>0</v>
      </c>
      <c r="CF32" s="58" cm="1">
        <f t="array" ref="CF32">IFERROR(INDEX('Factory Log'!$S:$S,MATCH(1,(Performance!BZ$1='Factory Log'!$B:$B)*(Performance!BZ32='Factory Log'!$A:$A),0)),0)</f>
        <v>0</v>
      </c>
      <c r="CG32" s="3">
        <f>IFERROR(VLOOKUP(BZ32,'Factory Log'!$J:$R,9,0),0)</f>
        <v>0</v>
      </c>
      <c r="CH32" s="64">
        <f t="shared" si="14"/>
        <v>0</v>
      </c>
      <c r="CI32" s="58">
        <f t="shared" si="15"/>
        <v>0</v>
      </c>
      <c r="CL32" s="3">
        <f>IFERROR(VLOOKUP(CK32,'Factory Log'!$J:$O,6,0),0)</f>
        <v>0</v>
      </c>
      <c r="CM32" s="3">
        <f>IFERROR(VLOOKUP(CK32,'Factory Log'!$J:$P,7,0),0)</f>
        <v>0</v>
      </c>
      <c r="CN32" s="3">
        <f>IFERROR(VLOOKUP(CK32,'Factory Log'!$J:$Q,8,0),0)</f>
        <v>0</v>
      </c>
      <c r="CO32" s="58">
        <f>SUMIFS('Factory Log'!$D:$D,'Factory Log'!$B:$B,Performance!CK$1,'Factory Log'!$J:$J,Performance!CK32,'Factory Log'!$C:$C,"Running")+SUMIFS('Factory Log'!$D:$D,'Factory Log'!$B:$B,Performance!CK$1,'Factory Log'!$J:$J,Performance!CK32,'Factory Log'!$C:$C,"Make Ready")+SUMIFS('Factory Log'!$D:$D,'Factory Log'!$B:$B,Performance!CK$1,'Factory Log'!$J:$J,Performance!CK32,'Factory Log'!$C:$C,"Roll Change")</f>
        <v>0</v>
      </c>
      <c r="CP32" s="3">
        <f>SUMIFS('Factory Log'!$M:$M,'Factory Log'!$B:$B,Performance!CK$1,'Factory Log'!$J:$J,Performance!CK32,'Factory Log'!$C:$C,"Running")</f>
        <v>0</v>
      </c>
      <c r="CQ32" s="58" cm="1">
        <f t="array" ref="CQ32">IFERROR(INDEX('Factory Log'!$S:$S,MATCH(1,(Performance!CK$1='Factory Log'!$B:$B)*(Performance!CK32='Factory Log'!$A:$A),0)),0)</f>
        <v>0</v>
      </c>
      <c r="CR32" s="3">
        <f>IFERROR(VLOOKUP(CK32,'Factory Log'!$J:$R,9,0),0)</f>
        <v>0</v>
      </c>
      <c r="CS32" s="64">
        <f t="shared" si="16"/>
        <v>0</v>
      </c>
      <c r="CT32" s="58">
        <f t="shared" si="17"/>
        <v>0</v>
      </c>
      <c r="CW32" s="3">
        <f>IFERROR(VLOOKUP(CV32,'Factory Log'!$J:$O,6,0),0)</f>
        <v>0</v>
      </c>
      <c r="CX32" s="3">
        <f>IFERROR(VLOOKUP(CV32,'Factory Log'!$J:$P,7,0),0)</f>
        <v>0</v>
      </c>
      <c r="CY32" s="3">
        <f>IFERROR(VLOOKUP(CV32,'Factory Log'!$J:$Q,8,0),0)</f>
        <v>0</v>
      </c>
      <c r="CZ32" s="58">
        <f>SUMIFS('Factory Log'!$D:$D,'Factory Log'!$B:$B,Performance!CV$1,'Factory Log'!$J:$J,Performance!CV32,'Factory Log'!$C:$C,"Running")+SUMIFS('Factory Log'!$D:$D,'Factory Log'!$B:$B,Performance!CV$1,'Factory Log'!$J:$J,Performance!CV32,'Factory Log'!$C:$C,"Make Ready")+SUMIFS('Factory Log'!$D:$D,'Factory Log'!$B:$B,Performance!CV$1,'Factory Log'!$J:$J,Performance!CV32,'Factory Log'!$C:$C,"Roll Change")</f>
        <v>0</v>
      </c>
      <c r="DA32" s="3">
        <f>SUMIFS('Factory Log'!$M:$M,'Factory Log'!$B:$B,Performance!CV$1,'Factory Log'!$J:$J,Performance!CV32,'Factory Log'!$C:$C,"Running")</f>
        <v>0</v>
      </c>
      <c r="DB32" s="58" cm="1">
        <f t="array" ref="DB32">IFERROR(INDEX('Factory Log'!$S:$S,MATCH(1,(Performance!CV$1='Factory Log'!$B:$B)*(Performance!CV32='Factory Log'!$A:$A),0)),0)</f>
        <v>0</v>
      </c>
      <c r="DC32" s="3">
        <f>IFERROR(VLOOKUP(CV32,'Factory Log'!$J:$R,9,0),0)</f>
        <v>0</v>
      </c>
      <c r="DD32" s="64">
        <f t="shared" si="18"/>
        <v>0</v>
      </c>
      <c r="DE32" s="58">
        <f t="shared" si="19"/>
        <v>0</v>
      </c>
      <c r="DH32" s="3">
        <f>IFERROR(VLOOKUP(DG32,'Factory Log'!$J:$O,6,0),0)</f>
        <v>0</v>
      </c>
      <c r="DI32" s="3">
        <f>IFERROR(VLOOKUP(DG32,'Factory Log'!$J:$P,7,0),0)</f>
        <v>0</v>
      </c>
      <c r="DJ32" s="3">
        <f>IFERROR(VLOOKUP(DG32,'Factory Log'!$J:$Q,8,0),0)</f>
        <v>0</v>
      </c>
      <c r="DK32" s="58">
        <f>SUMIFS('Factory Log'!$D:$D,'Factory Log'!$B:$B,Performance!DG$1,'Factory Log'!$J:$J,Performance!DG32,'Factory Log'!$C:$C,"Running")+SUMIFS('Factory Log'!$D:$D,'Factory Log'!$B:$B,Performance!DG$1,'Factory Log'!$J:$J,Performance!DG32,'Factory Log'!$C:$C,"Make Ready")+SUMIFS('Factory Log'!$D:$D,'Factory Log'!$B:$B,Performance!DG$1,'Factory Log'!$J:$J,Performance!DG32,'Factory Log'!$C:$C,"Roll Change")</f>
        <v>0</v>
      </c>
      <c r="DL32" s="3">
        <f>SUMIFS('Factory Log'!$M:$M,'Factory Log'!$B:$B,Performance!DG$1,'Factory Log'!$J:$J,Performance!DG32,'Factory Log'!$C:$C,"Running")</f>
        <v>0</v>
      </c>
      <c r="DM32" s="58" cm="1">
        <f t="array" ref="DM32">IFERROR(INDEX('Factory Log'!$S:$S,MATCH(1,(Performance!DG$1='Factory Log'!$B:$B)*(Performance!DG32='Factory Log'!$A:$A),0)),0)</f>
        <v>0</v>
      </c>
      <c r="DN32" s="3">
        <f>IFERROR(VLOOKUP(DG32,'Factory Log'!$J:$R,9,0),0)</f>
        <v>0</v>
      </c>
      <c r="DO32" s="64">
        <f t="shared" si="20"/>
        <v>0</v>
      </c>
      <c r="DP32" s="58">
        <f t="shared" si="21"/>
        <v>0</v>
      </c>
      <c r="DS32" s="3">
        <f>IFERROR(VLOOKUP(DR32,'Factory Log'!$J:$O,6,0),0)</f>
        <v>0</v>
      </c>
      <c r="DT32" s="3">
        <f>IFERROR(VLOOKUP(DR32,'Factory Log'!$J:$P,7,0),0)</f>
        <v>0</v>
      </c>
      <c r="DU32" s="3">
        <f>IFERROR(VLOOKUP(DR32,'Factory Log'!$J:$Q,8,0),0)</f>
        <v>0</v>
      </c>
      <c r="DV32" s="58">
        <f>SUMIFS('Factory Log'!$D:$D,'Factory Log'!$B:$B,Performance!DR$1,'Factory Log'!$J:$J,Performance!DR32,'Factory Log'!$C:$C,"Running")+SUMIFS('Factory Log'!$D:$D,'Factory Log'!$B:$B,Performance!DR$1,'Factory Log'!$J:$J,Performance!DR32,'Factory Log'!$C:$C,"Make Ready")+SUMIFS('Factory Log'!$D:$D,'Factory Log'!$B:$B,Performance!DR$1,'Factory Log'!$J:$J,Performance!DR32,'Factory Log'!$C:$C,"Roll Change")</f>
        <v>0</v>
      </c>
      <c r="DW32" s="3">
        <f>SUMIFS('Factory Log'!$M:$M,'Factory Log'!$B:$B,Performance!DR$1,'Factory Log'!$J:$J,Performance!DR32,'Factory Log'!$C:$C,"Running")</f>
        <v>0</v>
      </c>
      <c r="DX32" s="58" cm="1">
        <f t="array" ref="DX32">IFERROR(INDEX('Factory Log'!$S:$S,MATCH(1,(Performance!DR$1='Factory Log'!$B:$B)*(Performance!DR32='Factory Log'!$A:$A),0)),0)</f>
        <v>0</v>
      </c>
      <c r="DY32" s="3">
        <f>IFERROR(VLOOKUP(DR32,'Factory Log'!$J:$R,9,0),0)</f>
        <v>0</v>
      </c>
      <c r="DZ32" s="64">
        <f t="shared" si="22"/>
        <v>0</v>
      </c>
      <c r="EA32" s="58">
        <f t="shared" si="23"/>
        <v>0</v>
      </c>
      <c r="ED32" s="3">
        <f>IFERROR(VLOOKUP(EC32,'Factory Log'!$J:$O,6,0),0)</f>
        <v>0</v>
      </c>
      <c r="EE32" s="3">
        <f>IFERROR(VLOOKUP(EC32,'Factory Log'!$J:$P,7,0),0)</f>
        <v>0</v>
      </c>
      <c r="EF32" s="3">
        <f>IFERROR(VLOOKUP(EC32,'Factory Log'!$J:$Q,8,0),0)</f>
        <v>0</v>
      </c>
      <c r="EG32" s="58">
        <f>SUMIFS('Factory Log'!$D:$D,'Factory Log'!$B:$B,Performance!EC$1,'Factory Log'!$J:$J,Performance!EC32,'Factory Log'!$C:$C,"Running")+SUMIFS('Factory Log'!$D:$D,'Factory Log'!$B:$B,Performance!EC$1,'Factory Log'!$J:$J,Performance!EC32,'Factory Log'!$C:$C,"Make Ready")+SUMIFS('Factory Log'!$D:$D,'Factory Log'!$B:$B,Performance!EC$1,'Factory Log'!$J:$J,Performance!EC32,'Factory Log'!$C:$C,"Roll Change")</f>
        <v>0</v>
      </c>
      <c r="EH32" s="3">
        <f>SUMIFS('Factory Log'!$M:$M,'Factory Log'!$B:$B,Performance!EC$1,'Factory Log'!$J:$J,Performance!EC32,'Factory Log'!$C:$C,"Running")</f>
        <v>0</v>
      </c>
      <c r="EI32" s="58" cm="1">
        <f t="array" ref="EI32">IFERROR(INDEX('Factory Log'!$S:$S,MATCH(1,(Performance!EC$1='Factory Log'!$B:$B)*(Performance!EC32='Factory Log'!$A:$A),0)),0)</f>
        <v>0</v>
      </c>
      <c r="EJ32" s="3">
        <f>IFERROR(VLOOKUP(EC32,'Factory Log'!$J:$R,9,0),0)</f>
        <v>0</v>
      </c>
      <c r="EK32" s="64">
        <f t="shared" si="24"/>
        <v>0</v>
      </c>
      <c r="EL32" s="58">
        <f t="shared" si="25"/>
        <v>0</v>
      </c>
      <c r="EO32" s="3">
        <f>IFERROR(VLOOKUP(EN32,'Factory Log'!$J:$O,6,0),0)</f>
        <v>0</v>
      </c>
      <c r="EP32" s="3">
        <f>IFERROR(VLOOKUP(EN32,'Factory Log'!$J:$P,7,0),0)</f>
        <v>0</v>
      </c>
      <c r="EQ32" s="3">
        <f>IFERROR(VLOOKUP(EN32,'Factory Log'!$J:$Q,8,0),0)</f>
        <v>0</v>
      </c>
      <c r="ER32" s="58">
        <f>SUMIFS('Factory Log'!$D:$D,'Factory Log'!$B:$B,Performance!EN$1,'Factory Log'!$J:$J,Performance!EN32,'Factory Log'!$C:$C,"Running")+SUMIFS('Factory Log'!$D:$D,'Factory Log'!$B:$B,Performance!EN$1,'Factory Log'!$J:$J,Performance!EN32,'Factory Log'!$C:$C,"Make Ready")+SUMIFS('Factory Log'!$D:$D,'Factory Log'!$B:$B,Performance!EN$1,'Factory Log'!$J:$J,Performance!EN32,'Factory Log'!$C:$C,"Roll Change")</f>
        <v>0</v>
      </c>
      <c r="ES32" s="3">
        <f>SUMIFS('Factory Log'!$M:$M,'Factory Log'!$B:$B,Performance!EN$1,'Factory Log'!$J:$J,Performance!EN32,'Factory Log'!$C:$C,"Running")</f>
        <v>0</v>
      </c>
      <c r="ET32" s="58" cm="1">
        <f t="array" ref="ET32">IFERROR(INDEX('Factory Log'!$S:$S,MATCH(1,(Performance!EN$1='Factory Log'!$B:$B)*(Performance!EN32='Factory Log'!$A:$A),0)),0)</f>
        <v>0</v>
      </c>
      <c r="EU32" s="3">
        <f>IFERROR(VLOOKUP(EN32,'Factory Log'!$J:$R,9,0),0)</f>
        <v>0</v>
      </c>
      <c r="EV32" s="64">
        <f t="shared" si="26"/>
        <v>0</v>
      </c>
      <c r="EW32" s="58">
        <f t="shared" si="27"/>
        <v>0</v>
      </c>
      <c r="EZ32" s="3">
        <f>IFERROR(VLOOKUP(EY32,'Factory Log'!$J:$O,6,0),0)</f>
        <v>0</v>
      </c>
      <c r="FA32" s="3">
        <f>IFERROR(VLOOKUP(EY32,'Factory Log'!$J:$P,7,0),0)</f>
        <v>0</v>
      </c>
      <c r="FB32" s="3">
        <f>IFERROR(VLOOKUP(EY32,'Factory Log'!$J:$Q,8,0),0)</f>
        <v>0</v>
      </c>
      <c r="FC32" s="58">
        <f>SUMIFS('Factory Log'!$D:$D,'Factory Log'!$B:$B,Performance!EY$1,'Factory Log'!$J:$J,Performance!EY32,'Factory Log'!$C:$C,"Running")+SUMIFS('Factory Log'!$D:$D,'Factory Log'!$B:$B,Performance!EY$1,'Factory Log'!$J:$J,Performance!EY32,'Factory Log'!$C:$C,"Make Ready")+SUMIFS('Factory Log'!$D:$D,'Factory Log'!$B:$B,Performance!EY$1,'Factory Log'!$J:$J,Performance!EY32,'Factory Log'!$C:$C,"Roll Change")</f>
        <v>0</v>
      </c>
      <c r="FD32" s="3">
        <f>SUMIFS('Factory Log'!$M:$M,'Factory Log'!$B:$B,Performance!EY$1,'Factory Log'!$J:$J,Performance!EY32,'Factory Log'!$C:$C,"Running")</f>
        <v>0</v>
      </c>
      <c r="FE32" s="58" cm="1">
        <f t="array" ref="FE32">IFERROR(INDEX('Factory Log'!$S:$S,MATCH(1,(Performance!EY$1='Factory Log'!$B:$B)*(Performance!EY32='Factory Log'!$A:$A),0)),0)</f>
        <v>0</v>
      </c>
      <c r="FF32" s="3">
        <f>IFERROR(VLOOKUP(EY32,'Factory Log'!$J:$R,9,0),0)</f>
        <v>0</v>
      </c>
      <c r="FG32" s="64">
        <f t="shared" si="28"/>
        <v>0</v>
      </c>
      <c r="FH32" s="58">
        <f t="shared" si="29"/>
        <v>0</v>
      </c>
    </row>
    <row r="33" spans="2:164" ht="16" customHeight="1" x14ac:dyDescent="0.2">
      <c r="B33" s="3">
        <f>IFERROR(VLOOKUP(A33,'Factory Log'!$J:$O,6,0),0)</f>
        <v>0</v>
      </c>
      <c r="C33" s="3">
        <f>IFERROR(VLOOKUP(A33,'Factory Log'!$J:$P,7,0),0)</f>
        <v>0</v>
      </c>
      <c r="D33" s="3">
        <f>IFERROR(VLOOKUP(A33,'Factory Log'!$J:$Q,8,0),0)</f>
        <v>0</v>
      </c>
      <c r="E33" s="58">
        <f>SUMIFS('Factory Log'!$D:$D,'Factory Log'!$B:$B,Performance!A$1,'Factory Log'!$J:$J,Performance!A33,'Factory Log'!$C:$C,"Running")+SUMIFS('Factory Log'!$D:$D,'Factory Log'!$B:$B,Performance!A$1,'Factory Log'!$J:$J,Performance!A33,'Factory Log'!$C:$C,"Make Ready")+SUMIFS('Factory Log'!$D:$D,'Factory Log'!$B:$B,Performance!A$1,'Factory Log'!$J:$J,Performance!A33,'Factory Log'!$C:$C,"Roll Change")</f>
        <v>0</v>
      </c>
      <c r="F33" s="3">
        <f>SUMIFS('Factory Log'!$M:$M,'Factory Log'!$B:$B,Performance!A$1,'Factory Log'!$J:$J,Performance!A33,'Factory Log'!$C:$C,"Running")</f>
        <v>0</v>
      </c>
      <c r="G33" s="58" cm="1">
        <f t="array" ref="G33">IFERROR(INDEX('Factory Log'!$S:$S,MATCH(1,(Performance!A$1='Factory Log'!$B:$B)*(Performance!A33='Factory Log'!$A:$A),0)),0)</f>
        <v>0</v>
      </c>
      <c r="H33" s="3">
        <f>IFERROR(VLOOKUP(A33,'Factory Log'!$J:$R,9,0),0)</f>
        <v>0</v>
      </c>
      <c r="I33" s="64">
        <f t="shared" si="1"/>
        <v>0</v>
      </c>
      <c r="J33" s="58">
        <f t="shared" si="30"/>
        <v>0</v>
      </c>
      <c r="M33" s="3">
        <f>IFERROR(VLOOKUP(L33,'Factory Log'!$J:$O,6,0),0)</f>
        <v>0</v>
      </c>
      <c r="N33" s="3">
        <f>IFERROR(VLOOKUP(L33,'Factory Log'!$J:$P,7,0),0)</f>
        <v>0</v>
      </c>
      <c r="O33" s="3">
        <f>IFERROR(VLOOKUP(L33,'Factory Log'!$J:$Q,8,0),0)</f>
        <v>0</v>
      </c>
      <c r="P33" s="58">
        <f>SUMIFS('Factory Log'!$D:$D,'Factory Log'!$B:$B,Performance!L$1,'Factory Log'!$J:$J,Performance!L33,'Factory Log'!$C:$C,"Running")+SUMIFS('Factory Log'!$D:$D,'Factory Log'!$B:$B,Performance!L$1,'Factory Log'!$J:$J,Performance!L33,'Factory Log'!$C:$C,"Make Ready")+SUMIFS('Factory Log'!$D:$D,'Factory Log'!$B:$B,Performance!L$1,'Factory Log'!$J:$J,Performance!L33,'Factory Log'!$C:$C,"Roll Change")</f>
        <v>0</v>
      </c>
      <c r="Q33" s="3">
        <f>SUMIFS('Factory Log'!$M:$M,'Factory Log'!$B:$B,Performance!L$1,'Factory Log'!$J:$J,Performance!L33,'Factory Log'!$C:$C,"Running")</f>
        <v>0</v>
      </c>
      <c r="R33" s="58" cm="1">
        <f t="array" ref="R33">IFERROR(INDEX('Factory Log'!$S:$S,MATCH(1,(Performance!L$1='Factory Log'!$B:$B)*(Performance!L33='Factory Log'!$A:$A),0)),0)</f>
        <v>0</v>
      </c>
      <c r="S33" s="3">
        <f>IFERROR(VLOOKUP(L33,'Factory Log'!$J:$R,9,0),0)</f>
        <v>0</v>
      </c>
      <c r="T33" s="64">
        <f t="shared" si="2"/>
        <v>0</v>
      </c>
      <c r="U33" s="58">
        <f t="shared" si="31"/>
        <v>0</v>
      </c>
      <c r="X33" s="3">
        <f>IFERROR(VLOOKUP(W33,'Factory Log'!$J:$O,6,0),0)</f>
        <v>0</v>
      </c>
      <c r="Y33" s="3">
        <f>IFERROR(VLOOKUP(W33,'Factory Log'!$J:$P,7,0),0)</f>
        <v>0</v>
      </c>
      <c r="Z33" s="3">
        <f>IFERROR(VLOOKUP(W33,'Factory Log'!$J:$Q,8,0),0)</f>
        <v>0</v>
      </c>
      <c r="AA33" s="58">
        <f>SUMIFS('Factory Log'!$D:$D,'Factory Log'!$B:$B,Performance!W$1,'Factory Log'!$J:$J,Performance!W33,'Factory Log'!$C:$C,"Running")+SUMIFS('Factory Log'!$D:$D,'Factory Log'!$B:$B,Performance!W$1,'Factory Log'!$J:$J,Performance!W33,'Factory Log'!$C:$C,"Make Ready")+SUMIFS('Factory Log'!$D:$D,'Factory Log'!$B:$B,Performance!W$1,'Factory Log'!$J:$J,Performance!W33,'Factory Log'!$C:$C,"Roll Change")</f>
        <v>0</v>
      </c>
      <c r="AB33" s="3">
        <f>SUMIFS('Factory Log'!$M:$M,'Factory Log'!$B:$B,Performance!W$1,'Factory Log'!$J:$J,Performance!W33,'Factory Log'!$C:$C,"Running")</f>
        <v>0</v>
      </c>
      <c r="AC33" s="58" cm="1">
        <f t="array" ref="AC33">IFERROR(INDEX('Factory Log'!$S:$S,MATCH(1,(Performance!W$1='Factory Log'!$B:$B)*(Performance!W33='Factory Log'!$A:$A),0)),0)</f>
        <v>0</v>
      </c>
      <c r="AD33" s="3">
        <f>IFERROR(VLOOKUP(W33,'Factory Log'!$J:$R,9,0),0)</f>
        <v>0</v>
      </c>
      <c r="AE33" s="64">
        <f t="shared" si="4"/>
        <v>0</v>
      </c>
      <c r="AF33" s="58">
        <f t="shared" si="33"/>
        <v>0</v>
      </c>
      <c r="AI33" s="3">
        <f>IFERROR(VLOOKUP(AH33,'Factory Log'!$J:$O,6,0),0)</f>
        <v>0</v>
      </c>
      <c r="AJ33" s="3">
        <f>IFERROR(VLOOKUP(AH33,'Factory Log'!$J:$P,7,0),0)</f>
        <v>0</v>
      </c>
      <c r="AK33" s="3">
        <f>IFERROR(VLOOKUP(AH33,'Factory Log'!$J:$Q,8,0),0)</f>
        <v>0</v>
      </c>
      <c r="AL33" s="58">
        <f>SUMIFS('Factory Log'!$D:$D,'Factory Log'!$B:$B,Performance!AH$1,'Factory Log'!$J:$J,Performance!AH33,'Factory Log'!$C:$C,"Running")+SUMIFS('Factory Log'!$D:$D,'Factory Log'!$B:$B,Performance!AH$1,'Factory Log'!$J:$J,Performance!AH33,'Factory Log'!$C:$C,"Make Ready")+SUMIFS('Factory Log'!$D:$D,'Factory Log'!$B:$B,Performance!AH$1,'Factory Log'!$J:$J,Performance!AH33,'Factory Log'!$C:$C,"Roll Change")</f>
        <v>0</v>
      </c>
      <c r="AM33" s="3">
        <f>SUMIFS('Factory Log'!$M:$M,'Factory Log'!$B:$B,Performance!AH$1,'Factory Log'!$J:$J,Performance!AH33,'Factory Log'!$C:$C,"Running")</f>
        <v>0</v>
      </c>
      <c r="AN33" s="58" cm="1">
        <f t="array" ref="AN33">IFERROR(INDEX('Factory Log'!$S:$S,MATCH(1,(Performance!AH$1='Factory Log'!$B:$B)*(Performance!AH33='Factory Log'!$A:$A),0)),0)</f>
        <v>0</v>
      </c>
      <c r="AO33" s="3">
        <f>IFERROR(VLOOKUP(AH33,'Factory Log'!$J:$R,9,0),0)</f>
        <v>0</v>
      </c>
      <c r="AP33" s="64">
        <f t="shared" si="6"/>
        <v>0</v>
      </c>
      <c r="AQ33" s="58">
        <f t="shared" si="7"/>
        <v>0</v>
      </c>
      <c r="AT33" s="3">
        <f>IFERROR(VLOOKUP(AS33,'Factory Log'!$J:$O,6,0),0)</f>
        <v>0</v>
      </c>
      <c r="AU33" s="3">
        <f>IFERROR(VLOOKUP(AS33,'Factory Log'!$J:$P,7,0),0)</f>
        <v>0</v>
      </c>
      <c r="AV33" s="3">
        <f>IFERROR(VLOOKUP(AS33,'Factory Log'!$J:$Q,8,0),0)</f>
        <v>0</v>
      </c>
      <c r="AW33" s="58">
        <f>SUMIFS('Factory Log'!$D:$D,'Factory Log'!$B:$B,Performance!AS$1,'Factory Log'!$J:$J,Performance!AS33,'Factory Log'!$C:$C,"Running")+SUMIFS('Factory Log'!$D:$D,'Factory Log'!$B:$B,Performance!AS$1,'Factory Log'!$J:$J,Performance!AS33,'Factory Log'!$C:$C,"Make Ready")+SUMIFS('Factory Log'!$D:$D,'Factory Log'!$B:$B,Performance!AS$1,'Factory Log'!$J:$J,Performance!AS33,'Factory Log'!$C:$C,"Roll Change")</f>
        <v>0</v>
      </c>
      <c r="AX33" s="3">
        <f>SUMIFS('Factory Log'!$M:$M,'Factory Log'!$B:$B,Performance!AS$1,'Factory Log'!$J:$J,Performance!AS33,'Factory Log'!$C:$C,"Running")</f>
        <v>0</v>
      </c>
      <c r="AY33" s="58" cm="1">
        <f t="array" ref="AY33">IFERROR(INDEX('Factory Log'!$S:$S,MATCH(1,(Performance!AS$1='Factory Log'!$B:$B)*(Performance!AS33='Factory Log'!$A:$A),0)),0)</f>
        <v>0</v>
      </c>
      <c r="AZ33" s="3">
        <f>IFERROR(VLOOKUP(AS33,'Factory Log'!$J:$R,9,0),0)</f>
        <v>0</v>
      </c>
      <c r="BA33" s="64">
        <f t="shared" si="8"/>
        <v>0</v>
      </c>
      <c r="BB33" s="58">
        <f t="shared" si="9"/>
        <v>0</v>
      </c>
      <c r="BE33" s="3">
        <f>IFERROR(VLOOKUP(BD33,'Factory Log'!$J:$O,6,0),0)</f>
        <v>0</v>
      </c>
      <c r="BF33" s="3">
        <f>IFERROR(VLOOKUP(BD33,'Factory Log'!$J:$P,7,0),0)</f>
        <v>0</v>
      </c>
      <c r="BG33" s="3">
        <f>IFERROR(VLOOKUP(BD33,'Factory Log'!$J:$Q,8,0),0)</f>
        <v>0</v>
      </c>
      <c r="BH33" s="58">
        <f>SUMIFS('Factory Log'!$D:$D,'Factory Log'!$B:$B,Performance!BD$1,'Factory Log'!$J:$J,Performance!BD33,'Factory Log'!$C:$C,"Running")+SUMIFS('Factory Log'!$D:$D,'Factory Log'!$B:$B,Performance!BD$1,'Factory Log'!$J:$J,Performance!BD33,'Factory Log'!$C:$C,"Make Ready")+SUMIFS('Factory Log'!$D:$D,'Factory Log'!$B:$B,Performance!BD$1,'Factory Log'!$J:$J,Performance!BD33,'Factory Log'!$C:$C,"Roll Change")</f>
        <v>0</v>
      </c>
      <c r="BI33" s="3">
        <f>SUMIFS('Factory Log'!$M:$M,'Factory Log'!$B:$B,Performance!BD$1,'Factory Log'!$J:$J,Performance!BD33,'Factory Log'!$C:$C,"Running")</f>
        <v>0</v>
      </c>
      <c r="BJ33" s="58" cm="1">
        <f t="array" ref="BJ33">IFERROR(INDEX('Factory Log'!$S:$S,MATCH(1,(Performance!BD$1='Factory Log'!$B:$B)*(Performance!BD33='Factory Log'!$A:$A),0)),0)</f>
        <v>0</v>
      </c>
      <c r="BK33" s="3">
        <f>IFERROR(VLOOKUP(BD33,'Factory Log'!$J:$R,9,0),0)</f>
        <v>0</v>
      </c>
      <c r="BL33" s="64">
        <f t="shared" si="10"/>
        <v>0</v>
      </c>
      <c r="BM33" s="58">
        <f t="shared" si="11"/>
        <v>0</v>
      </c>
      <c r="BP33" s="3">
        <f>IFERROR(VLOOKUP(BO33,'Factory Log'!$J:$O,6,0),0)</f>
        <v>0</v>
      </c>
      <c r="BQ33" s="3">
        <f>IFERROR(VLOOKUP(BO33,'Factory Log'!$J:$P,7,0),0)</f>
        <v>0</v>
      </c>
      <c r="BR33" s="3">
        <f>IFERROR(VLOOKUP(BO33,'Factory Log'!$J:$Q,8,0),0)</f>
        <v>0</v>
      </c>
      <c r="BS33" s="58">
        <f>SUMIFS('Factory Log'!$D:$D,'Factory Log'!$B:$B,Performance!BO$1,'Factory Log'!$J:$J,Performance!BO33,'Factory Log'!$C:$C,"Running")+SUMIFS('Factory Log'!$D:$D,'Factory Log'!$B:$B,Performance!BO$1,'Factory Log'!$J:$J,Performance!BO33,'Factory Log'!$C:$C,"Make Ready")+SUMIFS('Factory Log'!$D:$D,'Factory Log'!$B:$B,Performance!BO$1,'Factory Log'!$J:$J,Performance!BO33,'Factory Log'!$C:$C,"Roll Change")</f>
        <v>0</v>
      </c>
      <c r="BT33" s="3">
        <f>SUMIFS('Factory Log'!$M:$M,'Factory Log'!$B:$B,Performance!BO$1,'Factory Log'!$J:$J,Performance!BO33,'Factory Log'!$C:$C,"Running")</f>
        <v>0</v>
      </c>
      <c r="BU33" s="58" cm="1">
        <f t="array" ref="BU33">IFERROR(INDEX('Factory Log'!$S:$S,MATCH(1,(Performance!BO$1='Factory Log'!$B:$B)*(Performance!BO33='Factory Log'!$A:$A),0)),0)</f>
        <v>0</v>
      </c>
      <c r="BV33" s="3">
        <f>IFERROR(VLOOKUP(BO33,'Factory Log'!$J:$R,9,0),0)</f>
        <v>0</v>
      </c>
      <c r="BW33" s="64">
        <f t="shared" si="12"/>
        <v>0</v>
      </c>
      <c r="BX33" s="58">
        <f t="shared" si="13"/>
        <v>0</v>
      </c>
      <c r="CA33" s="3">
        <f>IFERROR(VLOOKUP(BZ33,'Factory Log'!$J:$O,6,0),0)</f>
        <v>0</v>
      </c>
      <c r="CB33" s="3">
        <f>IFERROR(VLOOKUP(BZ33,'Factory Log'!$J:$P,7,0),0)</f>
        <v>0</v>
      </c>
      <c r="CC33" s="3">
        <f>IFERROR(VLOOKUP(BZ33,'Factory Log'!$J:$Q,8,0),0)</f>
        <v>0</v>
      </c>
      <c r="CD33" s="58">
        <f>SUMIFS('Factory Log'!$D:$D,'Factory Log'!$B:$B,Performance!BZ$1,'Factory Log'!$J:$J,Performance!BZ33,'Factory Log'!$C:$C,"Running")+SUMIFS('Factory Log'!$D:$D,'Factory Log'!$B:$B,Performance!BZ$1,'Factory Log'!$J:$J,Performance!BZ33,'Factory Log'!$C:$C,"Make Ready")+SUMIFS('Factory Log'!$D:$D,'Factory Log'!$B:$B,Performance!BZ$1,'Factory Log'!$J:$J,Performance!BZ33,'Factory Log'!$C:$C,"Roll Change")</f>
        <v>0</v>
      </c>
      <c r="CE33" s="3">
        <f>SUMIFS('Factory Log'!$M:$M,'Factory Log'!$B:$B,Performance!BZ$1,'Factory Log'!$J:$J,Performance!BZ33,'Factory Log'!$C:$C,"Running")</f>
        <v>0</v>
      </c>
      <c r="CF33" s="58" cm="1">
        <f t="array" ref="CF33">IFERROR(INDEX('Factory Log'!$S:$S,MATCH(1,(Performance!BZ$1='Factory Log'!$B:$B)*(Performance!BZ33='Factory Log'!$A:$A),0)),0)</f>
        <v>0</v>
      </c>
      <c r="CG33" s="3">
        <f>IFERROR(VLOOKUP(BZ33,'Factory Log'!$J:$R,9,0),0)</f>
        <v>0</v>
      </c>
      <c r="CH33" s="64">
        <f t="shared" si="14"/>
        <v>0</v>
      </c>
      <c r="CI33" s="58">
        <f t="shared" si="15"/>
        <v>0</v>
      </c>
      <c r="CL33" s="3">
        <f>IFERROR(VLOOKUP(CK33,'Factory Log'!$J:$O,6,0),0)</f>
        <v>0</v>
      </c>
      <c r="CM33" s="3">
        <f>IFERROR(VLOOKUP(CK33,'Factory Log'!$J:$P,7,0),0)</f>
        <v>0</v>
      </c>
      <c r="CN33" s="3">
        <f>IFERROR(VLOOKUP(CK33,'Factory Log'!$J:$Q,8,0),0)</f>
        <v>0</v>
      </c>
      <c r="CO33" s="58">
        <f>SUMIFS('Factory Log'!$D:$D,'Factory Log'!$B:$B,Performance!CK$1,'Factory Log'!$J:$J,Performance!CK33,'Factory Log'!$C:$C,"Running")+SUMIFS('Factory Log'!$D:$D,'Factory Log'!$B:$B,Performance!CK$1,'Factory Log'!$J:$J,Performance!CK33,'Factory Log'!$C:$C,"Make Ready")+SUMIFS('Factory Log'!$D:$D,'Factory Log'!$B:$B,Performance!CK$1,'Factory Log'!$J:$J,Performance!CK33,'Factory Log'!$C:$C,"Roll Change")</f>
        <v>0</v>
      </c>
      <c r="CP33" s="3">
        <f>SUMIFS('Factory Log'!$M:$M,'Factory Log'!$B:$B,Performance!CK$1,'Factory Log'!$J:$J,Performance!CK33,'Factory Log'!$C:$C,"Running")</f>
        <v>0</v>
      </c>
      <c r="CQ33" s="58" cm="1">
        <f t="array" ref="CQ33">IFERROR(INDEX('Factory Log'!$S:$S,MATCH(1,(Performance!CK$1='Factory Log'!$B:$B)*(Performance!CK33='Factory Log'!$A:$A),0)),0)</f>
        <v>0</v>
      </c>
      <c r="CR33" s="3">
        <f>IFERROR(VLOOKUP(CK33,'Factory Log'!$J:$R,9,0),0)</f>
        <v>0</v>
      </c>
      <c r="CS33" s="64">
        <f t="shared" si="16"/>
        <v>0</v>
      </c>
      <c r="CT33" s="58">
        <f t="shared" si="17"/>
        <v>0</v>
      </c>
      <c r="CW33" s="3">
        <f>IFERROR(VLOOKUP(CV33,'Factory Log'!$J:$O,6,0),0)</f>
        <v>0</v>
      </c>
      <c r="CX33" s="3">
        <f>IFERROR(VLOOKUP(CV33,'Factory Log'!$J:$P,7,0),0)</f>
        <v>0</v>
      </c>
      <c r="CY33" s="3">
        <f>IFERROR(VLOOKUP(CV33,'Factory Log'!$J:$Q,8,0),0)</f>
        <v>0</v>
      </c>
      <c r="CZ33" s="58">
        <f>SUMIFS('Factory Log'!$D:$D,'Factory Log'!$B:$B,Performance!CV$1,'Factory Log'!$J:$J,Performance!CV33,'Factory Log'!$C:$C,"Running")+SUMIFS('Factory Log'!$D:$D,'Factory Log'!$B:$B,Performance!CV$1,'Factory Log'!$J:$J,Performance!CV33,'Factory Log'!$C:$C,"Make Ready")+SUMIFS('Factory Log'!$D:$D,'Factory Log'!$B:$B,Performance!CV$1,'Factory Log'!$J:$J,Performance!CV33,'Factory Log'!$C:$C,"Roll Change")</f>
        <v>0</v>
      </c>
      <c r="DA33" s="3">
        <f>SUMIFS('Factory Log'!$M:$M,'Factory Log'!$B:$B,Performance!CV$1,'Factory Log'!$J:$J,Performance!CV33,'Factory Log'!$C:$C,"Running")</f>
        <v>0</v>
      </c>
      <c r="DB33" s="58" cm="1">
        <f t="array" ref="DB33">IFERROR(INDEX('Factory Log'!$S:$S,MATCH(1,(Performance!CV$1='Factory Log'!$B:$B)*(Performance!CV33='Factory Log'!$A:$A),0)),0)</f>
        <v>0</v>
      </c>
      <c r="DC33" s="3">
        <f>IFERROR(VLOOKUP(CV33,'Factory Log'!$J:$R,9,0),0)</f>
        <v>0</v>
      </c>
      <c r="DD33" s="64">
        <f t="shared" si="18"/>
        <v>0</v>
      </c>
      <c r="DE33" s="58">
        <f t="shared" si="19"/>
        <v>0</v>
      </c>
      <c r="DH33" s="3">
        <f>IFERROR(VLOOKUP(DG33,'Factory Log'!$J:$O,6,0),0)</f>
        <v>0</v>
      </c>
      <c r="DI33" s="3">
        <f>IFERROR(VLOOKUP(DG33,'Factory Log'!$J:$P,7,0),0)</f>
        <v>0</v>
      </c>
      <c r="DJ33" s="3">
        <f>IFERROR(VLOOKUP(DG33,'Factory Log'!$J:$Q,8,0),0)</f>
        <v>0</v>
      </c>
      <c r="DK33" s="58">
        <f>SUMIFS('Factory Log'!$D:$D,'Factory Log'!$B:$B,Performance!DG$1,'Factory Log'!$J:$J,Performance!DG33,'Factory Log'!$C:$C,"Running")+SUMIFS('Factory Log'!$D:$D,'Factory Log'!$B:$B,Performance!DG$1,'Factory Log'!$J:$J,Performance!DG33,'Factory Log'!$C:$C,"Make Ready")+SUMIFS('Factory Log'!$D:$D,'Factory Log'!$B:$B,Performance!DG$1,'Factory Log'!$J:$J,Performance!DG33,'Factory Log'!$C:$C,"Roll Change")</f>
        <v>0</v>
      </c>
      <c r="DL33" s="3">
        <f>SUMIFS('Factory Log'!$M:$M,'Factory Log'!$B:$B,Performance!DG$1,'Factory Log'!$J:$J,Performance!DG33,'Factory Log'!$C:$C,"Running")</f>
        <v>0</v>
      </c>
      <c r="DM33" s="58" cm="1">
        <f t="array" ref="DM33">IFERROR(INDEX('Factory Log'!$S:$S,MATCH(1,(Performance!DG$1='Factory Log'!$B:$B)*(Performance!DG33='Factory Log'!$A:$A),0)),0)</f>
        <v>0</v>
      </c>
      <c r="DN33" s="3">
        <f>IFERROR(VLOOKUP(DG33,'Factory Log'!$J:$R,9,0),0)</f>
        <v>0</v>
      </c>
      <c r="DO33" s="64">
        <f t="shared" si="20"/>
        <v>0</v>
      </c>
      <c r="DP33" s="58">
        <f t="shared" si="21"/>
        <v>0</v>
      </c>
      <c r="DS33" s="3">
        <f>IFERROR(VLOOKUP(DR33,'Factory Log'!$J:$O,6,0),0)</f>
        <v>0</v>
      </c>
      <c r="DT33" s="3">
        <f>IFERROR(VLOOKUP(DR33,'Factory Log'!$J:$P,7,0),0)</f>
        <v>0</v>
      </c>
      <c r="DU33" s="3">
        <f>IFERROR(VLOOKUP(DR33,'Factory Log'!$J:$Q,8,0),0)</f>
        <v>0</v>
      </c>
      <c r="DV33" s="58">
        <f>SUMIFS('Factory Log'!$D:$D,'Factory Log'!$B:$B,Performance!DR$1,'Factory Log'!$J:$J,Performance!DR33,'Factory Log'!$C:$C,"Running")+SUMIFS('Factory Log'!$D:$D,'Factory Log'!$B:$B,Performance!DR$1,'Factory Log'!$J:$J,Performance!DR33,'Factory Log'!$C:$C,"Make Ready")+SUMIFS('Factory Log'!$D:$D,'Factory Log'!$B:$B,Performance!DR$1,'Factory Log'!$J:$J,Performance!DR33,'Factory Log'!$C:$C,"Roll Change")</f>
        <v>0</v>
      </c>
      <c r="DW33" s="3">
        <f>SUMIFS('Factory Log'!$M:$M,'Factory Log'!$B:$B,Performance!DR$1,'Factory Log'!$J:$J,Performance!DR33,'Factory Log'!$C:$C,"Running")</f>
        <v>0</v>
      </c>
      <c r="DX33" s="58" cm="1">
        <f t="array" ref="DX33">IFERROR(INDEX('Factory Log'!$S:$S,MATCH(1,(Performance!DR$1='Factory Log'!$B:$B)*(Performance!DR33='Factory Log'!$A:$A),0)),0)</f>
        <v>0</v>
      </c>
      <c r="DY33" s="3">
        <f>IFERROR(VLOOKUP(DR33,'Factory Log'!$J:$R,9,0),0)</f>
        <v>0</v>
      </c>
      <c r="DZ33" s="64">
        <f t="shared" si="22"/>
        <v>0</v>
      </c>
      <c r="EA33" s="58">
        <f t="shared" si="23"/>
        <v>0</v>
      </c>
      <c r="ED33" s="3">
        <f>IFERROR(VLOOKUP(EC33,'Factory Log'!$J:$O,6,0),0)</f>
        <v>0</v>
      </c>
      <c r="EE33" s="3">
        <f>IFERROR(VLOOKUP(EC33,'Factory Log'!$J:$P,7,0),0)</f>
        <v>0</v>
      </c>
      <c r="EF33" s="3">
        <f>IFERROR(VLOOKUP(EC33,'Factory Log'!$J:$Q,8,0),0)</f>
        <v>0</v>
      </c>
      <c r="EG33" s="58">
        <f>SUMIFS('Factory Log'!$D:$D,'Factory Log'!$B:$B,Performance!EC$1,'Factory Log'!$J:$J,Performance!EC33,'Factory Log'!$C:$C,"Running")+SUMIFS('Factory Log'!$D:$D,'Factory Log'!$B:$B,Performance!EC$1,'Factory Log'!$J:$J,Performance!EC33,'Factory Log'!$C:$C,"Make Ready")+SUMIFS('Factory Log'!$D:$D,'Factory Log'!$B:$B,Performance!EC$1,'Factory Log'!$J:$J,Performance!EC33,'Factory Log'!$C:$C,"Roll Change")</f>
        <v>0</v>
      </c>
      <c r="EH33" s="3">
        <f>SUMIFS('Factory Log'!$M:$M,'Factory Log'!$B:$B,Performance!EC$1,'Factory Log'!$J:$J,Performance!EC33,'Factory Log'!$C:$C,"Running")</f>
        <v>0</v>
      </c>
      <c r="EI33" s="58" cm="1">
        <f t="array" ref="EI33">IFERROR(INDEX('Factory Log'!$S:$S,MATCH(1,(Performance!EC$1='Factory Log'!$B:$B)*(Performance!EC33='Factory Log'!$A:$A),0)),0)</f>
        <v>0</v>
      </c>
      <c r="EJ33" s="3">
        <f>IFERROR(VLOOKUP(EC33,'Factory Log'!$J:$R,9,0),0)</f>
        <v>0</v>
      </c>
      <c r="EK33" s="64">
        <f t="shared" si="24"/>
        <v>0</v>
      </c>
      <c r="EL33" s="58">
        <f t="shared" si="25"/>
        <v>0</v>
      </c>
      <c r="EO33" s="3">
        <f>IFERROR(VLOOKUP(EN33,'Factory Log'!$J:$O,6,0),0)</f>
        <v>0</v>
      </c>
      <c r="EP33" s="3">
        <f>IFERROR(VLOOKUP(EN33,'Factory Log'!$J:$P,7,0),0)</f>
        <v>0</v>
      </c>
      <c r="EQ33" s="3">
        <f>IFERROR(VLOOKUP(EN33,'Factory Log'!$J:$Q,8,0),0)</f>
        <v>0</v>
      </c>
      <c r="ER33" s="58">
        <f>SUMIFS('Factory Log'!$D:$D,'Factory Log'!$B:$B,Performance!EN$1,'Factory Log'!$J:$J,Performance!EN33,'Factory Log'!$C:$C,"Running")+SUMIFS('Factory Log'!$D:$D,'Factory Log'!$B:$B,Performance!EN$1,'Factory Log'!$J:$J,Performance!EN33,'Factory Log'!$C:$C,"Make Ready")+SUMIFS('Factory Log'!$D:$D,'Factory Log'!$B:$B,Performance!EN$1,'Factory Log'!$J:$J,Performance!EN33,'Factory Log'!$C:$C,"Roll Change")</f>
        <v>0</v>
      </c>
      <c r="ES33" s="3">
        <f>SUMIFS('Factory Log'!$M:$M,'Factory Log'!$B:$B,Performance!EN$1,'Factory Log'!$J:$J,Performance!EN33,'Factory Log'!$C:$C,"Running")</f>
        <v>0</v>
      </c>
      <c r="ET33" s="58" cm="1">
        <f t="array" ref="ET33">IFERROR(INDEX('Factory Log'!$S:$S,MATCH(1,(Performance!EN$1='Factory Log'!$B:$B)*(Performance!EN33='Factory Log'!$A:$A),0)),0)</f>
        <v>0</v>
      </c>
      <c r="EU33" s="3">
        <f>IFERROR(VLOOKUP(EN33,'Factory Log'!$J:$R,9,0),0)</f>
        <v>0</v>
      </c>
      <c r="EV33" s="64">
        <f t="shared" si="26"/>
        <v>0</v>
      </c>
      <c r="EW33" s="58">
        <f t="shared" si="27"/>
        <v>0</v>
      </c>
      <c r="EZ33" s="3">
        <f>IFERROR(VLOOKUP(EY33,'Factory Log'!$J:$O,6,0),0)</f>
        <v>0</v>
      </c>
      <c r="FA33" s="3">
        <f>IFERROR(VLOOKUP(EY33,'Factory Log'!$J:$P,7,0),0)</f>
        <v>0</v>
      </c>
      <c r="FB33" s="3">
        <f>IFERROR(VLOOKUP(EY33,'Factory Log'!$J:$Q,8,0),0)</f>
        <v>0</v>
      </c>
      <c r="FC33" s="58">
        <f>SUMIFS('Factory Log'!$D:$D,'Factory Log'!$B:$B,Performance!EY$1,'Factory Log'!$J:$J,Performance!EY33,'Factory Log'!$C:$C,"Running")+SUMIFS('Factory Log'!$D:$D,'Factory Log'!$B:$B,Performance!EY$1,'Factory Log'!$J:$J,Performance!EY33,'Factory Log'!$C:$C,"Make Ready")+SUMIFS('Factory Log'!$D:$D,'Factory Log'!$B:$B,Performance!EY$1,'Factory Log'!$J:$J,Performance!EY33,'Factory Log'!$C:$C,"Roll Change")</f>
        <v>0</v>
      </c>
      <c r="FD33" s="3">
        <f>SUMIFS('Factory Log'!$M:$M,'Factory Log'!$B:$B,Performance!EY$1,'Factory Log'!$J:$J,Performance!EY33,'Factory Log'!$C:$C,"Running")</f>
        <v>0</v>
      </c>
      <c r="FE33" s="58" cm="1">
        <f t="array" ref="FE33">IFERROR(INDEX('Factory Log'!$S:$S,MATCH(1,(Performance!EY$1='Factory Log'!$B:$B)*(Performance!EY33='Factory Log'!$A:$A),0)),0)</f>
        <v>0</v>
      </c>
      <c r="FF33" s="3">
        <f>IFERROR(VLOOKUP(EY33,'Factory Log'!$J:$R,9,0),0)</f>
        <v>0</v>
      </c>
      <c r="FG33" s="64">
        <f t="shared" si="28"/>
        <v>0</v>
      </c>
      <c r="FH33" s="58">
        <f t="shared" si="29"/>
        <v>0</v>
      </c>
    </row>
    <row r="34" spans="2:164" ht="16" customHeight="1" x14ac:dyDescent="0.2">
      <c r="B34" s="3">
        <f>IFERROR(VLOOKUP(A34,'Factory Log'!$J:$O,6,0),0)</f>
        <v>0</v>
      </c>
      <c r="C34" s="3">
        <f>IFERROR(VLOOKUP(A34,'Factory Log'!$J:$P,7,0),0)</f>
        <v>0</v>
      </c>
      <c r="D34" s="3">
        <f>IFERROR(VLOOKUP(A34,'Factory Log'!$J:$Q,8,0),0)</f>
        <v>0</v>
      </c>
      <c r="E34" s="58">
        <f>SUMIFS('Factory Log'!$D:$D,'Factory Log'!$B:$B,Performance!A$1,'Factory Log'!$J:$J,Performance!A34,'Factory Log'!$C:$C,"Running")+SUMIFS('Factory Log'!$D:$D,'Factory Log'!$B:$B,Performance!A$1,'Factory Log'!$J:$J,Performance!A34,'Factory Log'!$C:$C,"Make Ready")+SUMIFS('Factory Log'!$D:$D,'Factory Log'!$B:$B,Performance!A$1,'Factory Log'!$J:$J,Performance!A34,'Factory Log'!$C:$C,"Roll Change")</f>
        <v>0</v>
      </c>
      <c r="F34" s="3">
        <f>SUMIFS('Factory Log'!$M:$M,'Factory Log'!$B:$B,Performance!A$1,'Factory Log'!$J:$J,Performance!A34,'Factory Log'!$C:$C,"Running")</f>
        <v>0</v>
      </c>
      <c r="G34" s="58" cm="1">
        <f t="array" ref="G34">IFERROR(INDEX('Factory Log'!$S:$S,MATCH(1,(Performance!A$1='Factory Log'!$B:$B)*(Performance!A34='Factory Log'!$A:$A),0)),0)</f>
        <v>0</v>
      </c>
      <c r="H34" s="3">
        <f>IFERROR(VLOOKUP(A34,'Factory Log'!$J:$R,9,0),0)</f>
        <v>0</v>
      </c>
      <c r="I34" s="64">
        <f t="shared" si="1"/>
        <v>0</v>
      </c>
      <c r="J34" s="58">
        <f t="shared" si="30"/>
        <v>0</v>
      </c>
      <c r="M34" s="3">
        <f>IFERROR(VLOOKUP(L34,'Factory Log'!$J:$O,6,0),0)</f>
        <v>0</v>
      </c>
      <c r="N34" s="3">
        <f>IFERROR(VLOOKUP(L34,'Factory Log'!$J:$P,7,0),0)</f>
        <v>0</v>
      </c>
      <c r="O34" s="3">
        <f>IFERROR(VLOOKUP(L34,'Factory Log'!$J:$Q,8,0),0)</f>
        <v>0</v>
      </c>
      <c r="P34" s="58">
        <f>SUMIFS('Factory Log'!$D:$D,'Factory Log'!$B:$B,Performance!L$1,'Factory Log'!$J:$J,Performance!L34,'Factory Log'!$C:$C,"Running")+SUMIFS('Factory Log'!$D:$D,'Factory Log'!$B:$B,Performance!L$1,'Factory Log'!$J:$J,Performance!L34,'Factory Log'!$C:$C,"Make Ready")+SUMIFS('Factory Log'!$D:$D,'Factory Log'!$B:$B,Performance!L$1,'Factory Log'!$J:$J,Performance!L34,'Factory Log'!$C:$C,"Roll Change")</f>
        <v>0</v>
      </c>
      <c r="Q34" s="3">
        <f>SUMIFS('Factory Log'!$M:$M,'Factory Log'!$B:$B,Performance!L$1,'Factory Log'!$J:$J,Performance!L34,'Factory Log'!$C:$C,"Running")</f>
        <v>0</v>
      </c>
      <c r="R34" s="58" cm="1">
        <f t="array" ref="R34">IFERROR(INDEX('Factory Log'!$S:$S,MATCH(1,(Performance!L$1='Factory Log'!$B:$B)*(Performance!L34='Factory Log'!$A:$A),0)),0)</f>
        <v>0</v>
      </c>
      <c r="S34" s="3">
        <f>IFERROR(VLOOKUP(L34,'Factory Log'!$J:$R,9,0),0)</f>
        <v>0</v>
      </c>
      <c r="T34" s="64">
        <f t="shared" si="2"/>
        <v>0</v>
      </c>
      <c r="U34" s="58">
        <f t="shared" si="31"/>
        <v>0</v>
      </c>
      <c r="X34" s="3">
        <f>IFERROR(VLOOKUP(W34,'Factory Log'!$J:$O,6,0),0)</f>
        <v>0</v>
      </c>
      <c r="Y34" s="3">
        <f>IFERROR(VLOOKUP(W34,'Factory Log'!$J:$P,7,0),0)</f>
        <v>0</v>
      </c>
      <c r="Z34" s="3">
        <f>IFERROR(VLOOKUP(W34,'Factory Log'!$J:$Q,8,0),0)</f>
        <v>0</v>
      </c>
      <c r="AA34" s="58">
        <f>SUMIFS('Factory Log'!$D:$D,'Factory Log'!$B:$B,Performance!W$1,'Factory Log'!$J:$J,Performance!W34,'Factory Log'!$C:$C,"Running")+SUMIFS('Factory Log'!$D:$D,'Factory Log'!$B:$B,Performance!W$1,'Factory Log'!$J:$J,Performance!W34,'Factory Log'!$C:$C,"Make Ready")+SUMIFS('Factory Log'!$D:$D,'Factory Log'!$B:$B,Performance!W$1,'Factory Log'!$J:$J,Performance!W34,'Factory Log'!$C:$C,"Roll Change")</f>
        <v>0</v>
      </c>
      <c r="AB34" s="3">
        <f>SUMIFS('Factory Log'!$M:$M,'Factory Log'!$B:$B,Performance!W$1,'Factory Log'!$J:$J,Performance!W34,'Factory Log'!$C:$C,"Running")</f>
        <v>0</v>
      </c>
      <c r="AC34" s="58" cm="1">
        <f t="array" ref="AC34">IFERROR(INDEX('Factory Log'!$S:$S,MATCH(1,(Performance!W$1='Factory Log'!$B:$B)*(Performance!W34='Factory Log'!$A:$A),0)),0)</f>
        <v>0</v>
      </c>
      <c r="AD34" s="3">
        <f>IFERROR(VLOOKUP(W34,'Factory Log'!$J:$R,9,0),0)</f>
        <v>0</v>
      </c>
      <c r="AE34" s="64">
        <f t="shared" si="4"/>
        <v>0</v>
      </c>
      <c r="AF34" s="58">
        <f t="shared" si="33"/>
        <v>0</v>
      </c>
      <c r="AI34" s="3">
        <f>IFERROR(VLOOKUP(AH34,'Factory Log'!$J:$O,6,0),0)</f>
        <v>0</v>
      </c>
      <c r="AJ34" s="3">
        <f>IFERROR(VLOOKUP(AH34,'Factory Log'!$J:$P,7,0),0)</f>
        <v>0</v>
      </c>
      <c r="AK34" s="3">
        <f>IFERROR(VLOOKUP(AH34,'Factory Log'!$J:$Q,8,0),0)</f>
        <v>0</v>
      </c>
      <c r="AL34" s="58">
        <f>SUMIFS('Factory Log'!$D:$D,'Factory Log'!$B:$B,Performance!AH$1,'Factory Log'!$J:$J,Performance!AH34,'Factory Log'!$C:$C,"Running")+SUMIFS('Factory Log'!$D:$D,'Factory Log'!$B:$B,Performance!AH$1,'Factory Log'!$J:$J,Performance!AH34,'Factory Log'!$C:$C,"Make Ready")+SUMIFS('Factory Log'!$D:$D,'Factory Log'!$B:$B,Performance!AH$1,'Factory Log'!$J:$J,Performance!AH34,'Factory Log'!$C:$C,"Roll Change")</f>
        <v>0</v>
      </c>
      <c r="AM34" s="3">
        <f>SUMIFS('Factory Log'!$M:$M,'Factory Log'!$B:$B,Performance!AH$1,'Factory Log'!$J:$J,Performance!AH34,'Factory Log'!$C:$C,"Running")</f>
        <v>0</v>
      </c>
      <c r="AN34" s="58" cm="1">
        <f t="array" ref="AN34">IFERROR(INDEX('Factory Log'!$S:$S,MATCH(1,(Performance!AH$1='Factory Log'!$B:$B)*(Performance!AH34='Factory Log'!$A:$A),0)),0)</f>
        <v>0</v>
      </c>
      <c r="AO34" s="3">
        <f>IFERROR(VLOOKUP(AH34,'Factory Log'!$J:$R,9,0),0)</f>
        <v>0</v>
      </c>
      <c r="AP34" s="64">
        <f t="shared" si="6"/>
        <v>0</v>
      </c>
      <c r="AQ34" s="58">
        <f t="shared" si="7"/>
        <v>0</v>
      </c>
      <c r="AT34" s="3">
        <f>IFERROR(VLOOKUP(AS34,'Factory Log'!$J:$O,6,0),0)</f>
        <v>0</v>
      </c>
      <c r="AU34" s="3">
        <f>IFERROR(VLOOKUP(AS34,'Factory Log'!$J:$P,7,0),0)</f>
        <v>0</v>
      </c>
      <c r="AV34" s="3">
        <f>IFERROR(VLOOKUP(AS34,'Factory Log'!$J:$Q,8,0),0)</f>
        <v>0</v>
      </c>
      <c r="AW34" s="58">
        <f>SUMIFS('Factory Log'!$D:$D,'Factory Log'!$B:$B,Performance!AS$1,'Factory Log'!$J:$J,Performance!AS34,'Factory Log'!$C:$C,"Running")+SUMIFS('Factory Log'!$D:$D,'Factory Log'!$B:$B,Performance!AS$1,'Factory Log'!$J:$J,Performance!AS34,'Factory Log'!$C:$C,"Make Ready")+SUMIFS('Factory Log'!$D:$D,'Factory Log'!$B:$B,Performance!AS$1,'Factory Log'!$J:$J,Performance!AS34,'Factory Log'!$C:$C,"Roll Change")</f>
        <v>0</v>
      </c>
      <c r="AX34" s="3">
        <f>SUMIFS('Factory Log'!$M:$M,'Factory Log'!$B:$B,Performance!AS$1,'Factory Log'!$J:$J,Performance!AS34,'Factory Log'!$C:$C,"Running")</f>
        <v>0</v>
      </c>
      <c r="AY34" s="58" cm="1">
        <f t="array" ref="AY34">IFERROR(INDEX('Factory Log'!$S:$S,MATCH(1,(Performance!AS$1='Factory Log'!$B:$B)*(Performance!AS34='Factory Log'!$A:$A),0)),0)</f>
        <v>0</v>
      </c>
      <c r="AZ34" s="3">
        <f>IFERROR(VLOOKUP(AS34,'Factory Log'!$J:$R,9,0),0)</f>
        <v>0</v>
      </c>
      <c r="BA34" s="64">
        <f t="shared" si="8"/>
        <v>0</v>
      </c>
      <c r="BB34" s="58">
        <f t="shared" si="9"/>
        <v>0</v>
      </c>
      <c r="BE34" s="3">
        <f>IFERROR(VLOOKUP(BD34,'Factory Log'!$J:$O,6,0),0)</f>
        <v>0</v>
      </c>
      <c r="BF34" s="3">
        <f>IFERROR(VLOOKUP(BD34,'Factory Log'!$J:$P,7,0),0)</f>
        <v>0</v>
      </c>
      <c r="BG34" s="3">
        <f>IFERROR(VLOOKUP(BD34,'Factory Log'!$J:$Q,8,0),0)</f>
        <v>0</v>
      </c>
      <c r="BH34" s="58">
        <f>SUMIFS('Factory Log'!$D:$D,'Factory Log'!$B:$B,Performance!BD$1,'Factory Log'!$J:$J,Performance!BD34,'Factory Log'!$C:$C,"Running")+SUMIFS('Factory Log'!$D:$D,'Factory Log'!$B:$B,Performance!BD$1,'Factory Log'!$J:$J,Performance!BD34,'Factory Log'!$C:$C,"Make Ready")+SUMIFS('Factory Log'!$D:$D,'Factory Log'!$B:$B,Performance!BD$1,'Factory Log'!$J:$J,Performance!BD34,'Factory Log'!$C:$C,"Roll Change")</f>
        <v>0</v>
      </c>
      <c r="BI34" s="3">
        <f>SUMIFS('Factory Log'!$M:$M,'Factory Log'!$B:$B,Performance!BD$1,'Factory Log'!$J:$J,Performance!BD34,'Factory Log'!$C:$C,"Running")</f>
        <v>0</v>
      </c>
      <c r="BJ34" s="58" cm="1">
        <f t="array" ref="BJ34">IFERROR(INDEX('Factory Log'!$S:$S,MATCH(1,(Performance!BD$1='Factory Log'!$B:$B)*(Performance!BD34='Factory Log'!$A:$A),0)),0)</f>
        <v>0</v>
      </c>
      <c r="BK34" s="3">
        <f>IFERROR(VLOOKUP(BD34,'Factory Log'!$J:$R,9,0),0)</f>
        <v>0</v>
      </c>
      <c r="BL34" s="64">
        <f t="shared" si="10"/>
        <v>0</v>
      </c>
      <c r="BM34" s="58">
        <f t="shared" si="11"/>
        <v>0</v>
      </c>
      <c r="BP34" s="3">
        <f>IFERROR(VLOOKUP(BO34,'Factory Log'!$J:$O,6,0),0)</f>
        <v>0</v>
      </c>
      <c r="BQ34" s="3">
        <f>IFERROR(VLOOKUP(BO34,'Factory Log'!$J:$P,7,0),0)</f>
        <v>0</v>
      </c>
      <c r="BR34" s="3">
        <f>IFERROR(VLOOKUP(BO34,'Factory Log'!$J:$Q,8,0),0)</f>
        <v>0</v>
      </c>
      <c r="BS34" s="58">
        <f>SUMIFS('Factory Log'!$D:$D,'Factory Log'!$B:$B,Performance!BO$1,'Factory Log'!$J:$J,Performance!BO34,'Factory Log'!$C:$C,"Running")+SUMIFS('Factory Log'!$D:$D,'Factory Log'!$B:$B,Performance!BO$1,'Factory Log'!$J:$J,Performance!BO34,'Factory Log'!$C:$C,"Make Ready")+SUMIFS('Factory Log'!$D:$D,'Factory Log'!$B:$B,Performance!BO$1,'Factory Log'!$J:$J,Performance!BO34,'Factory Log'!$C:$C,"Roll Change")</f>
        <v>0</v>
      </c>
      <c r="BT34" s="3">
        <f>SUMIFS('Factory Log'!$M:$M,'Factory Log'!$B:$B,Performance!BO$1,'Factory Log'!$J:$J,Performance!BO34,'Factory Log'!$C:$C,"Running")</f>
        <v>0</v>
      </c>
      <c r="BU34" s="58" cm="1">
        <f t="array" ref="BU34">IFERROR(INDEX('Factory Log'!$S:$S,MATCH(1,(Performance!BO$1='Factory Log'!$B:$B)*(Performance!BO34='Factory Log'!$A:$A),0)),0)</f>
        <v>0</v>
      </c>
      <c r="BV34" s="3">
        <f>IFERROR(VLOOKUP(BO34,'Factory Log'!$J:$R,9,0),0)</f>
        <v>0</v>
      </c>
      <c r="BW34" s="64">
        <f t="shared" si="12"/>
        <v>0</v>
      </c>
      <c r="BX34" s="58">
        <f t="shared" si="13"/>
        <v>0</v>
      </c>
      <c r="CA34" s="3">
        <f>IFERROR(VLOOKUP(BZ34,'Factory Log'!$J:$O,6,0),0)</f>
        <v>0</v>
      </c>
      <c r="CB34" s="3">
        <f>IFERROR(VLOOKUP(BZ34,'Factory Log'!$J:$P,7,0),0)</f>
        <v>0</v>
      </c>
      <c r="CC34" s="3">
        <f>IFERROR(VLOOKUP(BZ34,'Factory Log'!$J:$Q,8,0),0)</f>
        <v>0</v>
      </c>
      <c r="CD34" s="58">
        <f>SUMIFS('Factory Log'!$D:$D,'Factory Log'!$B:$B,Performance!BZ$1,'Factory Log'!$J:$J,Performance!BZ34,'Factory Log'!$C:$C,"Running")+SUMIFS('Factory Log'!$D:$D,'Factory Log'!$B:$B,Performance!BZ$1,'Factory Log'!$J:$J,Performance!BZ34,'Factory Log'!$C:$C,"Make Ready")+SUMIFS('Factory Log'!$D:$D,'Factory Log'!$B:$B,Performance!BZ$1,'Factory Log'!$J:$J,Performance!BZ34,'Factory Log'!$C:$C,"Roll Change")</f>
        <v>0</v>
      </c>
      <c r="CE34" s="3">
        <f>SUMIFS('Factory Log'!$M:$M,'Factory Log'!$B:$B,Performance!BZ$1,'Factory Log'!$J:$J,Performance!BZ34,'Factory Log'!$C:$C,"Running")</f>
        <v>0</v>
      </c>
      <c r="CF34" s="58" cm="1">
        <f t="array" ref="CF34">IFERROR(INDEX('Factory Log'!$S:$S,MATCH(1,(Performance!BZ$1='Factory Log'!$B:$B)*(Performance!BZ34='Factory Log'!$A:$A),0)),0)</f>
        <v>0</v>
      </c>
      <c r="CG34" s="3">
        <f>IFERROR(VLOOKUP(BZ34,'Factory Log'!$J:$R,9,0),0)</f>
        <v>0</v>
      </c>
      <c r="CH34" s="64">
        <f t="shared" si="14"/>
        <v>0</v>
      </c>
      <c r="CI34" s="58">
        <f t="shared" si="15"/>
        <v>0</v>
      </c>
      <c r="CL34" s="3">
        <f>IFERROR(VLOOKUP(CK34,'Factory Log'!$J:$O,6,0),0)</f>
        <v>0</v>
      </c>
      <c r="CM34" s="3">
        <f>IFERROR(VLOOKUP(CK34,'Factory Log'!$J:$P,7,0),0)</f>
        <v>0</v>
      </c>
      <c r="CN34" s="3">
        <f>IFERROR(VLOOKUP(CK34,'Factory Log'!$J:$Q,8,0),0)</f>
        <v>0</v>
      </c>
      <c r="CO34" s="58">
        <f>SUMIFS('Factory Log'!$D:$D,'Factory Log'!$B:$B,Performance!CK$1,'Factory Log'!$J:$J,Performance!CK34,'Factory Log'!$C:$C,"Running")+SUMIFS('Factory Log'!$D:$D,'Factory Log'!$B:$B,Performance!CK$1,'Factory Log'!$J:$J,Performance!CK34,'Factory Log'!$C:$C,"Make Ready")+SUMIFS('Factory Log'!$D:$D,'Factory Log'!$B:$B,Performance!CK$1,'Factory Log'!$J:$J,Performance!CK34,'Factory Log'!$C:$C,"Roll Change")</f>
        <v>0</v>
      </c>
      <c r="CP34" s="3">
        <f>SUMIFS('Factory Log'!$M:$M,'Factory Log'!$B:$B,Performance!CK$1,'Factory Log'!$J:$J,Performance!CK34,'Factory Log'!$C:$C,"Running")</f>
        <v>0</v>
      </c>
      <c r="CQ34" s="58" cm="1">
        <f t="array" ref="CQ34">IFERROR(INDEX('Factory Log'!$S:$S,MATCH(1,(Performance!CK$1='Factory Log'!$B:$B)*(Performance!CK34='Factory Log'!$A:$A),0)),0)</f>
        <v>0</v>
      </c>
      <c r="CR34" s="3">
        <f>IFERROR(VLOOKUP(CK34,'Factory Log'!$J:$R,9,0),0)</f>
        <v>0</v>
      </c>
      <c r="CS34" s="64">
        <f t="shared" si="16"/>
        <v>0</v>
      </c>
      <c r="CT34" s="58">
        <f t="shared" si="17"/>
        <v>0</v>
      </c>
      <c r="CW34" s="3">
        <f>IFERROR(VLOOKUP(CV34,'Factory Log'!$J:$O,6,0),0)</f>
        <v>0</v>
      </c>
      <c r="CX34" s="3">
        <f>IFERROR(VLOOKUP(CV34,'Factory Log'!$J:$P,7,0),0)</f>
        <v>0</v>
      </c>
      <c r="CY34" s="3">
        <f>IFERROR(VLOOKUP(CV34,'Factory Log'!$J:$Q,8,0),0)</f>
        <v>0</v>
      </c>
      <c r="CZ34" s="58">
        <f>SUMIFS('Factory Log'!$D:$D,'Factory Log'!$B:$B,Performance!CV$1,'Factory Log'!$J:$J,Performance!CV34,'Factory Log'!$C:$C,"Running")+SUMIFS('Factory Log'!$D:$D,'Factory Log'!$B:$B,Performance!CV$1,'Factory Log'!$J:$J,Performance!CV34,'Factory Log'!$C:$C,"Make Ready")+SUMIFS('Factory Log'!$D:$D,'Factory Log'!$B:$B,Performance!CV$1,'Factory Log'!$J:$J,Performance!CV34,'Factory Log'!$C:$C,"Roll Change")</f>
        <v>0</v>
      </c>
      <c r="DA34" s="3">
        <f>SUMIFS('Factory Log'!$M:$M,'Factory Log'!$B:$B,Performance!CV$1,'Factory Log'!$J:$J,Performance!CV34,'Factory Log'!$C:$C,"Running")</f>
        <v>0</v>
      </c>
      <c r="DB34" s="58" cm="1">
        <f t="array" ref="DB34">IFERROR(INDEX('Factory Log'!$S:$S,MATCH(1,(Performance!CV$1='Factory Log'!$B:$B)*(Performance!CV34='Factory Log'!$A:$A),0)),0)</f>
        <v>0</v>
      </c>
      <c r="DC34" s="3">
        <f>IFERROR(VLOOKUP(CV34,'Factory Log'!$J:$R,9,0),0)</f>
        <v>0</v>
      </c>
      <c r="DD34" s="64">
        <f t="shared" si="18"/>
        <v>0</v>
      </c>
      <c r="DE34" s="58">
        <f t="shared" si="19"/>
        <v>0</v>
      </c>
      <c r="DH34" s="3">
        <f>IFERROR(VLOOKUP(DG34,'Factory Log'!$J:$O,6,0),0)</f>
        <v>0</v>
      </c>
      <c r="DI34" s="3">
        <f>IFERROR(VLOOKUP(DG34,'Factory Log'!$J:$P,7,0),0)</f>
        <v>0</v>
      </c>
      <c r="DJ34" s="3">
        <f>IFERROR(VLOOKUP(DG34,'Factory Log'!$J:$Q,8,0),0)</f>
        <v>0</v>
      </c>
      <c r="DK34" s="58">
        <f>SUMIFS('Factory Log'!$D:$D,'Factory Log'!$B:$B,Performance!DG$1,'Factory Log'!$J:$J,Performance!DG34,'Factory Log'!$C:$C,"Running")+SUMIFS('Factory Log'!$D:$D,'Factory Log'!$B:$B,Performance!DG$1,'Factory Log'!$J:$J,Performance!DG34,'Factory Log'!$C:$C,"Make Ready")+SUMIFS('Factory Log'!$D:$D,'Factory Log'!$B:$B,Performance!DG$1,'Factory Log'!$J:$J,Performance!DG34,'Factory Log'!$C:$C,"Roll Change")</f>
        <v>0</v>
      </c>
      <c r="DL34" s="3">
        <f>SUMIFS('Factory Log'!$M:$M,'Factory Log'!$B:$B,Performance!DG$1,'Factory Log'!$J:$J,Performance!DG34,'Factory Log'!$C:$C,"Running")</f>
        <v>0</v>
      </c>
      <c r="DM34" s="58" cm="1">
        <f t="array" ref="DM34">IFERROR(INDEX('Factory Log'!$S:$S,MATCH(1,(Performance!DG$1='Factory Log'!$B:$B)*(Performance!DG34='Factory Log'!$A:$A),0)),0)</f>
        <v>0</v>
      </c>
      <c r="DN34" s="3">
        <f>IFERROR(VLOOKUP(DG34,'Factory Log'!$J:$R,9,0),0)</f>
        <v>0</v>
      </c>
      <c r="DO34" s="64">
        <f t="shared" si="20"/>
        <v>0</v>
      </c>
      <c r="DP34" s="58">
        <f t="shared" si="21"/>
        <v>0</v>
      </c>
      <c r="DS34" s="3">
        <f>IFERROR(VLOOKUP(DR34,'Factory Log'!$J:$O,6,0),0)</f>
        <v>0</v>
      </c>
      <c r="DT34" s="3">
        <f>IFERROR(VLOOKUP(DR34,'Factory Log'!$J:$P,7,0),0)</f>
        <v>0</v>
      </c>
      <c r="DU34" s="3">
        <f>IFERROR(VLOOKUP(DR34,'Factory Log'!$J:$Q,8,0),0)</f>
        <v>0</v>
      </c>
      <c r="DV34" s="58">
        <f>SUMIFS('Factory Log'!$D:$D,'Factory Log'!$B:$B,Performance!DR$1,'Factory Log'!$J:$J,Performance!DR34,'Factory Log'!$C:$C,"Running")+SUMIFS('Factory Log'!$D:$D,'Factory Log'!$B:$B,Performance!DR$1,'Factory Log'!$J:$J,Performance!DR34,'Factory Log'!$C:$C,"Make Ready")+SUMIFS('Factory Log'!$D:$D,'Factory Log'!$B:$B,Performance!DR$1,'Factory Log'!$J:$J,Performance!DR34,'Factory Log'!$C:$C,"Roll Change")</f>
        <v>0</v>
      </c>
      <c r="DW34" s="3">
        <f>SUMIFS('Factory Log'!$M:$M,'Factory Log'!$B:$B,Performance!DR$1,'Factory Log'!$J:$J,Performance!DR34,'Factory Log'!$C:$C,"Running")</f>
        <v>0</v>
      </c>
      <c r="DX34" s="58" cm="1">
        <f t="array" ref="DX34">IFERROR(INDEX('Factory Log'!$S:$S,MATCH(1,(Performance!DR$1='Factory Log'!$B:$B)*(Performance!DR34='Factory Log'!$A:$A),0)),0)</f>
        <v>0</v>
      </c>
      <c r="DY34" s="3">
        <f>IFERROR(VLOOKUP(DR34,'Factory Log'!$J:$R,9,0),0)</f>
        <v>0</v>
      </c>
      <c r="DZ34" s="64">
        <f t="shared" si="22"/>
        <v>0</v>
      </c>
      <c r="EA34" s="58">
        <f t="shared" si="23"/>
        <v>0</v>
      </c>
      <c r="ED34" s="3">
        <f>IFERROR(VLOOKUP(EC34,'Factory Log'!$J:$O,6,0),0)</f>
        <v>0</v>
      </c>
      <c r="EE34" s="3">
        <f>IFERROR(VLOOKUP(EC34,'Factory Log'!$J:$P,7,0),0)</f>
        <v>0</v>
      </c>
      <c r="EF34" s="3">
        <f>IFERROR(VLOOKUP(EC34,'Factory Log'!$J:$Q,8,0),0)</f>
        <v>0</v>
      </c>
      <c r="EG34" s="58">
        <f>SUMIFS('Factory Log'!$D:$D,'Factory Log'!$B:$B,Performance!EC$1,'Factory Log'!$J:$J,Performance!EC34,'Factory Log'!$C:$C,"Running")+SUMIFS('Factory Log'!$D:$D,'Factory Log'!$B:$B,Performance!EC$1,'Factory Log'!$J:$J,Performance!EC34,'Factory Log'!$C:$C,"Make Ready")+SUMIFS('Factory Log'!$D:$D,'Factory Log'!$B:$B,Performance!EC$1,'Factory Log'!$J:$J,Performance!EC34,'Factory Log'!$C:$C,"Roll Change")</f>
        <v>0</v>
      </c>
      <c r="EH34" s="3">
        <f>SUMIFS('Factory Log'!$M:$M,'Factory Log'!$B:$B,Performance!EC$1,'Factory Log'!$J:$J,Performance!EC34,'Factory Log'!$C:$C,"Running")</f>
        <v>0</v>
      </c>
      <c r="EI34" s="58" cm="1">
        <f t="array" ref="EI34">IFERROR(INDEX('Factory Log'!$S:$S,MATCH(1,(Performance!EC$1='Factory Log'!$B:$B)*(Performance!EC34='Factory Log'!$A:$A),0)),0)</f>
        <v>0</v>
      </c>
      <c r="EJ34" s="3">
        <f>IFERROR(VLOOKUP(EC34,'Factory Log'!$J:$R,9,0),0)</f>
        <v>0</v>
      </c>
      <c r="EK34" s="64">
        <f t="shared" si="24"/>
        <v>0</v>
      </c>
      <c r="EL34" s="58">
        <f t="shared" si="25"/>
        <v>0</v>
      </c>
      <c r="EO34" s="3">
        <f>IFERROR(VLOOKUP(EN34,'Factory Log'!$J:$O,6,0),0)</f>
        <v>0</v>
      </c>
      <c r="EP34" s="3">
        <f>IFERROR(VLOOKUP(EN34,'Factory Log'!$J:$P,7,0),0)</f>
        <v>0</v>
      </c>
      <c r="EQ34" s="3">
        <f>IFERROR(VLOOKUP(EN34,'Factory Log'!$J:$Q,8,0),0)</f>
        <v>0</v>
      </c>
      <c r="ER34" s="58">
        <f>SUMIFS('Factory Log'!$D:$D,'Factory Log'!$B:$B,Performance!EN$1,'Factory Log'!$J:$J,Performance!EN34,'Factory Log'!$C:$C,"Running")+SUMIFS('Factory Log'!$D:$D,'Factory Log'!$B:$B,Performance!EN$1,'Factory Log'!$J:$J,Performance!EN34,'Factory Log'!$C:$C,"Make Ready")+SUMIFS('Factory Log'!$D:$D,'Factory Log'!$B:$B,Performance!EN$1,'Factory Log'!$J:$J,Performance!EN34,'Factory Log'!$C:$C,"Roll Change")</f>
        <v>0</v>
      </c>
      <c r="ES34" s="3">
        <f>SUMIFS('Factory Log'!$M:$M,'Factory Log'!$B:$B,Performance!EN$1,'Factory Log'!$J:$J,Performance!EN34,'Factory Log'!$C:$C,"Running")</f>
        <v>0</v>
      </c>
      <c r="ET34" s="58" cm="1">
        <f t="array" ref="ET34">IFERROR(INDEX('Factory Log'!$S:$S,MATCH(1,(Performance!EN$1='Factory Log'!$B:$B)*(Performance!EN34='Factory Log'!$A:$A),0)),0)</f>
        <v>0</v>
      </c>
      <c r="EU34" s="3">
        <f>IFERROR(VLOOKUP(EN34,'Factory Log'!$J:$R,9,0),0)</f>
        <v>0</v>
      </c>
      <c r="EV34" s="64">
        <f t="shared" si="26"/>
        <v>0</v>
      </c>
      <c r="EW34" s="58">
        <f t="shared" si="27"/>
        <v>0</v>
      </c>
      <c r="EZ34" s="3">
        <f>IFERROR(VLOOKUP(EY34,'Factory Log'!$J:$O,6,0),0)</f>
        <v>0</v>
      </c>
      <c r="FA34" s="3">
        <f>IFERROR(VLOOKUP(EY34,'Factory Log'!$J:$P,7,0),0)</f>
        <v>0</v>
      </c>
      <c r="FB34" s="3">
        <f>IFERROR(VLOOKUP(EY34,'Factory Log'!$J:$Q,8,0),0)</f>
        <v>0</v>
      </c>
      <c r="FC34" s="58">
        <f>SUMIFS('Factory Log'!$D:$D,'Factory Log'!$B:$B,Performance!EY$1,'Factory Log'!$J:$J,Performance!EY34,'Factory Log'!$C:$C,"Running")+SUMIFS('Factory Log'!$D:$D,'Factory Log'!$B:$B,Performance!EY$1,'Factory Log'!$J:$J,Performance!EY34,'Factory Log'!$C:$C,"Make Ready")+SUMIFS('Factory Log'!$D:$D,'Factory Log'!$B:$B,Performance!EY$1,'Factory Log'!$J:$J,Performance!EY34,'Factory Log'!$C:$C,"Roll Change")</f>
        <v>0</v>
      </c>
      <c r="FD34" s="3">
        <f>SUMIFS('Factory Log'!$M:$M,'Factory Log'!$B:$B,Performance!EY$1,'Factory Log'!$J:$J,Performance!EY34,'Factory Log'!$C:$C,"Running")</f>
        <v>0</v>
      </c>
      <c r="FE34" s="58" cm="1">
        <f t="array" ref="FE34">IFERROR(INDEX('Factory Log'!$S:$S,MATCH(1,(Performance!EY$1='Factory Log'!$B:$B)*(Performance!EY34='Factory Log'!$A:$A),0)),0)</f>
        <v>0</v>
      </c>
      <c r="FF34" s="3">
        <f>IFERROR(VLOOKUP(EY34,'Factory Log'!$J:$R,9,0),0)</f>
        <v>0</v>
      </c>
      <c r="FG34" s="64">
        <f t="shared" si="28"/>
        <v>0</v>
      </c>
      <c r="FH34" s="58">
        <f t="shared" si="29"/>
        <v>0</v>
      </c>
    </row>
    <row r="35" spans="2:164" ht="16" customHeight="1" x14ac:dyDescent="0.2">
      <c r="B35" s="3">
        <f>IFERROR(VLOOKUP(A35,'Factory Log'!$J:$O,6,0),0)</f>
        <v>0</v>
      </c>
      <c r="C35" s="3">
        <f>IFERROR(VLOOKUP(A35,'Factory Log'!$J:$P,7,0),0)</f>
        <v>0</v>
      </c>
      <c r="D35" s="3">
        <f>IFERROR(VLOOKUP(A35,'Factory Log'!$J:$Q,8,0),0)</f>
        <v>0</v>
      </c>
      <c r="E35" s="58">
        <f>SUMIFS('Factory Log'!$D:$D,'Factory Log'!$B:$B,Performance!A$1,'Factory Log'!$J:$J,Performance!A35,'Factory Log'!$C:$C,"Running")+SUMIFS('Factory Log'!$D:$D,'Factory Log'!$B:$B,Performance!A$1,'Factory Log'!$J:$J,Performance!A35,'Factory Log'!$C:$C,"Make Ready")+SUMIFS('Factory Log'!$D:$D,'Factory Log'!$B:$B,Performance!A$1,'Factory Log'!$J:$J,Performance!A35,'Factory Log'!$C:$C,"Roll Change")</f>
        <v>0</v>
      </c>
      <c r="F35" s="3">
        <f>SUMIFS('Factory Log'!$M:$M,'Factory Log'!$B:$B,Performance!A$1,'Factory Log'!$J:$J,Performance!A35,'Factory Log'!$C:$C,"Running")</f>
        <v>0</v>
      </c>
      <c r="G35" s="58" cm="1">
        <f t="array" ref="G35">IFERROR(INDEX('Factory Log'!$S:$S,MATCH(1,(Performance!A$1='Factory Log'!$B:$B)*(Performance!A35='Factory Log'!$A:$A),0)),0)</f>
        <v>0</v>
      </c>
      <c r="H35" s="3">
        <f>IFERROR(VLOOKUP(A35,'Factory Log'!$J:$R,9,0),0)</f>
        <v>0</v>
      </c>
      <c r="I35" s="64">
        <f t="shared" si="1"/>
        <v>0</v>
      </c>
      <c r="J35" s="58">
        <f t="shared" si="30"/>
        <v>0</v>
      </c>
      <c r="M35" s="3">
        <f>IFERROR(VLOOKUP(L35,'Factory Log'!$J:$O,6,0),0)</f>
        <v>0</v>
      </c>
      <c r="N35" s="3">
        <f>IFERROR(VLOOKUP(L35,'Factory Log'!$J:$P,7,0),0)</f>
        <v>0</v>
      </c>
      <c r="O35" s="3">
        <f>IFERROR(VLOOKUP(L35,'Factory Log'!$J:$Q,8,0),0)</f>
        <v>0</v>
      </c>
      <c r="P35" s="58">
        <f>SUMIFS('Factory Log'!$D:$D,'Factory Log'!$B:$B,Performance!L$1,'Factory Log'!$J:$J,Performance!L35,'Factory Log'!$C:$C,"Running")+SUMIFS('Factory Log'!$D:$D,'Factory Log'!$B:$B,Performance!L$1,'Factory Log'!$J:$J,Performance!L35,'Factory Log'!$C:$C,"Make Ready")+SUMIFS('Factory Log'!$D:$D,'Factory Log'!$B:$B,Performance!L$1,'Factory Log'!$J:$J,Performance!L35,'Factory Log'!$C:$C,"Roll Change")</f>
        <v>0</v>
      </c>
      <c r="Q35" s="3">
        <f>SUMIFS('Factory Log'!$M:$M,'Factory Log'!$B:$B,Performance!L$1,'Factory Log'!$J:$J,Performance!L35,'Factory Log'!$C:$C,"Running")</f>
        <v>0</v>
      </c>
      <c r="R35" s="58" cm="1">
        <f t="array" ref="R35">IFERROR(INDEX('Factory Log'!$S:$S,MATCH(1,(Performance!L$1='Factory Log'!$B:$B)*(Performance!L35='Factory Log'!$A:$A),0)),0)</f>
        <v>0</v>
      </c>
      <c r="S35" s="3">
        <f>IFERROR(VLOOKUP(L35,'Factory Log'!$J:$R,9,0),0)</f>
        <v>0</v>
      </c>
      <c r="T35" s="64">
        <f t="shared" si="2"/>
        <v>0</v>
      </c>
      <c r="U35" s="58">
        <f t="shared" si="31"/>
        <v>0</v>
      </c>
      <c r="X35" s="3">
        <f>IFERROR(VLOOKUP(W35,'Factory Log'!$J:$O,6,0),0)</f>
        <v>0</v>
      </c>
      <c r="Y35" s="3">
        <f>IFERROR(VLOOKUP(W35,'Factory Log'!$J:$P,7,0),0)</f>
        <v>0</v>
      </c>
      <c r="Z35" s="3">
        <f>IFERROR(VLOOKUP(W35,'Factory Log'!$J:$Q,8,0),0)</f>
        <v>0</v>
      </c>
      <c r="AA35" s="58">
        <f>SUMIFS('Factory Log'!$D:$D,'Factory Log'!$B:$B,Performance!W$1,'Factory Log'!$J:$J,Performance!W35,'Factory Log'!$C:$C,"Running")+SUMIFS('Factory Log'!$D:$D,'Factory Log'!$B:$B,Performance!W$1,'Factory Log'!$J:$J,Performance!W35,'Factory Log'!$C:$C,"Make Ready")+SUMIFS('Factory Log'!$D:$D,'Factory Log'!$B:$B,Performance!W$1,'Factory Log'!$J:$J,Performance!W35,'Factory Log'!$C:$C,"Roll Change")</f>
        <v>0</v>
      </c>
      <c r="AB35" s="3">
        <f>SUMIFS('Factory Log'!$M:$M,'Factory Log'!$B:$B,Performance!W$1,'Factory Log'!$J:$J,Performance!W35,'Factory Log'!$C:$C,"Running")</f>
        <v>0</v>
      </c>
      <c r="AC35" s="58" cm="1">
        <f t="array" ref="AC35">IFERROR(INDEX('Factory Log'!$S:$S,MATCH(1,(Performance!W$1='Factory Log'!$B:$B)*(Performance!W35='Factory Log'!$A:$A),0)),0)</f>
        <v>0</v>
      </c>
      <c r="AD35" s="3">
        <f>IFERROR(VLOOKUP(W35,'Factory Log'!$J:$R,9,0),0)</f>
        <v>0</v>
      </c>
      <c r="AE35" s="64">
        <f t="shared" si="4"/>
        <v>0</v>
      </c>
      <c r="AF35" s="58">
        <f t="shared" si="33"/>
        <v>0</v>
      </c>
      <c r="AI35" s="3">
        <f>IFERROR(VLOOKUP(AH35,'Factory Log'!$J:$O,6,0),0)</f>
        <v>0</v>
      </c>
      <c r="AJ35" s="3">
        <f>IFERROR(VLOOKUP(AH35,'Factory Log'!$J:$P,7,0),0)</f>
        <v>0</v>
      </c>
      <c r="AK35" s="3">
        <f>IFERROR(VLOOKUP(AH35,'Factory Log'!$J:$Q,8,0),0)</f>
        <v>0</v>
      </c>
      <c r="AL35" s="58">
        <f>SUMIFS('Factory Log'!$D:$D,'Factory Log'!$B:$B,Performance!AH$1,'Factory Log'!$J:$J,Performance!AH35,'Factory Log'!$C:$C,"Running")+SUMIFS('Factory Log'!$D:$D,'Factory Log'!$B:$B,Performance!AH$1,'Factory Log'!$J:$J,Performance!AH35,'Factory Log'!$C:$C,"Make Ready")+SUMIFS('Factory Log'!$D:$D,'Factory Log'!$B:$B,Performance!AH$1,'Factory Log'!$J:$J,Performance!AH35,'Factory Log'!$C:$C,"Roll Change")</f>
        <v>0</v>
      </c>
      <c r="AM35" s="3">
        <f>SUMIFS('Factory Log'!$M:$M,'Factory Log'!$B:$B,Performance!AH$1,'Factory Log'!$J:$J,Performance!AH35,'Factory Log'!$C:$C,"Running")</f>
        <v>0</v>
      </c>
      <c r="AN35" s="58" cm="1">
        <f t="array" ref="AN35">IFERROR(INDEX('Factory Log'!$S:$S,MATCH(1,(Performance!AH$1='Factory Log'!$B:$B)*(Performance!AH35='Factory Log'!$A:$A),0)),0)</f>
        <v>0</v>
      </c>
      <c r="AO35" s="3">
        <f>IFERROR(VLOOKUP(AH35,'Factory Log'!$J:$R,9,0),0)</f>
        <v>0</v>
      </c>
      <c r="AP35" s="64">
        <f t="shared" si="6"/>
        <v>0</v>
      </c>
      <c r="AQ35" s="58">
        <f t="shared" si="7"/>
        <v>0</v>
      </c>
      <c r="AT35" s="3">
        <f>IFERROR(VLOOKUP(AS35,'Factory Log'!$J:$O,6,0),0)</f>
        <v>0</v>
      </c>
      <c r="AU35" s="3">
        <f>IFERROR(VLOOKUP(AS35,'Factory Log'!$J:$P,7,0),0)</f>
        <v>0</v>
      </c>
      <c r="AV35" s="3">
        <f>IFERROR(VLOOKUP(AS35,'Factory Log'!$J:$Q,8,0),0)</f>
        <v>0</v>
      </c>
      <c r="AW35" s="58">
        <f>SUMIFS('Factory Log'!$D:$D,'Factory Log'!$B:$B,Performance!AS$1,'Factory Log'!$J:$J,Performance!AS35,'Factory Log'!$C:$C,"Running")+SUMIFS('Factory Log'!$D:$D,'Factory Log'!$B:$B,Performance!AS$1,'Factory Log'!$J:$J,Performance!AS35,'Factory Log'!$C:$C,"Make Ready")+SUMIFS('Factory Log'!$D:$D,'Factory Log'!$B:$B,Performance!AS$1,'Factory Log'!$J:$J,Performance!AS35,'Factory Log'!$C:$C,"Roll Change")</f>
        <v>0</v>
      </c>
      <c r="AX35" s="3">
        <f>SUMIFS('Factory Log'!$M:$M,'Factory Log'!$B:$B,Performance!AS$1,'Factory Log'!$J:$J,Performance!AS35,'Factory Log'!$C:$C,"Running")</f>
        <v>0</v>
      </c>
      <c r="AY35" s="58" cm="1">
        <f t="array" ref="AY35">IFERROR(INDEX('Factory Log'!$S:$S,MATCH(1,(Performance!AS$1='Factory Log'!$B:$B)*(Performance!AS35='Factory Log'!$A:$A),0)),0)</f>
        <v>0</v>
      </c>
      <c r="AZ35" s="3">
        <f>IFERROR(VLOOKUP(AS35,'Factory Log'!$J:$R,9,0),0)</f>
        <v>0</v>
      </c>
      <c r="BA35" s="64">
        <f t="shared" si="8"/>
        <v>0</v>
      </c>
      <c r="BB35" s="58">
        <f t="shared" si="9"/>
        <v>0</v>
      </c>
      <c r="BE35" s="3">
        <f>IFERROR(VLOOKUP(BD35,'Factory Log'!$J:$O,6,0),0)</f>
        <v>0</v>
      </c>
      <c r="BF35" s="3">
        <f>IFERROR(VLOOKUP(BD35,'Factory Log'!$J:$P,7,0),0)</f>
        <v>0</v>
      </c>
      <c r="BG35" s="3">
        <f>IFERROR(VLOOKUP(BD35,'Factory Log'!$J:$Q,8,0),0)</f>
        <v>0</v>
      </c>
      <c r="BH35" s="58">
        <f>SUMIFS('Factory Log'!$D:$D,'Factory Log'!$B:$B,Performance!BD$1,'Factory Log'!$J:$J,Performance!BD35,'Factory Log'!$C:$C,"Running")+SUMIFS('Factory Log'!$D:$D,'Factory Log'!$B:$B,Performance!BD$1,'Factory Log'!$J:$J,Performance!BD35,'Factory Log'!$C:$C,"Make Ready")+SUMIFS('Factory Log'!$D:$D,'Factory Log'!$B:$B,Performance!BD$1,'Factory Log'!$J:$J,Performance!BD35,'Factory Log'!$C:$C,"Roll Change")</f>
        <v>0</v>
      </c>
      <c r="BI35" s="3">
        <f>SUMIFS('Factory Log'!$M:$M,'Factory Log'!$B:$B,Performance!BD$1,'Factory Log'!$J:$J,Performance!BD35,'Factory Log'!$C:$C,"Running")</f>
        <v>0</v>
      </c>
      <c r="BJ35" s="58" cm="1">
        <f t="array" ref="BJ35">IFERROR(INDEX('Factory Log'!$S:$S,MATCH(1,(Performance!BD$1='Factory Log'!$B:$B)*(Performance!BD35='Factory Log'!$A:$A),0)),0)</f>
        <v>0</v>
      </c>
      <c r="BK35" s="3">
        <f>IFERROR(VLOOKUP(BD35,'Factory Log'!$J:$R,9,0),0)</f>
        <v>0</v>
      </c>
      <c r="BL35" s="64">
        <f t="shared" si="10"/>
        <v>0</v>
      </c>
      <c r="BM35" s="58">
        <f t="shared" si="11"/>
        <v>0</v>
      </c>
      <c r="BP35" s="3">
        <f>IFERROR(VLOOKUP(BO35,'Factory Log'!$J:$O,6,0),0)</f>
        <v>0</v>
      </c>
      <c r="BQ35" s="3">
        <f>IFERROR(VLOOKUP(BO35,'Factory Log'!$J:$P,7,0),0)</f>
        <v>0</v>
      </c>
      <c r="BR35" s="3">
        <f>IFERROR(VLOOKUP(BO35,'Factory Log'!$J:$Q,8,0),0)</f>
        <v>0</v>
      </c>
      <c r="BS35" s="58">
        <f>SUMIFS('Factory Log'!$D:$D,'Factory Log'!$B:$B,Performance!BO$1,'Factory Log'!$J:$J,Performance!BO35,'Factory Log'!$C:$C,"Running")+SUMIFS('Factory Log'!$D:$D,'Factory Log'!$B:$B,Performance!BO$1,'Factory Log'!$J:$J,Performance!BO35,'Factory Log'!$C:$C,"Make Ready")+SUMIFS('Factory Log'!$D:$D,'Factory Log'!$B:$B,Performance!BO$1,'Factory Log'!$J:$J,Performance!BO35,'Factory Log'!$C:$C,"Roll Change")</f>
        <v>0</v>
      </c>
      <c r="BT35" s="3">
        <f>SUMIFS('Factory Log'!$M:$M,'Factory Log'!$B:$B,Performance!BO$1,'Factory Log'!$J:$J,Performance!BO35,'Factory Log'!$C:$C,"Running")</f>
        <v>0</v>
      </c>
      <c r="BU35" s="58" cm="1">
        <f t="array" ref="BU35">IFERROR(INDEX('Factory Log'!$S:$S,MATCH(1,(Performance!BO$1='Factory Log'!$B:$B)*(Performance!BO35='Factory Log'!$A:$A),0)),0)</f>
        <v>0</v>
      </c>
      <c r="BV35" s="3">
        <f>IFERROR(VLOOKUP(BO35,'Factory Log'!$J:$R,9,0),0)</f>
        <v>0</v>
      </c>
      <c r="BW35" s="64">
        <f t="shared" si="12"/>
        <v>0</v>
      </c>
      <c r="BX35" s="58">
        <f t="shared" si="13"/>
        <v>0</v>
      </c>
      <c r="CA35" s="3">
        <f>IFERROR(VLOOKUP(BZ35,'Factory Log'!$J:$O,6,0),0)</f>
        <v>0</v>
      </c>
      <c r="CB35" s="3">
        <f>IFERROR(VLOOKUP(BZ35,'Factory Log'!$J:$P,7,0),0)</f>
        <v>0</v>
      </c>
      <c r="CC35" s="3">
        <f>IFERROR(VLOOKUP(BZ35,'Factory Log'!$J:$Q,8,0),0)</f>
        <v>0</v>
      </c>
      <c r="CD35" s="58">
        <f>SUMIFS('Factory Log'!$D:$D,'Factory Log'!$B:$B,Performance!BZ$1,'Factory Log'!$J:$J,Performance!BZ35,'Factory Log'!$C:$C,"Running")+SUMIFS('Factory Log'!$D:$D,'Factory Log'!$B:$B,Performance!BZ$1,'Factory Log'!$J:$J,Performance!BZ35,'Factory Log'!$C:$C,"Make Ready")+SUMIFS('Factory Log'!$D:$D,'Factory Log'!$B:$B,Performance!BZ$1,'Factory Log'!$J:$J,Performance!BZ35,'Factory Log'!$C:$C,"Roll Change")</f>
        <v>0</v>
      </c>
      <c r="CE35" s="3">
        <f>SUMIFS('Factory Log'!$M:$M,'Factory Log'!$B:$B,Performance!BZ$1,'Factory Log'!$J:$J,Performance!BZ35,'Factory Log'!$C:$C,"Running")</f>
        <v>0</v>
      </c>
      <c r="CF35" s="58" cm="1">
        <f t="array" ref="CF35">IFERROR(INDEX('Factory Log'!$S:$S,MATCH(1,(Performance!BZ$1='Factory Log'!$B:$B)*(Performance!BZ35='Factory Log'!$A:$A),0)),0)</f>
        <v>0</v>
      </c>
      <c r="CG35" s="3">
        <f>IFERROR(VLOOKUP(BZ35,'Factory Log'!$J:$R,9,0),0)</f>
        <v>0</v>
      </c>
      <c r="CH35" s="64">
        <f t="shared" si="14"/>
        <v>0</v>
      </c>
      <c r="CI35" s="58">
        <f t="shared" si="15"/>
        <v>0</v>
      </c>
      <c r="CL35" s="3">
        <f>IFERROR(VLOOKUP(CK35,'Factory Log'!$J:$O,6,0),0)</f>
        <v>0</v>
      </c>
      <c r="CM35" s="3">
        <f>IFERROR(VLOOKUP(CK35,'Factory Log'!$J:$P,7,0),0)</f>
        <v>0</v>
      </c>
      <c r="CN35" s="3">
        <f>IFERROR(VLOOKUP(CK35,'Factory Log'!$J:$Q,8,0),0)</f>
        <v>0</v>
      </c>
      <c r="CO35" s="58">
        <f>SUMIFS('Factory Log'!$D:$D,'Factory Log'!$B:$B,Performance!CK$1,'Factory Log'!$J:$J,Performance!CK35,'Factory Log'!$C:$C,"Running")+SUMIFS('Factory Log'!$D:$D,'Factory Log'!$B:$B,Performance!CK$1,'Factory Log'!$J:$J,Performance!CK35,'Factory Log'!$C:$C,"Make Ready")+SUMIFS('Factory Log'!$D:$D,'Factory Log'!$B:$B,Performance!CK$1,'Factory Log'!$J:$J,Performance!CK35,'Factory Log'!$C:$C,"Roll Change")</f>
        <v>0</v>
      </c>
      <c r="CP35" s="3">
        <f>SUMIFS('Factory Log'!$M:$M,'Factory Log'!$B:$B,Performance!CK$1,'Factory Log'!$J:$J,Performance!CK35,'Factory Log'!$C:$C,"Running")</f>
        <v>0</v>
      </c>
      <c r="CQ35" s="58" cm="1">
        <f t="array" ref="CQ35">IFERROR(INDEX('Factory Log'!$S:$S,MATCH(1,(Performance!CK$1='Factory Log'!$B:$B)*(Performance!CK35='Factory Log'!$A:$A),0)),0)</f>
        <v>0</v>
      </c>
      <c r="CR35" s="3">
        <f>IFERROR(VLOOKUP(CK35,'Factory Log'!$J:$R,9,0),0)</f>
        <v>0</v>
      </c>
      <c r="CS35" s="64">
        <f t="shared" si="16"/>
        <v>0</v>
      </c>
      <c r="CT35" s="58">
        <f t="shared" si="17"/>
        <v>0</v>
      </c>
      <c r="CW35" s="3">
        <f>IFERROR(VLOOKUP(CV35,'Factory Log'!$J:$O,6,0),0)</f>
        <v>0</v>
      </c>
      <c r="CX35" s="3">
        <f>IFERROR(VLOOKUP(CV35,'Factory Log'!$J:$P,7,0),0)</f>
        <v>0</v>
      </c>
      <c r="CY35" s="3">
        <f>IFERROR(VLOOKUP(CV35,'Factory Log'!$J:$Q,8,0),0)</f>
        <v>0</v>
      </c>
      <c r="CZ35" s="58">
        <f>SUMIFS('Factory Log'!$D:$D,'Factory Log'!$B:$B,Performance!CV$1,'Factory Log'!$J:$J,Performance!CV35,'Factory Log'!$C:$C,"Running")+SUMIFS('Factory Log'!$D:$D,'Factory Log'!$B:$B,Performance!CV$1,'Factory Log'!$J:$J,Performance!CV35,'Factory Log'!$C:$C,"Make Ready")+SUMIFS('Factory Log'!$D:$D,'Factory Log'!$B:$B,Performance!CV$1,'Factory Log'!$J:$J,Performance!CV35,'Factory Log'!$C:$C,"Roll Change")</f>
        <v>0</v>
      </c>
      <c r="DA35" s="3">
        <f>SUMIFS('Factory Log'!$M:$M,'Factory Log'!$B:$B,Performance!CV$1,'Factory Log'!$J:$J,Performance!CV35,'Factory Log'!$C:$C,"Running")</f>
        <v>0</v>
      </c>
      <c r="DB35" s="58" cm="1">
        <f t="array" ref="DB35">IFERROR(INDEX('Factory Log'!$S:$S,MATCH(1,(Performance!CV$1='Factory Log'!$B:$B)*(Performance!CV35='Factory Log'!$A:$A),0)),0)</f>
        <v>0</v>
      </c>
      <c r="DC35" s="3">
        <f>IFERROR(VLOOKUP(CV35,'Factory Log'!$J:$R,9,0),0)</f>
        <v>0</v>
      </c>
      <c r="DD35" s="64">
        <f t="shared" si="18"/>
        <v>0</v>
      </c>
      <c r="DE35" s="58">
        <f t="shared" si="19"/>
        <v>0</v>
      </c>
      <c r="DH35" s="3">
        <f>IFERROR(VLOOKUP(DG35,'Factory Log'!$J:$O,6,0),0)</f>
        <v>0</v>
      </c>
      <c r="DI35" s="3">
        <f>IFERROR(VLOOKUP(DG35,'Factory Log'!$J:$P,7,0),0)</f>
        <v>0</v>
      </c>
      <c r="DJ35" s="3">
        <f>IFERROR(VLOOKUP(DG35,'Factory Log'!$J:$Q,8,0),0)</f>
        <v>0</v>
      </c>
      <c r="DK35" s="58">
        <f>SUMIFS('Factory Log'!$D:$D,'Factory Log'!$B:$B,Performance!DG$1,'Factory Log'!$J:$J,Performance!DG35,'Factory Log'!$C:$C,"Running")+SUMIFS('Factory Log'!$D:$D,'Factory Log'!$B:$B,Performance!DG$1,'Factory Log'!$J:$J,Performance!DG35,'Factory Log'!$C:$C,"Make Ready")+SUMIFS('Factory Log'!$D:$D,'Factory Log'!$B:$B,Performance!DG$1,'Factory Log'!$J:$J,Performance!DG35,'Factory Log'!$C:$C,"Roll Change")</f>
        <v>0</v>
      </c>
      <c r="DL35" s="3">
        <f>SUMIFS('Factory Log'!$M:$M,'Factory Log'!$B:$B,Performance!DG$1,'Factory Log'!$J:$J,Performance!DG35,'Factory Log'!$C:$C,"Running")</f>
        <v>0</v>
      </c>
      <c r="DM35" s="58" cm="1">
        <f t="array" ref="DM35">IFERROR(INDEX('Factory Log'!$S:$S,MATCH(1,(Performance!DG$1='Factory Log'!$B:$B)*(Performance!DG35='Factory Log'!$A:$A),0)),0)</f>
        <v>0</v>
      </c>
      <c r="DN35" s="3">
        <f>IFERROR(VLOOKUP(DG35,'Factory Log'!$J:$R,9,0),0)</f>
        <v>0</v>
      </c>
      <c r="DO35" s="64">
        <f t="shared" si="20"/>
        <v>0</v>
      </c>
      <c r="DP35" s="58">
        <f t="shared" si="21"/>
        <v>0</v>
      </c>
      <c r="DS35" s="3">
        <f>IFERROR(VLOOKUP(DR35,'Factory Log'!$J:$O,6,0),0)</f>
        <v>0</v>
      </c>
      <c r="DT35" s="3">
        <f>IFERROR(VLOOKUP(DR35,'Factory Log'!$J:$P,7,0),0)</f>
        <v>0</v>
      </c>
      <c r="DU35" s="3">
        <f>IFERROR(VLOOKUP(DR35,'Factory Log'!$J:$Q,8,0),0)</f>
        <v>0</v>
      </c>
      <c r="DV35" s="58">
        <f>SUMIFS('Factory Log'!$D:$D,'Factory Log'!$B:$B,Performance!DR$1,'Factory Log'!$J:$J,Performance!DR35,'Factory Log'!$C:$C,"Running")+SUMIFS('Factory Log'!$D:$D,'Factory Log'!$B:$B,Performance!DR$1,'Factory Log'!$J:$J,Performance!DR35,'Factory Log'!$C:$C,"Make Ready")+SUMIFS('Factory Log'!$D:$D,'Factory Log'!$B:$B,Performance!DR$1,'Factory Log'!$J:$J,Performance!DR35,'Factory Log'!$C:$C,"Roll Change")</f>
        <v>0</v>
      </c>
      <c r="DW35" s="3">
        <f>SUMIFS('Factory Log'!$M:$M,'Factory Log'!$B:$B,Performance!DR$1,'Factory Log'!$J:$J,Performance!DR35,'Factory Log'!$C:$C,"Running")</f>
        <v>0</v>
      </c>
      <c r="DX35" s="58" cm="1">
        <f t="array" ref="DX35">IFERROR(INDEX('Factory Log'!$S:$S,MATCH(1,(Performance!DR$1='Factory Log'!$B:$B)*(Performance!DR35='Factory Log'!$A:$A),0)),0)</f>
        <v>0</v>
      </c>
      <c r="DY35" s="3">
        <f>IFERROR(VLOOKUP(DR35,'Factory Log'!$J:$R,9,0),0)</f>
        <v>0</v>
      </c>
      <c r="DZ35" s="64">
        <f t="shared" si="22"/>
        <v>0</v>
      </c>
      <c r="EA35" s="58">
        <f t="shared" si="23"/>
        <v>0</v>
      </c>
      <c r="ED35" s="3">
        <f>IFERROR(VLOOKUP(EC35,'Factory Log'!$J:$O,6,0),0)</f>
        <v>0</v>
      </c>
      <c r="EE35" s="3">
        <f>IFERROR(VLOOKUP(EC35,'Factory Log'!$J:$P,7,0),0)</f>
        <v>0</v>
      </c>
      <c r="EF35" s="3">
        <f>IFERROR(VLOOKUP(EC35,'Factory Log'!$J:$Q,8,0),0)</f>
        <v>0</v>
      </c>
      <c r="EG35" s="58">
        <f>SUMIFS('Factory Log'!$D:$D,'Factory Log'!$B:$B,Performance!EC$1,'Factory Log'!$J:$J,Performance!EC35,'Factory Log'!$C:$C,"Running")+SUMIFS('Factory Log'!$D:$D,'Factory Log'!$B:$B,Performance!EC$1,'Factory Log'!$J:$J,Performance!EC35,'Factory Log'!$C:$C,"Make Ready")+SUMIFS('Factory Log'!$D:$D,'Factory Log'!$B:$B,Performance!EC$1,'Factory Log'!$J:$J,Performance!EC35,'Factory Log'!$C:$C,"Roll Change")</f>
        <v>0</v>
      </c>
      <c r="EH35" s="3">
        <f>SUMIFS('Factory Log'!$M:$M,'Factory Log'!$B:$B,Performance!EC$1,'Factory Log'!$J:$J,Performance!EC35,'Factory Log'!$C:$C,"Running")</f>
        <v>0</v>
      </c>
      <c r="EI35" s="58" cm="1">
        <f t="array" ref="EI35">IFERROR(INDEX('Factory Log'!$S:$S,MATCH(1,(Performance!EC$1='Factory Log'!$B:$B)*(Performance!EC35='Factory Log'!$A:$A),0)),0)</f>
        <v>0</v>
      </c>
      <c r="EJ35" s="3">
        <f>IFERROR(VLOOKUP(EC35,'Factory Log'!$J:$R,9,0),0)</f>
        <v>0</v>
      </c>
      <c r="EK35" s="64">
        <f t="shared" si="24"/>
        <v>0</v>
      </c>
      <c r="EL35" s="58">
        <f t="shared" si="25"/>
        <v>0</v>
      </c>
      <c r="EO35" s="3">
        <f>IFERROR(VLOOKUP(EN35,'Factory Log'!$J:$O,6,0),0)</f>
        <v>0</v>
      </c>
      <c r="EP35" s="3">
        <f>IFERROR(VLOOKUP(EN35,'Factory Log'!$J:$P,7,0),0)</f>
        <v>0</v>
      </c>
      <c r="EQ35" s="3">
        <f>IFERROR(VLOOKUP(EN35,'Factory Log'!$J:$Q,8,0),0)</f>
        <v>0</v>
      </c>
      <c r="ER35" s="58">
        <f>SUMIFS('Factory Log'!$D:$D,'Factory Log'!$B:$B,Performance!EN$1,'Factory Log'!$J:$J,Performance!EN35,'Factory Log'!$C:$C,"Running")+SUMIFS('Factory Log'!$D:$D,'Factory Log'!$B:$B,Performance!EN$1,'Factory Log'!$J:$J,Performance!EN35,'Factory Log'!$C:$C,"Make Ready")+SUMIFS('Factory Log'!$D:$D,'Factory Log'!$B:$B,Performance!EN$1,'Factory Log'!$J:$J,Performance!EN35,'Factory Log'!$C:$C,"Roll Change")</f>
        <v>0</v>
      </c>
      <c r="ES35" s="3">
        <f>SUMIFS('Factory Log'!$M:$M,'Factory Log'!$B:$B,Performance!EN$1,'Factory Log'!$J:$J,Performance!EN35,'Factory Log'!$C:$C,"Running")</f>
        <v>0</v>
      </c>
      <c r="ET35" s="58" cm="1">
        <f t="array" ref="ET35">IFERROR(INDEX('Factory Log'!$S:$S,MATCH(1,(Performance!EN$1='Factory Log'!$B:$B)*(Performance!EN35='Factory Log'!$A:$A),0)),0)</f>
        <v>0</v>
      </c>
      <c r="EU35" s="3">
        <f>IFERROR(VLOOKUP(EN35,'Factory Log'!$J:$R,9,0),0)</f>
        <v>0</v>
      </c>
      <c r="EV35" s="64">
        <f t="shared" si="26"/>
        <v>0</v>
      </c>
      <c r="EW35" s="58">
        <f t="shared" si="27"/>
        <v>0</v>
      </c>
      <c r="EZ35" s="3">
        <f>IFERROR(VLOOKUP(EY35,'Factory Log'!$J:$O,6,0),0)</f>
        <v>0</v>
      </c>
      <c r="FA35" s="3">
        <f>IFERROR(VLOOKUP(EY35,'Factory Log'!$J:$P,7,0),0)</f>
        <v>0</v>
      </c>
      <c r="FB35" s="3">
        <f>IFERROR(VLOOKUP(EY35,'Factory Log'!$J:$Q,8,0),0)</f>
        <v>0</v>
      </c>
      <c r="FC35" s="58">
        <f>SUMIFS('Factory Log'!$D:$D,'Factory Log'!$B:$B,Performance!EY$1,'Factory Log'!$J:$J,Performance!EY35,'Factory Log'!$C:$C,"Running")+SUMIFS('Factory Log'!$D:$D,'Factory Log'!$B:$B,Performance!EY$1,'Factory Log'!$J:$J,Performance!EY35,'Factory Log'!$C:$C,"Make Ready")+SUMIFS('Factory Log'!$D:$D,'Factory Log'!$B:$B,Performance!EY$1,'Factory Log'!$J:$J,Performance!EY35,'Factory Log'!$C:$C,"Roll Change")</f>
        <v>0</v>
      </c>
      <c r="FD35" s="3">
        <f>SUMIFS('Factory Log'!$M:$M,'Factory Log'!$B:$B,Performance!EY$1,'Factory Log'!$J:$J,Performance!EY35,'Factory Log'!$C:$C,"Running")</f>
        <v>0</v>
      </c>
      <c r="FE35" s="58" cm="1">
        <f t="array" ref="FE35">IFERROR(INDEX('Factory Log'!$S:$S,MATCH(1,(Performance!EY$1='Factory Log'!$B:$B)*(Performance!EY35='Factory Log'!$A:$A),0)),0)</f>
        <v>0</v>
      </c>
      <c r="FF35" s="3">
        <f>IFERROR(VLOOKUP(EY35,'Factory Log'!$J:$R,9,0),0)</f>
        <v>0</v>
      </c>
      <c r="FG35" s="64">
        <f t="shared" si="28"/>
        <v>0</v>
      </c>
      <c r="FH35" s="58">
        <f t="shared" si="29"/>
        <v>0</v>
      </c>
    </row>
    <row r="36" spans="2:164" ht="16" customHeight="1" x14ac:dyDescent="0.2">
      <c r="B36" s="3">
        <f>IFERROR(VLOOKUP(A36,'Factory Log'!$J:$O,6,0),0)</f>
        <v>0</v>
      </c>
      <c r="C36" s="3">
        <f>IFERROR(VLOOKUP(A36,'Factory Log'!$J:$P,7,0),0)</f>
        <v>0</v>
      </c>
      <c r="D36" s="3">
        <f>IFERROR(VLOOKUP(A36,'Factory Log'!$J:$Q,8,0),0)</f>
        <v>0</v>
      </c>
      <c r="E36" s="58">
        <f>SUMIFS('Factory Log'!$D:$D,'Factory Log'!$B:$B,Performance!A$1,'Factory Log'!$J:$J,Performance!A36,'Factory Log'!$C:$C,"Running")+SUMIFS('Factory Log'!$D:$D,'Factory Log'!$B:$B,Performance!A$1,'Factory Log'!$J:$J,Performance!A36,'Factory Log'!$C:$C,"Make Ready")+SUMIFS('Factory Log'!$D:$D,'Factory Log'!$B:$B,Performance!A$1,'Factory Log'!$J:$J,Performance!A36,'Factory Log'!$C:$C,"Roll Change")</f>
        <v>0</v>
      </c>
      <c r="F36" s="3">
        <f>SUMIFS('Factory Log'!$M:$M,'Factory Log'!$B:$B,Performance!A$1,'Factory Log'!$J:$J,Performance!A36,'Factory Log'!$C:$C,"Running")</f>
        <v>0</v>
      </c>
      <c r="G36" s="58" cm="1">
        <f t="array" ref="G36">IFERROR(INDEX('Factory Log'!$S:$S,MATCH(1,(Performance!A$1='Factory Log'!$B:$B)*(Performance!A36='Factory Log'!$A:$A),0)),0)</f>
        <v>0</v>
      </c>
      <c r="H36" s="3">
        <f>IFERROR(VLOOKUP(A36,'Factory Log'!$J:$R,9,0),0)</f>
        <v>0</v>
      </c>
      <c r="I36" s="64">
        <f t="shared" si="1"/>
        <v>0</v>
      </c>
      <c r="J36" s="58">
        <f t="shared" si="30"/>
        <v>0</v>
      </c>
      <c r="M36" s="3">
        <f>IFERROR(VLOOKUP(L36,'Factory Log'!$J:$O,6,0),0)</f>
        <v>0</v>
      </c>
      <c r="N36" s="3">
        <f>IFERROR(VLOOKUP(L36,'Factory Log'!$J:$P,7,0),0)</f>
        <v>0</v>
      </c>
      <c r="O36" s="3">
        <f>IFERROR(VLOOKUP(L36,'Factory Log'!$J:$Q,8,0),0)</f>
        <v>0</v>
      </c>
      <c r="P36" s="58">
        <f>SUMIFS('Factory Log'!$D:$D,'Factory Log'!$B:$B,Performance!L$1,'Factory Log'!$J:$J,Performance!L36,'Factory Log'!$C:$C,"Running")+SUMIFS('Factory Log'!$D:$D,'Factory Log'!$B:$B,Performance!L$1,'Factory Log'!$J:$J,Performance!L36,'Factory Log'!$C:$C,"Make Ready")+SUMIFS('Factory Log'!$D:$D,'Factory Log'!$B:$B,Performance!L$1,'Factory Log'!$J:$J,Performance!L36,'Factory Log'!$C:$C,"Roll Change")</f>
        <v>0</v>
      </c>
      <c r="Q36" s="3">
        <f>SUMIFS('Factory Log'!$M:$M,'Factory Log'!$B:$B,Performance!L$1,'Factory Log'!$J:$J,Performance!L36,'Factory Log'!$C:$C,"Running")</f>
        <v>0</v>
      </c>
      <c r="R36" s="58" cm="1">
        <f t="array" ref="R36">IFERROR(INDEX('Factory Log'!$S:$S,MATCH(1,(Performance!L$1='Factory Log'!$B:$B)*(Performance!L36='Factory Log'!$A:$A),0)),0)</f>
        <v>0</v>
      </c>
      <c r="S36" s="3">
        <f>IFERROR(VLOOKUP(L36,'Factory Log'!$J:$R,9,0),0)</f>
        <v>0</v>
      </c>
      <c r="T36" s="64">
        <f t="shared" si="2"/>
        <v>0</v>
      </c>
      <c r="U36" s="58">
        <f t="shared" si="31"/>
        <v>0</v>
      </c>
      <c r="X36" s="3">
        <f>IFERROR(VLOOKUP(W36,'Factory Log'!$J:$O,6,0),0)</f>
        <v>0</v>
      </c>
      <c r="Y36" s="3">
        <f>IFERROR(VLOOKUP(W36,'Factory Log'!$J:$P,7,0),0)</f>
        <v>0</v>
      </c>
      <c r="Z36" s="3">
        <f>IFERROR(VLOOKUP(W36,'Factory Log'!$J:$Q,8,0),0)</f>
        <v>0</v>
      </c>
      <c r="AA36" s="58">
        <f>SUMIFS('Factory Log'!$D:$D,'Factory Log'!$B:$B,Performance!W$1,'Factory Log'!$J:$J,Performance!W36,'Factory Log'!$C:$C,"Running")+SUMIFS('Factory Log'!$D:$D,'Factory Log'!$B:$B,Performance!W$1,'Factory Log'!$J:$J,Performance!W36,'Factory Log'!$C:$C,"Make Ready")+SUMIFS('Factory Log'!$D:$D,'Factory Log'!$B:$B,Performance!W$1,'Factory Log'!$J:$J,Performance!W36,'Factory Log'!$C:$C,"Roll Change")</f>
        <v>0</v>
      </c>
      <c r="AB36" s="3">
        <f>SUMIFS('Factory Log'!$M:$M,'Factory Log'!$B:$B,Performance!W$1,'Factory Log'!$J:$J,Performance!W36,'Factory Log'!$C:$C,"Running")</f>
        <v>0</v>
      </c>
      <c r="AC36" s="58" cm="1">
        <f t="array" ref="AC36">IFERROR(INDEX('Factory Log'!$S:$S,MATCH(1,(Performance!W$1='Factory Log'!$B:$B)*(Performance!W36='Factory Log'!$A:$A),0)),0)</f>
        <v>0</v>
      </c>
      <c r="AD36" s="3">
        <f>IFERROR(VLOOKUP(W36,'Factory Log'!$J:$R,9,0),0)</f>
        <v>0</v>
      </c>
      <c r="AE36" s="64">
        <f t="shared" si="4"/>
        <v>0</v>
      </c>
      <c r="AF36" s="58">
        <f t="shared" si="33"/>
        <v>0</v>
      </c>
      <c r="AI36" s="3">
        <f>IFERROR(VLOOKUP(AH36,'Factory Log'!$J:$O,6,0),0)</f>
        <v>0</v>
      </c>
      <c r="AJ36" s="3">
        <f>IFERROR(VLOOKUP(AH36,'Factory Log'!$J:$P,7,0),0)</f>
        <v>0</v>
      </c>
      <c r="AK36" s="3">
        <f>IFERROR(VLOOKUP(AH36,'Factory Log'!$J:$Q,8,0),0)</f>
        <v>0</v>
      </c>
      <c r="AL36" s="58">
        <f>SUMIFS('Factory Log'!$D:$D,'Factory Log'!$B:$B,Performance!AH$1,'Factory Log'!$J:$J,Performance!AH36,'Factory Log'!$C:$C,"Running")+SUMIFS('Factory Log'!$D:$D,'Factory Log'!$B:$B,Performance!AH$1,'Factory Log'!$J:$J,Performance!AH36,'Factory Log'!$C:$C,"Make Ready")+SUMIFS('Factory Log'!$D:$D,'Factory Log'!$B:$B,Performance!AH$1,'Factory Log'!$J:$J,Performance!AH36,'Factory Log'!$C:$C,"Roll Change")</f>
        <v>0</v>
      </c>
      <c r="AM36" s="3">
        <f>SUMIFS('Factory Log'!$M:$M,'Factory Log'!$B:$B,Performance!AH$1,'Factory Log'!$J:$J,Performance!AH36,'Factory Log'!$C:$C,"Running")</f>
        <v>0</v>
      </c>
      <c r="AN36" s="58" cm="1">
        <f t="array" ref="AN36">IFERROR(INDEX('Factory Log'!$S:$S,MATCH(1,(Performance!AH$1='Factory Log'!$B:$B)*(Performance!AH36='Factory Log'!$A:$A),0)),0)</f>
        <v>0</v>
      </c>
      <c r="AO36" s="3">
        <f>IFERROR(VLOOKUP(AH36,'Factory Log'!$J:$R,9,0),0)</f>
        <v>0</v>
      </c>
      <c r="AP36" s="64">
        <f t="shared" si="6"/>
        <v>0</v>
      </c>
      <c r="AQ36" s="58">
        <f t="shared" si="7"/>
        <v>0</v>
      </c>
      <c r="AT36" s="3">
        <f>IFERROR(VLOOKUP(AS36,'Factory Log'!$J:$O,6,0),0)</f>
        <v>0</v>
      </c>
      <c r="AU36" s="3">
        <f>IFERROR(VLOOKUP(AS36,'Factory Log'!$J:$P,7,0),0)</f>
        <v>0</v>
      </c>
      <c r="AV36" s="3">
        <f>IFERROR(VLOOKUP(AS36,'Factory Log'!$J:$Q,8,0),0)</f>
        <v>0</v>
      </c>
      <c r="AW36" s="58">
        <f>SUMIFS('Factory Log'!$D:$D,'Factory Log'!$B:$B,Performance!AS$1,'Factory Log'!$J:$J,Performance!AS36,'Factory Log'!$C:$C,"Running")+SUMIFS('Factory Log'!$D:$D,'Factory Log'!$B:$B,Performance!AS$1,'Factory Log'!$J:$J,Performance!AS36,'Factory Log'!$C:$C,"Make Ready")+SUMIFS('Factory Log'!$D:$D,'Factory Log'!$B:$B,Performance!AS$1,'Factory Log'!$J:$J,Performance!AS36,'Factory Log'!$C:$C,"Roll Change")</f>
        <v>0</v>
      </c>
      <c r="AX36" s="3">
        <f>SUMIFS('Factory Log'!$M:$M,'Factory Log'!$B:$B,Performance!AS$1,'Factory Log'!$J:$J,Performance!AS36,'Factory Log'!$C:$C,"Running")</f>
        <v>0</v>
      </c>
      <c r="AY36" s="58" cm="1">
        <f t="array" ref="AY36">IFERROR(INDEX('Factory Log'!$S:$S,MATCH(1,(Performance!AS$1='Factory Log'!$B:$B)*(Performance!AS36='Factory Log'!$A:$A),0)),0)</f>
        <v>0</v>
      </c>
      <c r="AZ36" s="3">
        <f>IFERROR(VLOOKUP(AS36,'Factory Log'!$J:$R,9,0),0)</f>
        <v>0</v>
      </c>
      <c r="BA36" s="64">
        <f t="shared" si="8"/>
        <v>0</v>
      </c>
      <c r="BB36" s="58">
        <f t="shared" si="9"/>
        <v>0</v>
      </c>
      <c r="BE36" s="3">
        <f>IFERROR(VLOOKUP(BD36,'Factory Log'!$J:$O,6,0),0)</f>
        <v>0</v>
      </c>
      <c r="BF36" s="3">
        <f>IFERROR(VLOOKUP(BD36,'Factory Log'!$J:$P,7,0),0)</f>
        <v>0</v>
      </c>
      <c r="BG36" s="3">
        <f>IFERROR(VLOOKUP(BD36,'Factory Log'!$J:$Q,8,0),0)</f>
        <v>0</v>
      </c>
      <c r="BH36" s="58">
        <f>SUMIFS('Factory Log'!$D:$D,'Factory Log'!$B:$B,Performance!BD$1,'Factory Log'!$J:$J,Performance!BD36,'Factory Log'!$C:$C,"Running")+SUMIFS('Factory Log'!$D:$D,'Factory Log'!$B:$B,Performance!BD$1,'Factory Log'!$J:$J,Performance!BD36,'Factory Log'!$C:$C,"Make Ready")+SUMIFS('Factory Log'!$D:$D,'Factory Log'!$B:$B,Performance!BD$1,'Factory Log'!$J:$J,Performance!BD36,'Factory Log'!$C:$C,"Roll Change")</f>
        <v>0</v>
      </c>
      <c r="BI36" s="3">
        <f>SUMIFS('Factory Log'!$M:$M,'Factory Log'!$B:$B,Performance!BD$1,'Factory Log'!$J:$J,Performance!BD36,'Factory Log'!$C:$C,"Running")</f>
        <v>0</v>
      </c>
      <c r="BJ36" s="58" cm="1">
        <f t="array" ref="BJ36">IFERROR(INDEX('Factory Log'!$S:$S,MATCH(1,(Performance!BD$1='Factory Log'!$B:$B)*(Performance!BD36='Factory Log'!$A:$A),0)),0)</f>
        <v>0</v>
      </c>
      <c r="BK36" s="3">
        <f>IFERROR(VLOOKUP(BD36,'Factory Log'!$J:$R,9,0),0)</f>
        <v>0</v>
      </c>
      <c r="BL36" s="64">
        <f t="shared" si="10"/>
        <v>0</v>
      </c>
      <c r="BM36" s="58">
        <f t="shared" si="11"/>
        <v>0</v>
      </c>
      <c r="BP36" s="3">
        <f>IFERROR(VLOOKUP(BO36,'Factory Log'!$J:$O,6,0),0)</f>
        <v>0</v>
      </c>
      <c r="BQ36" s="3">
        <f>IFERROR(VLOOKUP(BO36,'Factory Log'!$J:$P,7,0),0)</f>
        <v>0</v>
      </c>
      <c r="BR36" s="3">
        <f>IFERROR(VLOOKUP(BO36,'Factory Log'!$J:$Q,8,0),0)</f>
        <v>0</v>
      </c>
      <c r="BS36" s="58">
        <f>SUMIFS('Factory Log'!$D:$D,'Factory Log'!$B:$B,Performance!BO$1,'Factory Log'!$J:$J,Performance!BO36,'Factory Log'!$C:$C,"Running")+SUMIFS('Factory Log'!$D:$D,'Factory Log'!$B:$B,Performance!BO$1,'Factory Log'!$J:$J,Performance!BO36,'Factory Log'!$C:$C,"Make Ready")+SUMIFS('Factory Log'!$D:$D,'Factory Log'!$B:$B,Performance!BO$1,'Factory Log'!$J:$J,Performance!BO36,'Factory Log'!$C:$C,"Roll Change")</f>
        <v>0</v>
      </c>
      <c r="BT36" s="3">
        <f>SUMIFS('Factory Log'!$M:$M,'Factory Log'!$B:$B,Performance!BO$1,'Factory Log'!$J:$J,Performance!BO36,'Factory Log'!$C:$C,"Running")</f>
        <v>0</v>
      </c>
      <c r="BU36" s="58" cm="1">
        <f t="array" ref="BU36">IFERROR(INDEX('Factory Log'!$S:$S,MATCH(1,(Performance!BO$1='Factory Log'!$B:$B)*(Performance!BO36='Factory Log'!$A:$A),0)),0)</f>
        <v>0</v>
      </c>
      <c r="BV36" s="3">
        <f>IFERROR(VLOOKUP(BO36,'Factory Log'!$J:$R,9,0),0)</f>
        <v>0</v>
      </c>
      <c r="BW36" s="64">
        <f t="shared" si="12"/>
        <v>0</v>
      </c>
      <c r="BX36" s="58">
        <f t="shared" si="13"/>
        <v>0</v>
      </c>
      <c r="CA36" s="3">
        <f>IFERROR(VLOOKUP(BZ36,'Factory Log'!$J:$O,6,0),0)</f>
        <v>0</v>
      </c>
      <c r="CB36" s="3">
        <f>IFERROR(VLOOKUP(BZ36,'Factory Log'!$J:$P,7,0),0)</f>
        <v>0</v>
      </c>
      <c r="CC36" s="3">
        <f>IFERROR(VLOOKUP(BZ36,'Factory Log'!$J:$Q,8,0),0)</f>
        <v>0</v>
      </c>
      <c r="CD36" s="58">
        <f>SUMIFS('Factory Log'!$D:$D,'Factory Log'!$B:$B,Performance!BZ$1,'Factory Log'!$J:$J,Performance!BZ36,'Factory Log'!$C:$C,"Running")+SUMIFS('Factory Log'!$D:$D,'Factory Log'!$B:$B,Performance!BZ$1,'Factory Log'!$J:$J,Performance!BZ36,'Factory Log'!$C:$C,"Make Ready")+SUMIFS('Factory Log'!$D:$D,'Factory Log'!$B:$B,Performance!BZ$1,'Factory Log'!$J:$J,Performance!BZ36,'Factory Log'!$C:$C,"Roll Change")</f>
        <v>0</v>
      </c>
      <c r="CE36" s="3">
        <f>SUMIFS('Factory Log'!$M:$M,'Factory Log'!$B:$B,Performance!BZ$1,'Factory Log'!$J:$J,Performance!BZ36,'Factory Log'!$C:$C,"Running")</f>
        <v>0</v>
      </c>
      <c r="CF36" s="58" cm="1">
        <f t="array" ref="CF36">IFERROR(INDEX('Factory Log'!$S:$S,MATCH(1,(Performance!BZ$1='Factory Log'!$B:$B)*(Performance!BZ36='Factory Log'!$A:$A),0)),0)</f>
        <v>0</v>
      </c>
      <c r="CG36" s="3">
        <f>IFERROR(VLOOKUP(BZ36,'Factory Log'!$J:$R,9,0),0)</f>
        <v>0</v>
      </c>
      <c r="CH36" s="64">
        <f t="shared" si="14"/>
        <v>0</v>
      </c>
      <c r="CI36" s="58">
        <f t="shared" si="15"/>
        <v>0</v>
      </c>
      <c r="CL36" s="3">
        <f>IFERROR(VLOOKUP(CK36,'Factory Log'!$J:$O,6,0),0)</f>
        <v>0</v>
      </c>
      <c r="CM36" s="3">
        <f>IFERROR(VLOOKUP(CK36,'Factory Log'!$J:$P,7,0),0)</f>
        <v>0</v>
      </c>
      <c r="CN36" s="3">
        <f>IFERROR(VLOOKUP(CK36,'Factory Log'!$J:$Q,8,0),0)</f>
        <v>0</v>
      </c>
      <c r="CO36" s="58">
        <f>SUMIFS('Factory Log'!$D:$D,'Factory Log'!$B:$B,Performance!CK$1,'Factory Log'!$J:$J,Performance!CK36,'Factory Log'!$C:$C,"Running")+SUMIFS('Factory Log'!$D:$D,'Factory Log'!$B:$B,Performance!CK$1,'Factory Log'!$J:$J,Performance!CK36,'Factory Log'!$C:$C,"Make Ready")+SUMIFS('Factory Log'!$D:$D,'Factory Log'!$B:$B,Performance!CK$1,'Factory Log'!$J:$J,Performance!CK36,'Factory Log'!$C:$C,"Roll Change")</f>
        <v>0</v>
      </c>
      <c r="CP36" s="3">
        <f>SUMIFS('Factory Log'!$M:$M,'Factory Log'!$B:$B,Performance!CK$1,'Factory Log'!$J:$J,Performance!CK36,'Factory Log'!$C:$C,"Running")</f>
        <v>0</v>
      </c>
      <c r="CQ36" s="58" cm="1">
        <f t="array" ref="CQ36">IFERROR(INDEX('Factory Log'!$S:$S,MATCH(1,(Performance!CK$1='Factory Log'!$B:$B)*(Performance!CK36='Factory Log'!$A:$A),0)),0)</f>
        <v>0</v>
      </c>
      <c r="CR36" s="3">
        <f>IFERROR(VLOOKUP(CK36,'Factory Log'!$J:$R,9,0),0)</f>
        <v>0</v>
      </c>
      <c r="CS36" s="64">
        <f t="shared" si="16"/>
        <v>0</v>
      </c>
      <c r="CT36" s="58">
        <f t="shared" si="17"/>
        <v>0</v>
      </c>
      <c r="CW36" s="3">
        <f>IFERROR(VLOOKUP(CV36,'Factory Log'!$J:$O,6,0),0)</f>
        <v>0</v>
      </c>
      <c r="CX36" s="3">
        <f>IFERROR(VLOOKUP(CV36,'Factory Log'!$J:$P,7,0),0)</f>
        <v>0</v>
      </c>
      <c r="CY36" s="3">
        <f>IFERROR(VLOOKUP(CV36,'Factory Log'!$J:$Q,8,0),0)</f>
        <v>0</v>
      </c>
      <c r="CZ36" s="58">
        <f>SUMIFS('Factory Log'!$D:$D,'Factory Log'!$B:$B,Performance!CV$1,'Factory Log'!$J:$J,Performance!CV36,'Factory Log'!$C:$C,"Running")+SUMIFS('Factory Log'!$D:$D,'Factory Log'!$B:$B,Performance!CV$1,'Factory Log'!$J:$J,Performance!CV36,'Factory Log'!$C:$C,"Make Ready")+SUMIFS('Factory Log'!$D:$D,'Factory Log'!$B:$B,Performance!CV$1,'Factory Log'!$J:$J,Performance!CV36,'Factory Log'!$C:$C,"Roll Change")</f>
        <v>0</v>
      </c>
      <c r="DA36" s="3">
        <f>SUMIFS('Factory Log'!$M:$M,'Factory Log'!$B:$B,Performance!CV$1,'Factory Log'!$J:$J,Performance!CV36,'Factory Log'!$C:$C,"Running")</f>
        <v>0</v>
      </c>
      <c r="DB36" s="58" cm="1">
        <f t="array" ref="DB36">IFERROR(INDEX('Factory Log'!$S:$S,MATCH(1,(Performance!CV$1='Factory Log'!$B:$B)*(Performance!CV36='Factory Log'!$A:$A),0)),0)</f>
        <v>0</v>
      </c>
      <c r="DC36" s="3">
        <f>IFERROR(VLOOKUP(CV36,'Factory Log'!$J:$R,9,0),0)</f>
        <v>0</v>
      </c>
      <c r="DD36" s="64">
        <f t="shared" si="18"/>
        <v>0</v>
      </c>
      <c r="DE36" s="58">
        <f t="shared" si="19"/>
        <v>0</v>
      </c>
      <c r="DH36" s="3">
        <f>IFERROR(VLOOKUP(DG36,'Factory Log'!$J:$O,6,0),0)</f>
        <v>0</v>
      </c>
      <c r="DI36" s="3">
        <f>IFERROR(VLOOKUP(DG36,'Factory Log'!$J:$P,7,0),0)</f>
        <v>0</v>
      </c>
      <c r="DJ36" s="3">
        <f>IFERROR(VLOOKUP(DG36,'Factory Log'!$J:$Q,8,0),0)</f>
        <v>0</v>
      </c>
      <c r="DK36" s="58">
        <f>SUMIFS('Factory Log'!$D:$D,'Factory Log'!$B:$B,Performance!DG$1,'Factory Log'!$J:$J,Performance!DG36,'Factory Log'!$C:$C,"Running")+SUMIFS('Factory Log'!$D:$D,'Factory Log'!$B:$B,Performance!DG$1,'Factory Log'!$J:$J,Performance!DG36,'Factory Log'!$C:$C,"Make Ready")+SUMIFS('Factory Log'!$D:$D,'Factory Log'!$B:$B,Performance!DG$1,'Factory Log'!$J:$J,Performance!DG36,'Factory Log'!$C:$C,"Roll Change")</f>
        <v>0</v>
      </c>
      <c r="DL36" s="3">
        <f>SUMIFS('Factory Log'!$M:$M,'Factory Log'!$B:$B,Performance!DG$1,'Factory Log'!$J:$J,Performance!DG36,'Factory Log'!$C:$C,"Running")</f>
        <v>0</v>
      </c>
      <c r="DM36" s="58" cm="1">
        <f t="array" ref="DM36">IFERROR(INDEX('Factory Log'!$S:$S,MATCH(1,(Performance!DG$1='Factory Log'!$B:$B)*(Performance!DG36='Factory Log'!$A:$A),0)),0)</f>
        <v>0</v>
      </c>
      <c r="DN36" s="3">
        <f>IFERROR(VLOOKUP(DG36,'Factory Log'!$J:$R,9,0),0)</f>
        <v>0</v>
      </c>
      <c r="DO36" s="64">
        <f t="shared" si="20"/>
        <v>0</v>
      </c>
      <c r="DP36" s="58">
        <f t="shared" si="21"/>
        <v>0</v>
      </c>
      <c r="DS36" s="3">
        <f>IFERROR(VLOOKUP(DR36,'Factory Log'!$J:$O,6,0),0)</f>
        <v>0</v>
      </c>
      <c r="DT36" s="3">
        <f>IFERROR(VLOOKUP(DR36,'Factory Log'!$J:$P,7,0),0)</f>
        <v>0</v>
      </c>
      <c r="DU36" s="3">
        <f>IFERROR(VLOOKUP(DR36,'Factory Log'!$J:$Q,8,0),0)</f>
        <v>0</v>
      </c>
      <c r="DV36" s="58">
        <f>SUMIFS('Factory Log'!$D:$D,'Factory Log'!$B:$B,Performance!DR$1,'Factory Log'!$J:$J,Performance!DR36,'Factory Log'!$C:$C,"Running")+SUMIFS('Factory Log'!$D:$D,'Factory Log'!$B:$B,Performance!DR$1,'Factory Log'!$J:$J,Performance!DR36,'Factory Log'!$C:$C,"Make Ready")+SUMIFS('Factory Log'!$D:$D,'Factory Log'!$B:$B,Performance!DR$1,'Factory Log'!$J:$J,Performance!DR36,'Factory Log'!$C:$C,"Roll Change")</f>
        <v>0</v>
      </c>
      <c r="DW36" s="3">
        <f>SUMIFS('Factory Log'!$M:$M,'Factory Log'!$B:$B,Performance!DR$1,'Factory Log'!$J:$J,Performance!DR36,'Factory Log'!$C:$C,"Running")</f>
        <v>0</v>
      </c>
      <c r="DX36" s="58" cm="1">
        <f t="array" ref="DX36">IFERROR(INDEX('Factory Log'!$S:$S,MATCH(1,(Performance!DR$1='Factory Log'!$B:$B)*(Performance!DR36='Factory Log'!$A:$A),0)),0)</f>
        <v>0</v>
      </c>
      <c r="DY36" s="3">
        <f>IFERROR(VLOOKUP(DR36,'Factory Log'!$J:$R,9,0),0)</f>
        <v>0</v>
      </c>
      <c r="DZ36" s="64">
        <f t="shared" si="22"/>
        <v>0</v>
      </c>
      <c r="EA36" s="58">
        <f t="shared" si="23"/>
        <v>0</v>
      </c>
      <c r="ED36" s="3">
        <f>IFERROR(VLOOKUP(EC36,'Factory Log'!$J:$O,6,0),0)</f>
        <v>0</v>
      </c>
      <c r="EE36" s="3">
        <f>IFERROR(VLOOKUP(EC36,'Factory Log'!$J:$P,7,0),0)</f>
        <v>0</v>
      </c>
      <c r="EF36" s="3">
        <f>IFERROR(VLOOKUP(EC36,'Factory Log'!$J:$Q,8,0),0)</f>
        <v>0</v>
      </c>
      <c r="EG36" s="58">
        <f>SUMIFS('Factory Log'!$D:$D,'Factory Log'!$B:$B,Performance!EC$1,'Factory Log'!$J:$J,Performance!EC36,'Factory Log'!$C:$C,"Running")+SUMIFS('Factory Log'!$D:$D,'Factory Log'!$B:$B,Performance!EC$1,'Factory Log'!$J:$J,Performance!EC36,'Factory Log'!$C:$C,"Make Ready")+SUMIFS('Factory Log'!$D:$D,'Factory Log'!$B:$B,Performance!EC$1,'Factory Log'!$J:$J,Performance!EC36,'Factory Log'!$C:$C,"Roll Change")</f>
        <v>0</v>
      </c>
      <c r="EH36" s="3">
        <f>SUMIFS('Factory Log'!$M:$M,'Factory Log'!$B:$B,Performance!EC$1,'Factory Log'!$J:$J,Performance!EC36,'Factory Log'!$C:$C,"Running")</f>
        <v>0</v>
      </c>
      <c r="EI36" s="58" cm="1">
        <f t="array" ref="EI36">IFERROR(INDEX('Factory Log'!$S:$S,MATCH(1,(Performance!EC$1='Factory Log'!$B:$B)*(Performance!EC36='Factory Log'!$A:$A),0)),0)</f>
        <v>0</v>
      </c>
      <c r="EJ36" s="3">
        <f>IFERROR(VLOOKUP(EC36,'Factory Log'!$J:$R,9,0),0)</f>
        <v>0</v>
      </c>
      <c r="EK36" s="64">
        <f t="shared" si="24"/>
        <v>0</v>
      </c>
      <c r="EL36" s="58">
        <f t="shared" si="25"/>
        <v>0</v>
      </c>
      <c r="EO36" s="3">
        <f>IFERROR(VLOOKUP(EN36,'Factory Log'!$J:$O,6,0),0)</f>
        <v>0</v>
      </c>
      <c r="EP36" s="3">
        <f>IFERROR(VLOOKUP(EN36,'Factory Log'!$J:$P,7,0),0)</f>
        <v>0</v>
      </c>
      <c r="EQ36" s="3">
        <f>IFERROR(VLOOKUP(EN36,'Factory Log'!$J:$Q,8,0),0)</f>
        <v>0</v>
      </c>
      <c r="ER36" s="58">
        <f>SUMIFS('Factory Log'!$D:$D,'Factory Log'!$B:$B,Performance!EN$1,'Factory Log'!$J:$J,Performance!EN36,'Factory Log'!$C:$C,"Running")+SUMIFS('Factory Log'!$D:$D,'Factory Log'!$B:$B,Performance!EN$1,'Factory Log'!$J:$J,Performance!EN36,'Factory Log'!$C:$C,"Make Ready")+SUMIFS('Factory Log'!$D:$D,'Factory Log'!$B:$B,Performance!EN$1,'Factory Log'!$J:$J,Performance!EN36,'Factory Log'!$C:$C,"Roll Change")</f>
        <v>0</v>
      </c>
      <c r="ES36" s="3">
        <f>SUMIFS('Factory Log'!$M:$M,'Factory Log'!$B:$B,Performance!EN$1,'Factory Log'!$J:$J,Performance!EN36,'Factory Log'!$C:$C,"Running")</f>
        <v>0</v>
      </c>
      <c r="ET36" s="58" cm="1">
        <f t="array" ref="ET36">IFERROR(INDEX('Factory Log'!$S:$S,MATCH(1,(Performance!EN$1='Factory Log'!$B:$B)*(Performance!EN36='Factory Log'!$A:$A),0)),0)</f>
        <v>0</v>
      </c>
      <c r="EU36" s="3">
        <f>IFERROR(VLOOKUP(EN36,'Factory Log'!$J:$R,9,0),0)</f>
        <v>0</v>
      </c>
      <c r="EV36" s="64">
        <f t="shared" si="26"/>
        <v>0</v>
      </c>
      <c r="EW36" s="58">
        <f t="shared" si="27"/>
        <v>0</v>
      </c>
      <c r="EZ36" s="3">
        <f>IFERROR(VLOOKUP(EY36,'Factory Log'!$J:$O,6,0),0)</f>
        <v>0</v>
      </c>
      <c r="FA36" s="3">
        <f>IFERROR(VLOOKUP(EY36,'Factory Log'!$J:$P,7,0),0)</f>
        <v>0</v>
      </c>
      <c r="FB36" s="3">
        <f>IFERROR(VLOOKUP(EY36,'Factory Log'!$J:$Q,8,0),0)</f>
        <v>0</v>
      </c>
      <c r="FC36" s="58">
        <f>SUMIFS('Factory Log'!$D:$D,'Factory Log'!$B:$B,Performance!EY$1,'Factory Log'!$J:$J,Performance!EY36,'Factory Log'!$C:$C,"Running")+SUMIFS('Factory Log'!$D:$D,'Factory Log'!$B:$B,Performance!EY$1,'Factory Log'!$J:$J,Performance!EY36,'Factory Log'!$C:$C,"Make Ready")+SUMIFS('Factory Log'!$D:$D,'Factory Log'!$B:$B,Performance!EY$1,'Factory Log'!$J:$J,Performance!EY36,'Factory Log'!$C:$C,"Roll Change")</f>
        <v>0</v>
      </c>
      <c r="FD36" s="3">
        <f>SUMIFS('Factory Log'!$M:$M,'Factory Log'!$B:$B,Performance!EY$1,'Factory Log'!$J:$J,Performance!EY36,'Factory Log'!$C:$C,"Running")</f>
        <v>0</v>
      </c>
      <c r="FE36" s="58" cm="1">
        <f t="array" ref="FE36">IFERROR(INDEX('Factory Log'!$S:$S,MATCH(1,(Performance!EY$1='Factory Log'!$B:$B)*(Performance!EY36='Factory Log'!$A:$A),0)),0)</f>
        <v>0</v>
      </c>
      <c r="FF36" s="3">
        <f>IFERROR(VLOOKUP(EY36,'Factory Log'!$J:$R,9,0),0)</f>
        <v>0</v>
      </c>
      <c r="FG36" s="64">
        <f t="shared" si="28"/>
        <v>0</v>
      </c>
      <c r="FH36" s="58">
        <f t="shared" si="29"/>
        <v>0</v>
      </c>
    </row>
    <row r="37" spans="2:164" ht="16" customHeight="1" x14ac:dyDescent="0.2">
      <c r="B37" s="3">
        <f>IFERROR(VLOOKUP(A37,'Factory Log'!$J:$O,6,0),0)</f>
        <v>0</v>
      </c>
      <c r="C37" s="3">
        <f>IFERROR(VLOOKUP(A37,'Factory Log'!$J:$P,7,0),0)</f>
        <v>0</v>
      </c>
      <c r="D37" s="3">
        <f>IFERROR(VLOOKUP(A37,'Factory Log'!$J:$Q,8,0),0)</f>
        <v>0</v>
      </c>
      <c r="E37" s="58">
        <f>SUMIFS('Factory Log'!$D:$D,'Factory Log'!$B:$B,Performance!A$1,'Factory Log'!$J:$J,Performance!A37,'Factory Log'!$C:$C,"Running")+SUMIFS('Factory Log'!$D:$D,'Factory Log'!$B:$B,Performance!A$1,'Factory Log'!$J:$J,Performance!A37,'Factory Log'!$C:$C,"Make Ready")+SUMIFS('Factory Log'!$D:$D,'Factory Log'!$B:$B,Performance!A$1,'Factory Log'!$J:$J,Performance!A37,'Factory Log'!$C:$C,"Roll Change")</f>
        <v>0</v>
      </c>
      <c r="F37" s="3">
        <f>SUMIFS('Factory Log'!$M:$M,'Factory Log'!$B:$B,Performance!A$1,'Factory Log'!$J:$J,Performance!A37,'Factory Log'!$C:$C,"Running")</f>
        <v>0</v>
      </c>
      <c r="G37" s="58" cm="1">
        <f t="array" ref="G37">IFERROR(INDEX('Factory Log'!$S:$S,MATCH(1,(Performance!A$1='Factory Log'!$B:$B)*(Performance!A37='Factory Log'!$A:$A),0)),0)</f>
        <v>0</v>
      </c>
      <c r="H37" s="3">
        <f>IFERROR(VLOOKUP(A37,'Factory Log'!$J:$R,9,0),0)</f>
        <v>0</v>
      </c>
      <c r="I37" s="64">
        <f t="shared" si="1"/>
        <v>0</v>
      </c>
      <c r="J37" s="58">
        <f t="shared" si="30"/>
        <v>0</v>
      </c>
      <c r="M37" s="3">
        <f>IFERROR(VLOOKUP(L37,'Factory Log'!$J:$O,6,0),0)</f>
        <v>0</v>
      </c>
      <c r="N37" s="3">
        <f>IFERROR(VLOOKUP(L37,'Factory Log'!$J:$P,7,0),0)</f>
        <v>0</v>
      </c>
      <c r="O37" s="3">
        <f>IFERROR(VLOOKUP(L37,'Factory Log'!$J:$Q,8,0),0)</f>
        <v>0</v>
      </c>
      <c r="P37" s="58">
        <f>SUMIFS('Factory Log'!$D:$D,'Factory Log'!$B:$B,Performance!L$1,'Factory Log'!$J:$J,Performance!L37,'Factory Log'!$C:$C,"Running")+SUMIFS('Factory Log'!$D:$D,'Factory Log'!$B:$B,Performance!L$1,'Factory Log'!$J:$J,Performance!L37,'Factory Log'!$C:$C,"Make Ready")+SUMIFS('Factory Log'!$D:$D,'Factory Log'!$B:$B,Performance!L$1,'Factory Log'!$J:$J,Performance!L37,'Factory Log'!$C:$C,"Roll Change")</f>
        <v>0</v>
      </c>
      <c r="Q37" s="3">
        <f>SUMIFS('Factory Log'!$M:$M,'Factory Log'!$B:$B,Performance!L$1,'Factory Log'!$J:$J,Performance!L37,'Factory Log'!$C:$C,"Running")</f>
        <v>0</v>
      </c>
      <c r="R37" s="58" cm="1">
        <f t="array" ref="R37">IFERROR(INDEX('Factory Log'!$S:$S,MATCH(1,(Performance!L$1='Factory Log'!$B:$B)*(Performance!L37='Factory Log'!$A:$A),0)),0)</f>
        <v>0</v>
      </c>
      <c r="S37" s="3">
        <f>IFERROR(VLOOKUP(L37,'Factory Log'!$J:$R,9,0),0)</f>
        <v>0</v>
      </c>
      <c r="T37" s="64">
        <f t="shared" si="2"/>
        <v>0</v>
      </c>
      <c r="U37" s="58">
        <f t="shared" si="31"/>
        <v>0</v>
      </c>
      <c r="X37" s="3">
        <f>IFERROR(VLOOKUP(W37,'Factory Log'!$J:$O,6,0),0)</f>
        <v>0</v>
      </c>
      <c r="Y37" s="3">
        <f>IFERROR(VLOOKUP(W37,'Factory Log'!$J:$P,7,0),0)</f>
        <v>0</v>
      </c>
      <c r="Z37" s="3">
        <f>IFERROR(VLOOKUP(W37,'Factory Log'!$J:$Q,8,0),0)</f>
        <v>0</v>
      </c>
      <c r="AA37" s="58">
        <f>SUMIFS('Factory Log'!$D:$D,'Factory Log'!$B:$B,Performance!W$1,'Factory Log'!$J:$J,Performance!W37,'Factory Log'!$C:$C,"Running")+SUMIFS('Factory Log'!$D:$D,'Factory Log'!$B:$B,Performance!W$1,'Factory Log'!$J:$J,Performance!W37,'Factory Log'!$C:$C,"Make Ready")+SUMIFS('Factory Log'!$D:$D,'Factory Log'!$B:$B,Performance!W$1,'Factory Log'!$J:$J,Performance!W37,'Factory Log'!$C:$C,"Roll Change")</f>
        <v>0</v>
      </c>
      <c r="AB37" s="3">
        <f>SUMIFS('Factory Log'!$M:$M,'Factory Log'!$B:$B,Performance!W$1,'Factory Log'!$J:$J,Performance!W37,'Factory Log'!$C:$C,"Running")</f>
        <v>0</v>
      </c>
      <c r="AC37" s="58" cm="1">
        <f t="array" ref="AC37">IFERROR(INDEX('Factory Log'!$S:$S,MATCH(1,(Performance!W$1='Factory Log'!$B:$B)*(Performance!W37='Factory Log'!$A:$A),0)),0)</f>
        <v>0</v>
      </c>
      <c r="AD37" s="3">
        <f>IFERROR(VLOOKUP(W37,'Factory Log'!$J:$R,9,0),0)</f>
        <v>0</v>
      </c>
      <c r="AE37" s="64">
        <f t="shared" si="4"/>
        <v>0</v>
      </c>
      <c r="AF37" s="58">
        <f t="shared" si="33"/>
        <v>0</v>
      </c>
      <c r="AI37" s="3">
        <f>IFERROR(VLOOKUP(AH37,'Factory Log'!$J:$O,6,0),0)</f>
        <v>0</v>
      </c>
      <c r="AJ37" s="3">
        <f>IFERROR(VLOOKUP(AH37,'Factory Log'!$J:$P,7,0),0)</f>
        <v>0</v>
      </c>
      <c r="AK37" s="3">
        <f>IFERROR(VLOOKUP(AH37,'Factory Log'!$J:$Q,8,0),0)</f>
        <v>0</v>
      </c>
      <c r="AL37" s="58">
        <f>SUMIFS('Factory Log'!$D:$D,'Factory Log'!$B:$B,Performance!AH$1,'Factory Log'!$J:$J,Performance!AH37,'Factory Log'!$C:$C,"Running")+SUMIFS('Factory Log'!$D:$D,'Factory Log'!$B:$B,Performance!AH$1,'Factory Log'!$J:$J,Performance!AH37,'Factory Log'!$C:$C,"Make Ready")+SUMIFS('Factory Log'!$D:$D,'Factory Log'!$B:$B,Performance!AH$1,'Factory Log'!$J:$J,Performance!AH37,'Factory Log'!$C:$C,"Roll Change")</f>
        <v>0</v>
      </c>
      <c r="AM37" s="3">
        <f>SUMIFS('Factory Log'!$M:$M,'Factory Log'!$B:$B,Performance!AH$1,'Factory Log'!$J:$J,Performance!AH37,'Factory Log'!$C:$C,"Running")</f>
        <v>0</v>
      </c>
      <c r="AN37" s="58" cm="1">
        <f t="array" ref="AN37">IFERROR(INDEX('Factory Log'!$S:$S,MATCH(1,(Performance!AH$1='Factory Log'!$B:$B)*(Performance!AH37='Factory Log'!$A:$A),0)),0)</f>
        <v>0</v>
      </c>
      <c r="AO37" s="3">
        <f>IFERROR(VLOOKUP(AH37,'Factory Log'!$J:$R,9,0),0)</f>
        <v>0</v>
      </c>
      <c r="AP37" s="64">
        <f t="shared" si="6"/>
        <v>0</v>
      </c>
      <c r="AQ37" s="58">
        <f t="shared" si="7"/>
        <v>0</v>
      </c>
      <c r="AT37" s="3">
        <f>IFERROR(VLOOKUP(AS37,'Factory Log'!$J:$O,6,0),0)</f>
        <v>0</v>
      </c>
      <c r="AU37" s="3">
        <f>IFERROR(VLOOKUP(AS37,'Factory Log'!$J:$P,7,0),0)</f>
        <v>0</v>
      </c>
      <c r="AV37" s="3">
        <f>IFERROR(VLOOKUP(AS37,'Factory Log'!$J:$Q,8,0),0)</f>
        <v>0</v>
      </c>
      <c r="AW37" s="58">
        <f>SUMIFS('Factory Log'!$D:$D,'Factory Log'!$B:$B,Performance!AS$1,'Factory Log'!$J:$J,Performance!AS37,'Factory Log'!$C:$C,"Running")+SUMIFS('Factory Log'!$D:$D,'Factory Log'!$B:$B,Performance!AS$1,'Factory Log'!$J:$J,Performance!AS37,'Factory Log'!$C:$C,"Make Ready")+SUMIFS('Factory Log'!$D:$D,'Factory Log'!$B:$B,Performance!AS$1,'Factory Log'!$J:$J,Performance!AS37,'Factory Log'!$C:$C,"Roll Change")</f>
        <v>0</v>
      </c>
      <c r="AX37" s="3">
        <f>SUMIFS('Factory Log'!$M:$M,'Factory Log'!$B:$B,Performance!AS$1,'Factory Log'!$J:$J,Performance!AS37,'Factory Log'!$C:$C,"Running")</f>
        <v>0</v>
      </c>
      <c r="AY37" s="58" cm="1">
        <f t="array" ref="AY37">IFERROR(INDEX('Factory Log'!$S:$S,MATCH(1,(Performance!AS$1='Factory Log'!$B:$B)*(Performance!AS37='Factory Log'!$A:$A),0)),0)</f>
        <v>0</v>
      </c>
      <c r="AZ37" s="3">
        <f>IFERROR(VLOOKUP(AS37,'Factory Log'!$J:$R,9,0),0)</f>
        <v>0</v>
      </c>
      <c r="BA37" s="64">
        <f t="shared" si="8"/>
        <v>0</v>
      </c>
      <c r="BB37" s="58">
        <f t="shared" si="9"/>
        <v>0</v>
      </c>
      <c r="BE37" s="3">
        <f>IFERROR(VLOOKUP(BD37,'Factory Log'!$J:$O,6,0),0)</f>
        <v>0</v>
      </c>
      <c r="BF37" s="3">
        <f>IFERROR(VLOOKUP(BD37,'Factory Log'!$J:$P,7,0),0)</f>
        <v>0</v>
      </c>
      <c r="BG37" s="3">
        <f>IFERROR(VLOOKUP(BD37,'Factory Log'!$J:$Q,8,0),0)</f>
        <v>0</v>
      </c>
      <c r="BH37" s="58">
        <f>SUMIFS('Factory Log'!$D:$D,'Factory Log'!$B:$B,Performance!BD$1,'Factory Log'!$J:$J,Performance!BD37,'Factory Log'!$C:$C,"Running")+SUMIFS('Factory Log'!$D:$D,'Factory Log'!$B:$B,Performance!BD$1,'Factory Log'!$J:$J,Performance!BD37,'Factory Log'!$C:$C,"Make Ready")+SUMIFS('Factory Log'!$D:$D,'Factory Log'!$B:$B,Performance!BD$1,'Factory Log'!$J:$J,Performance!BD37,'Factory Log'!$C:$C,"Roll Change")</f>
        <v>0</v>
      </c>
      <c r="BI37" s="3">
        <f>SUMIFS('Factory Log'!$M:$M,'Factory Log'!$B:$B,Performance!BD$1,'Factory Log'!$J:$J,Performance!BD37,'Factory Log'!$C:$C,"Running")</f>
        <v>0</v>
      </c>
      <c r="BJ37" s="58" cm="1">
        <f t="array" ref="BJ37">IFERROR(INDEX('Factory Log'!$S:$S,MATCH(1,(Performance!BD$1='Factory Log'!$B:$B)*(Performance!BD37='Factory Log'!$A:$A),0)),0)</f>
        <v>0</v>
      </c>
      <c r="BK37" s="3">
        <f>IFERROR(VLOOKUP(BD37,'Factory Log'!$J:$R,9,0),0)</f>
        <v>0</v>
      </c>
      <c r="BL37" s="64">
        <f t="shared" si="10"/>
        <v>0</v>
      </c>
      <c r="BM37" s="58">
        <f t="shared" si="11"/>
        <v>0</v>
      </c>
      <c r="BP37" s="3">
        <f>IFERROR(VLOOKUP(BO37,'Factory Log'!$J:$O,6,0),0)</f>
        <v>0</v>
      </c>
      <c r="BQ37" s="3">
        <f>IFERROR(VLOOKUP(BO37,'Factory Log'!$J:$P,7,0),0)</f>
        <v>0</v>
      </c>
      <c r="BR37" s="3">
        <f>IFERROR(VLOOKUP(BO37,'Factory Log'!$J:$Q,8,0),0)</f>
        <v>0</v>
      </c>
      <c r="BS37" s="58">
        <f>SUMIFS('Factory Log'!$D:$D,'Factory Log'!$B:$B,Performance!BO$1,'Factory Log'!$J:$J,Performance!BO37,'Factory Log'!$C:$C,"Running")+SUMIFS('Factory Log'!$D:$D,'Factory Log'!$B:$B,Performance!BO$1,'Factory Log'!$J:$J,Performance!BO37,'Factory Log'!$C:$C,"Make Ready")+SUMIFS('Factory Log'!$D:$D,'Factory Log'!$B:$B,Performance!BO$1,'Factory Log'!$J:$J,Performance!BO37,'Factory Log'!$C:$C,"Roll Change")</f>
        <v>0</v>
      </c>
      <c r="BT37" s="3">
        <f>SUMIFS('Factory Log'!$M:$M,'Factory Log'!$B:$B,Performance!BO$1,'Factory Log'!$J:$J,Performance!BO37,'Factory Log'!$C:$C,"Running")</f>
        <v>0</v>
      </c>
      <c r="BU37" s="58" cm="1">
        <f t="array" ref="BU37">IFERROR(INDEX('Factory Log'!$S:$S,MATCH(1,(Performance!BO$1='Factory Log'!$B:$B)*(Performance!BO37='Factory Log'!$A:$A),0)),0)</f>
        <v>0</v>
      </c>
      <c r="BV37" s="3">
        <f>IFERROR(VLOOKUP(BO37,'Factory Log'!$J:$R,9,0),0)</f>
        <v>0</v>
      </c>
      <c r="BW37" s="64">
        <f t="shared" si="12"/>
        <v>0</v>
      </c>
      <c r="BX37" s="58">
        <f t="shared" si="13"/>
        <v>0</v>
      </c>
      <c r="CA37" s="3">
        <f>IFERROR(VLOOKUP(BZ37,'Factory Log'!$J:$O,6,0),0)</f>
        <v>0</v>
      </c>
      <c r="CB37" s="3">
        <f>IFERROR(VLOOKUP(BZ37,'Factory Log'!$J:$P,7,0),0)</f>
        <v>0</v>
      </c>
      <c r="CC37" s="3">
        <f>IFERROR(VLOOKUP(BZ37,'Factory Log'!$J:$Q,8,0),0)</f>
        <v>0</v>
      </c>
      <c r="CD37" s="58">
        <f>SUMIFS('Factory Log'!$D:$D,'Factory Log'!$B:$B,Performance!BZ$1,'Factory Log'!$J:$J,Performance!BZ37,'Factory Log'!$C:$C,"Running")+SUMIFS('Factory Log'!$D:$D,'Factory Log'!$B:$B,Performance!BZ$1,'Factory Log'!$J:$J,Performance!BZ37,'Factory Log'!$C:$C,"Make Ready")+SUMIFS('Factory Log'!$D:$D,'Factory Log'!$B:$B,Performance!BZ$1,'Factory Log'!$J:$J,Performance!BZ37,'Factory Log'!$C:$C,"Roll Change")</f>
        <v>0</v>
      </c>
      <c r="CE37" s="3">
        <f>SUMIFS('Factory Log'!$M:$M,'Factory Log'!$B:$B,Performance!BZ$1,'Factory Log'!$J:$J,Performance!BZ37,'Factory Log'!$C:$C,"Running")</f>
        <v>0</v>
      </c>
      <c r="CF37" s="58" cm="1">
        <f t="array" ref="CF37">IFERROR(INDEX('Factory Log'!$S:$S,MATCH(1,(Performance!BZ$1='Factory Log'!$B:$B)*(Performance!BZ37='Factory Log'!$A:$A),0)),0)</f>
        <v>0</v>
      </c>
      <c r="CG37" s="3">
        <f>IFERROR(VLOOKUP(BZ37,'Factory Log'!$J:$R,9,0),0)</f>
        <v>0</v>
      </c>
      <c r="CH37" s="64">
        <f t="shared" si="14"/>
        <v>0</v>
      </c>
      <c r="CI37" s="58">
        <f t="shared" si="15"/>
        <v>0</v>
      </c>
      <c r="CL37" s="3">
        <f>IFERROR(VLOOKUP(CK37,'Factory Log'!$J:$O,6,0),0)</f>
        <v>0</v>
      </c>
      <c r="CM37" s="3">
        <f>IFERROR(VLOOKUP(CK37,'Factory Log'!$J:$P,7,0),0)</f>
        <v>0</v>
      </c>
      <c r="CN37" s="3">
        <f>IFERROR(VLOOKUP(CK37,'Factory Log'!$J:$Q,8,0),0)</f>
        <v>0</v>
      </c>
      <c r="CO37" s="58">
        <f>SUMIFS('Factory Log'!$D:$D,'Factory Log'!$B:$B,Performance!CK$1,'Factory Log'!$J:$J,Performance!CK37,'Factory Log'!$C:$C,"Running")+SUMIFS('Factory Log'!$D:$D,'Factory Log'!$B:$B,Performance!CK$1,'Factory Log'!$J:$J,Performance!CK37,'Factory Log'!$C:$C,"Make Ready")+SUMIFS('Factory Log'!$D:$D,'Factory Log'!$B:$B,Performance!CK$1,'Factory Log'!$J:$J,Performance!CK37,'Factory Log'!$C:$C,"Roll Change")</f>
        <v>0</v>
      </c>
      <c r="CP37" s="3">
        <f>SUMIFS('Factory Log'!$M:$M,'Factory Log'!$B:$B,Performance!CK$1,'Factory Log'!$J:$J,Performance!CK37,'Factory Log'!$C:$C,"Running")</f>
        <v>0</v>
      </c>
      <c r="CQ37" s="58" cm="1">
        <f t="array" ref="CQ37">IFERROR(INDEX('Factory Log'!$S:$S,MATCH(1,(Performance!CK$1='Factory Log'!$B:$B)*(Performance!CK37='Factory Log'!$A:$A),0)),0)</f>
        <v>0</v>
      </c>
      <c r="CR37" s="3">
        <f>IFERROR(VLOOKUP(CK37,'Factory Log'!$J:$R,9,0),0)</f>
        <v>0</v>
      </c>
      <c r="CS37" s="64">
        <f t="shared" si="16"/>
        <v>0</v>
      </c>
      <c r="CT37" s="58">
        <f t="shared" si="17"/>
        <v>0</v>
      </c>
      <c r="CW37" s="3">
        <f>IFERROR(VLOOKUP(CV37,'Factory Log'!$J:$O,6,0),0)</f>
        <v>0</v>
      </c>
      <c r="CX37" s="3">
        <f>IFERROR(VLOOKUP(CV37,'Factory Log'!$J:$P,7,0),0)</f>
        <v>0</v>
      </c>
      <c r="CY37" s="3">
        <f>IFERROR(VLOOKUP(CV37,'Factory Log'!$J:$Q,8,0),0)</f>
        <v>0</v>
      </c>
      <c r="CZ37" s="58">
        <f>SUMIFS('Factory Log'!$D:$D,'Factory Log'!$B:$B,Performance!CV$1,'Factory Log'!$J:$J,Performance!CV37,'Factory Log'!$C:$C,"Running")+SUMIFS('Factory Log'!$D:$D,'Factory Log'!$B:$B,Performance!CV$1,'Factory Log'!$J:$J,Performance!CV37,'Factory Log'!$C:$C,"Make Ready")+SUMIFS('Factory Log'!$D:$D,'Factory Log'!$B:$B,Performance!CV$1,'Factory Log'!$J:$J,Performance!CV37,'Factory Log'!$C:$C,"Roll Change")</f>
        <v>0</v>
      </c>
      <c r="DA37" s="3">
        <f>SUMIFS('Factory Log'!$M:$M,'Factory Log'!$B:$B,Performance!CV$1,'Factory Log'!$J:$J,Performance!CV37,'Factory Log'!$C:$C,"Running")</f>
        <v>0</v>
      </c>
      <c r="DB37" s="58" cm="1">
        <f t="array" ref="DB37">IFERROR(INDEX('Factory Log'!$S:$S,MATCH(1,(Performance!CV$1='Factory Log'!$B:$B)*(Performance!CV37='Factory Log'!$A:$A),0)),0)</f>
        <v>0</v>
      </c>
      <c r="DC37" s="3">
        <f>IFERROR(VLOOKUP(CV37,'Factory Log'!$J:$R,9,0),0)</f>
        <v>0</v>
      </c>
      <c r="DD37" s="64">
        <f t="shared" si="18"/>
        <v>0</v>
      </c>
      <c r="DE37" s="58">
        <f t="shared" si="19"/>
        <v>0</v>
      </c>
      <c r="DH37" s="3">
        <f>IFERROR(VLOOKUP(DG37,'Factory Log'!$J:$O,6,0),0)</f>
        <v>0</v>
      </c>
      <c r="DI37" s="3">
        <f>IFERROR(VLOOKUP(DG37,'Factory Log'!$J:$P,7,0),0)</f>
        <v>0</v>
      </c>
      <c r="DJ37" s="3">
        <f>IFERROR(VLOOKUP(DG37,'Factory Log'!$J:$Q,8,0),0)</f>
        <v>0</v>
      </c>
      <c r="DK37" s="58">
        <f>SUMIFS('Factory Log'!$D:$D,'Factory Log'!$B:$B,Performance!DG$1,'Factory Log'!$J:$J,Performance!DG37,'Factory Log'!$C:$C,"Running")+SUMIFS('Factory Log'!$D:$D,'Factory Log'!$B:$B,Performance!DG$1,'Factory Log'!$J:$J,Performance!DG37,'Factory Log'!$C:$C,"Make Ready")+SUMIFS('Factory Log'!$D:$D,'Factory Log'!$B:$B,Performance!DG$1,'Factory Log'!$J:$J,Performance!DG37,'Factory Log'!$C:$C,"Roll Change")</f>
        <v>0</v>
      </c>
      <c r="DL37" s="3">
        <f>SUMIFS('Factory Log'!$M:$M,'Factory Log'!$B:$B,Performance!DG$1,'Factory Log'!$J:$J,Performance!DG37,'Factory Log'!$C:$C,"Running")</f>
        <v>0</v>
      </c>
      <c r="DM37" s="58" cm="1">
        <f t="array" ref="DM37">IFERROR(INDEX('Factory Log'!$S:$S,MATCH(1,(Performance!DG$1='Factory Log'!$B:$B)*(Performance!DG37='Factory Log'!$A:$A),0)),0)</f>
        <v>0</v>
      </c>
      <c r="DN37" s="3">
        <f>IFERROR(VLOOKUP(DG37,'Factory Log'!$J:$R,9,0),0)</f>
        <v>0</v>
      </c>
      <c r="DO37" s="64">
        <f t="shared" si="20"/>
        <v>0</v>
      </c>
      <c r="DP37" s="58">
        <f t="shared" si="21"/>
        <v>0</v>
      </c>
      <c r="DS37" s="3">
        <f>IFERROR(VLOOKUP(DR37,'Factory Log'!$J:$O,6,0),0)</f>
        <v>0</v>
      </c>
      <c r="DT37" s="3">
        <f>IFERROR(VLOOKUP(DR37,'Factory Log'!$J:$P,7,0),0)</f>
        <v>0</v>
      </c>
      <c r="DU37" s="3">
        <f>IFERROR(VLOOKUP(DR37,'Factory Log'!$J:$Q,8,0),0)</f>
        <v>0</v>
      </c>
      <c r="DV37" s="58">
        <f>SUMIFS('Factory Log'!$D:$D,'Factory Log'!$B:$B,Performance!DR$1,'Factory Log'!$J:$J,Performance!DR37,'Factory Log'!$C:$C,"Running")+SUMIFS('Factory Log'!$D:$D,'Factory Log'!$B:$B,Performance!DR$1,'Factory Log'!$J:$J,Performance!DR37,'Factory Log'!$C:$C,"Make Ready")+SUMIFS('Factory Log'!$D:$D,'Factory Log'!$B:$B,Performance!DR$1,'Factory Log'!$J:$J,Performance!DR37,'Factory Log'!$C:$C,"Roll Change")</f>
        <v>0</v>
      </c>
      <c r="DW37" s="3">
        <f>SUMIFS('Factory Log'!$M:$M,'Factory Log'!$B:$B,Performance!DR$1,'Factory Log'!$J:$J,Performance!DR37,'Factory Log'!$C:$C,"Running")</f>
        <v>0</v>
      </c>
      <c r="DX37" s="58" cm="1">
        <f t="array" ref="DX37">IFERROR(INDEX('Factory Log'!$S:$S,MATCH(1,(Performance!DR$1='Factory Log'!$B:$B)*(Performance!DR37='Factory Log'!$A:$A),0)),0)</f>
        <v>0</v>
      </c>
      <c r="DY37" s="3">
        <f>IFERROR(VLOOKUP(DR37,'Factory Log'!$J:$R,9,0),0)</f>
        <v>0</v>
      </c>
      <c r="DZ37" s="64">
        <f t="shared" si="22"/>
        <v>0</v>
      </c>
      <c r="EA37" s="58">
        <f t="shared" si="23"/>
        <v>0</v>
      </c>
      <c r="ED37" s="3">
        <f>IFERROR(VLOOKUP(EC37,'Factory Log'!$J:$O,6,0),0)</f>
        <v>0</v>
      </c>
      <c r="EE37" s="3">
        <f>IFERROR(VLOOKUP(EC37,'Factory Log'!$J:$P,7,0),0)</f>
        <v>0</v>
      </c>
      <c r="EF37" s="3">
        <f>IFERROR(VLOOKUP(EC37,'Factory Log'!$J:$Q,8,0),0)</f>
        <v>0</v>
      </c>
      <c r="EG37" s="58">
        <f>SUMIFS('Factory Log'!$D:$D,'Factory Log'!$B:$B,Performance!EC$1,'Factory Log'!$J:$J,Performance!EC37,'Factory Log'!$C:$C,"Running")+SUMIFS('Factory Log'!$D:$D,'Factory Log'!$B:$B,Performance!EC$1,'Factory Log'!$J:$J,Performance!EC37,'Factory Log'!$C:$C,"Make Ready")+SUMIFS('Factory Log'!$D:$D,'Factory Log'!$B:$B,Performance!EC$1,'Factory Log'!$J:$J,Performance!EC37,'Factory Log'!$C:$C,"Roll Change")</f>
        <v>0</v>
      </c>
      <c r="EH37" s="3">
        <f>SUMIFS('Factory Log'!$M:$M,'Factory Log'!$B:$B,Performance!EC$1,'Factory Log'!$J:$J,Performance!EC37,'Factory Log'!$C:$C,"Running")</f>
        <v>0</v>
      </c>
      <c r="EI37" s="58" cm="1">
        <f t="array" ref="EI37">IFERROR(INDEX('Factory Log'!$S:$S,MATCH(1,(Performance!EC$1='Factory Log'!$B:$B)*(Performance!EC37='Factory Log'!$A:$A),0)),0)</f>
        <v>0</v>
      </c>
      <c r="EJ37" s="3">
        <f>IFERROR(VLOOKUP(EC37,'Factory Log'!$J:$R,9,0),0)</f>
        <v>0</v>
      </c>
      <c r="EK37" s="64">
        <f t="shared" si="24"/>
        <v>0</v>
      </c>
      <c r="EL37" s="58">
        <f t="shared" si="25"/>
        <v>0</v>
      </c>
      <c r="EO37" s="3">
        <f>IFERROR(VLOOKUP(EN37,'Factory Log'!$J:$O,6,0),0)</f>
        <v>0</v>
      </c>
      <c r="EP37" s="3">
        <f>IFERROR(VLOOKUP(EN37,'Factory Log'!$J:$P,7,0),0)</f>
        <v>0</v>
      </c>
      <c r="EQ37" s="3">
        <f>IFERROR(VLOOKUP(EN37,'Factory Log'!$J:$Q,8,0),0)</f>
        <v>0</v>
      </c>
      <c r="ER37" s="58">
        <f>SUMIFS('Factory Log'!$D:$D,'Factory Log'!$B:$B,Performance!EN$1,'Factory Log'!$J:$J,Performance!EN37,'Factory Log'!$C:$C,"Running")+SUMIFS('Factory Log'!$D:$D,'Factory Log'!$B:$B,Performance!EN$1,'Factory Log'!$J:$J,Performance!EN37,'Factory Log'!$C:$C,"Make Ready")+SUMIFS('Factory Log'!$D:$D,'Factory Log'!$B:$B,Performance!EN$1,'Factory Log'!$J:$J,Performance!EN37,'Factory Log'!$C:$C,"Roll Change")</f>
        <v>0</v>
      </c>
      <c r="ES37" s="3">
        <f>SUMIFS('Factory Log'!$M:$M,'Factory Log'!$B:$B,Performance!EN$1,'Factory Log'!$J:$J,Performance!EN37,'Factory Log'!$C:$C,"Running")</f>
        <v>0</v>
      </c>
      <c r="ET37" s="58" cm="1">
        <f t="array" ref="ET37">IFERROR(INDEX('Factory Log'!$S:$S,MATCH(1,(Performance!EN$1='Factory Log'!$B:$B)*(Performance!EN37='Factory Log'!$A:$A),0)),0)</f>
        <v>0</v>
      </c>
      <c r="EU37" s="3">
        <f>IFERROR(VLOOKUP(EN37,'Factory Log'!$J:$R,9,0),0)</f>
        <v>0</v>
      </c>
      <c r="EV37" s="64">
        <f t="shared" si="26"/>
        <v>0</v>
      </c>
      <c r="EW37" s="58">
        <f t="shared" si="27"/>
        <v>0</v>
      </c>
      <c r="EZ37" s="3">
        <f>IFERROR(VLOOKUP(EY37,'Factory Log'!$J:$O,6,0),0)</f>
        <v>0</v>
      </c>
      <c r="FA37" s="3">
        <f>IFERROR(VLOOKUP(EY37,'Factory Log'!$J:$P,7,0),0)</f>
        <v>0</v>
      </c>
      <c r="FB37" s="3">
        <f>IFERROR(VLOOKUP(EY37,'Factory Log'!$J:$Q,8,0),0)</f>
        <v>0</v>
      </c>
      <c r="FC37" s="58">
        <f>SUMIFS('Factory Log'!$D:$D,'Factory Log'!$B:$B,Performance!EY$1,'Factory Log'!$J:$J,Performance!EY37,'Factory Log'!$C:$C,"Running")+SUMIFS('Factory Log'!$D:$D,'Factory Log'!$B:$B,Performance!EY$1,'Factory Log'!$J:$J,Performance!EY37,'Factory Log'!$C:$C,"Make Ready")+SUMIFS('Factory Log'!$D:$D,'Factory Log'!$B:$B,Performance!EY$1,'Factory Log'!$J:$J,Performance!EY37,'Factory Log'!$C:$C,"Roll Change")</f>
        <v>0</v>
      </c>
      <c r="FD37" s="3">
        <f>SUMIFS('Factory Log'!$M:$M,'Factory Log'!$B:$B,Performance!EY$1,'Factory Log'!$J:$J,Performance!EY37,'Factory Log'!$C:$C,"Running")</f>
        <v>0</v>
      </c>
      <c r="FE37" s="58" cm="1">
        <f t="array" ref="FE37">IFERROR(INDEX('Factory Log'!$S:$S,MATCH(1,(Performance!EY$1='Factory Log'!$B:$B)*(Performance!EY37='Factory Log'!$A:$A),0)),0)</f>
        <v>0</v>
      </c>
      <c r="FF37" s="3">
        <f>IFERROR(VLOOKUP(EY37,'Factory Log'!$J:$R,9,0),0)</f>
        <v>0</v>
      </c>
      <c r="FG37" s="64">
        <f t="shared" si="28"/>
        <v>0</v>
      </c>
      <c r="FH37" s="58">
        <f t="shared" si="29"/>
        <v>0</v>
      </c>
    </row>
    <row r="38" spans="2:164" ht="16" customHeight="1" x14ac:dyDescent="0.2">
      <c r="B38" s="3">
        <f>IFERROR(VLOOKUP(A38,'Factory Log'!$J:$O,6,0),0)</f>
        <v>0</v>
      </c>
      <c r="C38" s="3">
        <f>IFERROR(VLOOKUP(A38,'Factory Log'!$J:$P,7,0),0)</f>
        <v>0</v>
      </c>
      <c r="D38" s="3">
        <f>IFERROR(VLOOKUP(A38,'Factory Log'!$J:$Q,8,0),0)</f>
        <v>0</v>
      </c>
      <c r="E38" s="58">
        <f>SUMIFS('Factory Log'!$D:$D,'Factory Log'!$B:$B,Performance!A$1,'Factory Log'!$J:$J,Performance!A38,'Factory Log'!$C:$C,"Running")+SUMIFS('Factory Log'!$D:$D,'Factory Log'!$B:$B,Performance!A$1,'Factory Log'!$J:$J,Performance!A38,'Factory Log'!$C:$C,"Make Ready")+SUMIFS('Factory Log'!$D:$D,'Factory Log'!$B:$B,Performance!A$1,'Factory Log'!$J:$J,Performance!A38,'Factory Log'!$C:$C,"Roll Change")</f>
        <v>0</v>
      </c>
      <c r="F38" s="3">
        <f>SUMIFS('Factory Log'!$M:$M,'Factory Log'!$B:$B,Performance!A$1,'Factory Log'!$J:$J,Performance!A38,'Factory Log'!$C:$C,"Running")</f>
        <v>0</v>
      </c>
      <c r="G38" s="58" cm="1">
        <f t="array" ref="G38">IFERROR(INDEX('Factory Log'!$S:$S,MATCH(1,(Performance!A$1='Factory Log'!$B:$B)*(Performance!A38='Factory Log'!$A:$A),0)),0)</f>
        <v>0</v>
      </c>
      <c r="H38" s="3">
        <f>IFERROR(VLOOKUP(A38,'Factory Log'!$J:$R,9,0),0)</f>
        <v>0</v>
      </c>
      <c r="I38" s="64">
        <f t="shared" si="1"/>
        <v>0</v>
      </c>
      <c r="J38" s="58">
        <f t="shared" si="30"/>
        <v>0</v>
      </c>
      <c r="M38" s="3">
        <f>IFERROR(VLOOKUP(L38,'Factory Log'!$J:$O,6,0),0)</f>
        <v>0</v>
      </c>
      <c r="N38" s="3">
        <f>IFERROR(VLOOKUP(L38,'Factory Log'!$J:$P,7,0),0)</f>
        <v>0</v>
      </c>
      <c r="O38" s="3">
        <f>IFERROR(VLOOKUP(L38,'Factory Log'!$J:$Q,8,0),0)</f>
        <v>0</v>
      </c>
      <c r="P38" s="58">
        <f>SUMIFS('Factory Log'!$D:$D,'Factory Log'!$B:$B,Performance!L$1,'Factory Log'!$J:$J,Performance!L38,'Factory Log'!$C:$C,"Running")+SUMIFS('Factory Log'!$D:$D,'Factory Log'!$B:$B,Performance!L$1,'Factory Log'!$J:$J,Performance!L38,'Factory Log'!$C:$C,"Make Ready")+SUMIFS('Factory Log'!$D:$D,'Factory Log'!$B:$B,Performance!L$1,'Factory Log'!$J:$J,Performance!L38,'Factory Log'!$C:$C,"Roll Change")</f>
        <v>0</v>
      </c>
      <c r="Q38" s="3">
        <f>SUMIFS('Factory Log'!$M:$M,'Factory Log'!$B:$B,Performance!L$1,'Factory Log'!$J:$J,Performance!L38,'Factory Log'!$C:$C,"Running")</f>
        <v>0</v>
      </c>
      <c r="R38" s="58" cm="1">
        <f t="array" ref="R38">IFERROR(INDEX('Factory Log'!$S:$S,MATCH(1,(Performance!L$1='Factory Log'!$B:$B)*(Performance!L38='Factory Log'!$A:$A),0)),0)</f>
        <v>0</v>
      </c>
      <c r="S38" s="3">
        <f>IFERROR(VLOOKUP(L38,'Factory Log'!$J:$R,9,0),0)</f>
        <v>0</v>
      </c>
      <c r="T38" s="64">
        <f t="shared" si="2"/>
        <v>0</v>
      </c>
      <c r="U38" s="58">
        <f t="shared" si="31"/>
        <v>0</v>
      </c>
      <c r="X38" s="3">
        <f>IFERROR(VLOOKUP(W38,'Factory Log'!$J:$O,6,0),0)</f>
        <v>0</v>
      </c>
      <c r="Y38" s="3">
        <f>IFERROR(VLOOKUP(W38,'Factory Log'!$J:$P,7,0),0)</f>
        <v>0</v>
      </c>
      <c r="Z38" s="3">
        <f>IFERROR(VLOOKUP(W38,'Factory Log'!$J:$Q,8,0),0)</f>
        <v>0</v>
      </c>
      <c r="AA38" s="58">
        <f>SUMIFS('Factory Log'!$D:$D,'Factory Log'!$B:$B,Performance!W$1,'Factory Log'!$J:$J,Performance!W38,'Factory Log'!$C:$C,"Running")+SUMIFS('Factory Log'!$D:$D,'Factory Log'!$B:$B,Performance!W$1,'Factory Log'!$J:$J,Performance!W38,'Factory Log'!$C:$C,"Make Ready")+SUMIFS('Factory Log'!$D:$D,'Factory Log'!$B:$B,Performance!W$1,'Factory Log'!$J:$J,Performance!W38,'Factory Log'!$C:$C,"Roll Change")</f>
        <v>0</v>
      </c>
      <c r="AB38" s="3">
        <f>SUMIFS('Factory Log'!$M:$M,'Factory Log'!$B:$B,Performance!W$1,'Factory Log'!$J:$J,Performance!W38,'Factory Log'!$C:$C,"Running")</f>
        <v>0</v>
      </c>
      <c r="AC38" s="58" cm="1">
        <f t="array" ref="AC38">IFERROR(INDEX('Factory Log'!$S:$S,MATCH(1,(Performance!W$1='Factory Log'!$B:$B)*(Performance!W38='Factory Log'!$A:$A),0)),0)</f>
        <v>0</v>
      </c>
      <c r="AD38" s="3">
        <f>IFERROR(VLOOKUP(W38,'Factory Log'!$J:$R,9,0),0)</f>
        <v>0</v>
      </c>
      <c r="AE38" s="64">
        <f t="shared" si="4"/>
        <v>0</v>
      </c>
      <c r="AF38" s="58">
        <f t="shared" si="33"/>
        <v>0</v>
      </c>
      <c r="AI38" s="3">
        <f>IFERROR(VLOOKUP(AH38,'Factory Log'!$J:$O,6,0),0)</f>
        <v>0</v>
      </c>
      <c r="AJ38" s="3">
        <f>IFERROR(VLOOKUP(AH38,'Factory Log'!$J:$P,7,0),0)</f>
        <v>0</v>
      </c>
      <c r="AK38" s="3">
        <f>IFERROR(VLOOKUP(AH38,'Factory Log'!$J:$Q,8,0),0)</f>
        <v>0</v>
      </c>
      <c r="AL38" s="58">
        <f>SUMIFS('Factory Log'!$D:$D,'Factory Log'!$B:$B,Performance!AH$1,'Factory Log'!$J:$J,Performance!AH38,'Factory Log'!$C:$C,"Running")+SUMIFS('Factory Log'!$D:$D,'Factory Log'!$B:$B,Performance!AH$1,'Factory Log'!$J:$J,Performance!AH38,'Factory Log'!$C:$C,"Make Ready")+SUMIFS('Factory Log'!$D:$D,'Factory Log'!$B:$B,Performance!AH$1,'Factory Log'!$J:$J,Performance!AH38,'Factory Log'!$C:$C,"Roll Change")</f>
        <v>0</v>
      </c>
      <c r="AM38" s="3">
        <f>SUMIFS('Factory Log'!$M:$M,'Factory Log'!$B:$B,Performance!AH$1,'Factory Log'!$J:$J,Performance!AH38,'Factory Log'!$C:$C,"Running")</f>
        <v>0</v>
      </c>
      <c r="AN38" s="58" cm="1">
        <f t="array" ref="AN38">IFERROR(INDEX('Factory Log'!$S:$S,MATCH(1,(Performance!AH$1='Factory Log'!$B:$B)*(Performance!AH38='Factory Log'!$A:$A),0)),0)</f>
        <v>0</v>
      </c>
      <c r="AO38" s="3">
        <f>IFERROR(VLOOKUP(AH38,'Factory Log'!$J:$R,9,0),0)</f>
        <v>0</v>
      </c>
      <c r="AP38" s="64">
        <f t="shared" si="6"/>
        <v>0</v>
      </c>
      <c r="AQ38" s="58">
        <f t="shared" si="7"/>
        <v>0</v>
      </c>
      <c r="AT38" s="3">
        <f>IFERROR(VLOOKUP(AS38,'Factory Log'!$J:$O,6,0),0)</f>
        <v>0</v>
      </c>
      <c r="AU38" s="3">
        <f>IFERROR(VLOOKUP(AS38,'Factory Log'!$J:$P,7,0),0)</f>
        <v>0</v>
      </c>
      <c r="AV38" s="3">
        <f>IFERROR(VLOOKUP(AS38,'Factory Log'!$J:$Q,8,0),0)</f>
        <v>0</v>
      </c>
      <c r="AW38" s="58">
        <f>SUMIFS('Factory Log'!$D:$D,'Factory Log'!$B:$B,Performance!AS$1,'Factory Log'!$J:$J,Performance!AS38,'Factory Log'!$C:$C,"Running")+SUMIFS('Factory Log'!$D:$D,'Factory Log'!$B:$B,Performance!AS$1,'Factory Log'!$J:$J,Performance!AS38,'Factory Log'!$C:$C,"Make Ready")+SUMIFS('Factory Log'!$D:$D,'Factory Log'!$B:$B,Performance!AS$1,'Factory Log'!$J:$J,Performance!AS38,'Factory Log'!$C:$C,"Roll Change")</f>
        <v>0</v>
      </c>
      <c r="AX38" s="3">
        <f>SUMIFS('Factory Log'!$M:$M,'Factory Log'!$B:$B,Performance!AS$1,'Factory Log'!$J:$J,Performance!AS38,'Factory Log'!$C:$C,"Running")</f>
        <v>0</v>
      </c>
      <c r="AY38" s="58" cm="1">
        <f t="array" ref="AY38">IFERROR(INDEX('Factory Log'!$S:$S,MATCH(1,(Performance!AS$1='Factory Log'!$B:$B)*(Performance!AS38='Factory Log'!$A:$A),0)),0)</f>
        <v>0</v>
      </c>
      <c r="AZ38" s="3">
        <f>IFERROR(VLOOKUP(AS38,'Factory Log'!$J:$R,9,0),0)</f>
        <v>0</v>
      </c>
      <c r="BA38" s="64">
        <f t="shared" si="8"/>
        <v>0</v>
      </c>
      <c r="BB38" s="58">
        <f t="shared" si="9"/>
        <v>0</v>
      </c>
      <c r="BE38" s="3">
        <f>IFERROR(VLOOKUP(BD38,'Factory Log'!$J:$O,6,0),0)</f>
        <v>0</v>
      </c>
      <c r="BF38" s="3">
        <f>IFERROR(VLOOKUP(BD38,'Factory Log'!$J:$P,7,0),0)</f>
        <v>0</v>
      </c>
      <c r="BG38" s="3">
        <f>IFERROR(VLOOKUP(BD38,'Factory Log'!$J:$Q,8,0),0)</f>
        <v>0</v>
      </c>
      <c r="BH38" s="58">
        <f>SUMIFS('Factory Log'!$D:$D,'Factory Log'!$B:$B,Performance!BD$1,'Factory Log'!$J:$J,Performance!BD38,'Factory Log'!$C:$C,"Running")+SUMIFS('Factory Log'!$D:$D,'Factory Log'!$B:$B,Performance!BD$1,'Factory Log'!$J:$J,Performance!BD38,'Factory Log'!$C:$C,"Make Ready")+SUMIFS('Factory Log'!$D:$D,'Factory Log'!$B:$B,Performance!BD$1,'Factory Log'!$J:$J,Performance!BD38,'Factory Log'!$C:$C,"Roll Change")</f>
        <v>0</v>
      </c>
      <c r="BI38" s="3">
        <f>SUMIFS('Factory Log'!$M:$M,'Factory Log'!$B:$B,Performance!BD$1,'Factory Log'!$J:$J,Performance!BD38,'Factory Log'!$C:$C,"Running")</f>
        <v>0</v>
      </c>
      <c r="BJ38" s="58" cm="1">
        <f t="array" ref="BJ38">IFERROR(INDEX('Factory Log'!$S:$S,MATCH(1,(Performance!BD$1='Factory Log'!$B:$B)*(Performance!BD38='Factory Log'!$A:$A),0)),0)</f>
        <v>0</v>
      </c>
      <c r="BK38" s="3">
        <f>IFERROR(VLOOKUP(BD38,'Factory Log'!$J:$R,9,0),0)</f>
        <v>0</v>
      </c>
      <c r="BL38" s="64">
        <f t="shared" si="10"/>
        <v>0</v>
      </c>
      <c r="BM38" s="58">
        <f t="shared" si="11"/>
        <v>0</v>
      </c>
      <c r="BP38" s="3">
        <f>IFERROR(VLOOKUP(BO38,'Factory Log'!$J:$O,6,0),0)</f>
        <v>0</v>
      </c>
      <c r="BQ38" s="3">
        <f>IFERROR(VLOOKUP(BO38,'Factory Log'!$J:$P,7,0),0)</f>
        <v>0</v>
      </c>
      <c r="BR38" s="3">
        <f>IFERROR(VLOOKUP(BO38,'Factory Log'!$J:$Q,8,0),0)</f>
        <v>0</v>
      </c>
      <c r="BS38" s="58">
        <f>SUMIFS('Factory Log'!$D:$D,'Factory Log'!$B:$B,Performance!BO$1,'Factory Log'!$J:$J,Performance!BO38,'Factory Log'!$C:$C,"Running")+SUMIFS('Factory Log'!$D:$D,'Factory Log'!$B:$B,Performance!BO$1,'Factory Log'!$J:$J,Performance!BO38,'Factory Log'!$C:$C,"Make Ready")+SUMIFS('Factory Log'!$D:$D,'Factory Log'!$B:$B,Performance!BO$1,'Factory Log'!$J:$J,Performance!BO38,'Factory Log'!$C:$C,"Roll Change")</f>
        <v>0</v>
      </c>
      <c r="BT38" s="3">
        <f>SUMIFS('Factory Log'!$M:$M,'Factory Log'!$B:$B,Performance!BO$1,'Factory Log'!$J:$J,Performance!BO38,'Factory Log'!$C:$C,"Running")</f>
        <v>0</v>
      </c>
      <c r="BU38" s="58" cm="1">
        <f t="array" ref="BU38">IFERROR(INDEX('Factory Log'!$S:$S,MATCH(1,(Performance!BO$1='Factory Log'!$B:$B)*(Performance!BO38='Factory Log'!$A:$A),0)),0)</f>
        <v>0</v>
      </c>
      <c r="BV38" s="3">
        <f>IFERROR(VLOOKUP(BO38,'Factory Log'!$J:$R,9,0),0)</f>
        <v>0</v>
      </c>
      <c r="BW38" s="64">
        <f t="shared" si="12"/>
        <v>0</v>
      </c>
      <c r="BX38" s="58">
        <f t="shared" si="13"/>
        <v>0</v>
      </c>
      <c r="CA38" s="3">
        <f>IFERROR(VLOOKUP(BZ38,'Factory Log'!$J:$O,6,0),0)</f>
        <v>0</v>
      </c>
      <c r="CB38" s="3">
        <f>IFERROR(VLOOKUP(BZ38,'Factory Log'!$J:$P,7,0),0)</f>
        <v>0</v>
      </c>
      <c r="CC38" s="3">
        <f>IFERROR(VLOOKUP(BZ38,'Factory Log'!$J:$Q,8,0),0)</f>
        <v>0</v>
      </c>
      <c r="CD38" s="58">
        <f>SUMIFS('Factory Log'!$D:$D,'Factory Log'!$B:$B,Performance!BZ$1,'Factory Log'!$J:$J,Performance!BZ38,'Factory Log'!$C:$C,"Running")+SUMIFS('Factory Log'!$D:$D,'Factory Log'!$B:$B,Performance!BZ$1,'Factory Log'!$J:$J,Performance!BZ38,'Factory Log'!$C:$C,"Make Ready")+SUMIFS('Factory Log'!$D:$D,'Factory Log'!$B:$B,Performance!BZ$1,'Factory Log'!$J:$J,Performance!BZ38,'Factory Log'!$C:$C,"Roll Change")</f>
        <v>0</v>
      </c>
      <c r="CE38" s="3">
        <f>SUMIFS('Factory Log'!$M:$M,'Factory Log'!$B:$B,Performance!BZ$1,'Factory Log'!$J:$J,Performance!BZ38,'Factory Log'!$C:$C,"Running")</f>
        <v>0</v>
      </c>
      <c r="CF38" s="58" cm="1">
        <f t="array" ref="CF38">IFERROR(INDEX('Factory Log'!$S:$S,MATCH(1,(Performance!BZ$1='Factory Log'!$B:$B)*(Performance!BZ38='Factory Log'!$A:$A),0)),0)</f>
        <v>0</v>
      </c>
      <c r="CG38" s="3">
        <f>IFERROR(VLOOKUP(BZ38,'Factory Log'!$J:$R,9,0),0)</f>
        <v>0</v>
      </c>
      <c r="CH38" s="64">
        <f t="shared" si="14"/>
        <v>0</v>
      </c>
      <c r="CI38" s="58">
        <f t="shared" si="15"/>
        <v>0</v>
      </c>
      <c r="CL38" s="3">
        <f>IFERROR(VLOOKUP(CK38,'Factory Log'!$J:$O,6,0),0)</f>
        <v>0</v>
      </c>
      <c r="CM38" s="3">
        <f>IFERROR(VLOOKUP(CK38,'Factory Log'!$J:$P,7,0),0)</f>
        <v>0</v>
      </c>
      <c r="CN38" s="3">
        <f>IFERROR(VLOOKUP(CK38,'Factory Log'!$J:$Q,8,0),0)</f>
        <v>0</v>
      </c>
      <c r="CO38" s="58">
        <f>SUMIFS('Factory Log'!$D:$D,'Factory Log'!$B:$B,Performance!CK$1,'Factory Log'!$J:$J,Performance!CK38,'Factory Log'!$C:$C,"Running")+SUMIFS('Factory Log'!$D:$D,'Factory Log'!$B:$B,Performance!CK$1,'Factory Log'!$J:$J,Performance!CK38,'Factory Log'!$C:$C,"Make Ready")+SUMIFS('Factory Log'!$D:$D,'Factory Log'!$B:$B,Performance!CK$1,'Factory Log'!$J:$J,Performance!CK38,'Factory Log'!$C:$C,"Roll Change")</f>
        <v>0</v>
      </c>
      <c r="CP38" s="3">
        <f>SUMIFS('Factory Log'!$M:$M,'Factory Log'!$B:$B,Performance!CK$1,'Factory Log'!$J:$J,Performance!CK38,'Factory Log'!$C:$C,"Running")</f>
        <v>0</v>
      </c>
      <c r="CQ38" s="58" cm="1">
        <f t="array" ref="CQ38">IFERROR(INDEX('Factory Log'!$S:$S,MATCH(1,(Performance!CK$1='Factory Log'!$B:$B)*(Performance!CK38='Factory Log'!$A:$A),0)),0)</f>
        <v>0</v>
      </c>
      <c r="CR38" s="3">
        <f>IFERROR(VLOOKUP(CK38,'Factory Log'!$J:$R,9,0),0)</f>
        <v>0</v>
      </c>
      <c r="CS38" s="64">
        <f t="shared" si="16"/>
        <v>0</v>
      </c>
      <c r="CT38" s="58">
        <f t="shared" si="17"/>
        <v>0</v>
      </c>
      <c r="CW38" s="3">
        <f>IFERROR(VLOOKUP(CV38,'Factory Log'!$J:$O,6,0),0)</f>
        <v>0</v>
      </c>
      <c r="CX38" s="3">
        <f>IFERROR(VLOOKUP(CV38,'Factory Log'!$J:$P,7,0),0)</f>
        <v>0</v>
      </c>
      <c r="CY38" s="3">
        <f>IFERROR(VLOOKUP(CV38,'Factory Log'!$J:$Q,8,0),0)</f>
        <v>0</v>
      </c>
      <c r="CZ38" s="58">
        <f>SUMIFS('Factory Log'!$D:$D,'Factory Log'!$B:$B,Performance!CV$1,'Factory Log'!$J:$J,Performance!CV38,'Factory Log'!$C:$C,"Running")+SUMIFS('Factory Log'!$D:$D,'Factory Log'!$B:$B,Performance!CV$1,'Factory Log'!$J:$J,Performance!CV38,'Factory Log'!$C:$C,"Make Ready")+SUMIFS('Factory Log'!$D:$D,'Factory Log'!$B:$B,Performance!CV$1,'Factory Log'!$J:$J,Performance!CV38,'Factory Log'!$C:$C,"Roll Change")</f>
        <v>0</v>
      </c>
      <c r="DA38" s="3">
        <f>SUMIFS('Factory Log'!$M:$M,'Factory Log'!$B:$B,Performance!CV$1,'Factory Log'!$J:$J,Performance!CV38,'Factory Log'!$C:$C,"Running")</f>
        <v>0</v>
      </c>
      <c r="DB38" s="58" cm="1">
        <f t="array" ref="DB38">IFERROR(INDEX('Factory Log'!$S:$S,MATCH(1,(Performance!CV$1='Factory Log'!$B:$B)*(Performance!CV38='Factory Log'!$A:$A),0)),0)</f>
        <v>0</v>
      </c>
      <c r="DC38" s="3">
        <f>IFERROR(VLOOKUP(CV38,'Factory Log'!$J:$R,9,0),0)</f>
        <v>0</v>
      </c>
      <c r="DD38" s="64">
        <f t="shared" si="18"/>
        <v>0</v>
      </c>
      <c r="DE38" s="58">
        <f t="shared" si="19"/>
        <v>0</v>
      </c>
      <c r="DH38" s="3">
        <f>IFERROR(VLOOKUP(DG38,'Factory Log'!$J:$O,6,0),0)</f>
        <v>0</v>
      </c>
      <c r="DI38" s="3">
        <f>IFERROR(VLOOKUP(DG38,'Factory Log'!$J:$P,7,0),0)</f>
        <v>0</v>
      </c>
      <c r="DJ38" s="3">
        <f>IFERROR(VLOOKUP(DG38,'Factory Log'!$J:$Q,8,0),0)</f>
        <v>0</v>
      </c>
      <c r="DK38" s="58">
        <f>SUMIFS('Factory Log'!$D:$D,'Factory Log'!$B:$B,Performance!DG$1,'Factory Log'!$J:$J,Performance!DG38,'Factory Log'!$C:$C,"Running")+SUMIFS('Factory Log'!$D:$D,'Factory Log'!$B:$B,Performance!DG$1,'Factory Log'!$J:$J,Performance!DG38,'Factory Log'!$C:$C,"Make Ready")+SUMIFS('Factory Log'!$D:$D,'Factory Log'!$B:$B,Performance!DG$1,'Factory Log'!$J:$J,Performance!DG38,'Factory Log'!$C:$C,"Roll Change")</f>
        <v>0</v>
      </c>
      <c r="DL38" s="3">
        <f>SUMIFS('Factory Log'!$M:$M,'Factory Log'!$B:$B,Performance!DG$1,'Factory Log'!$J:$J,Performance!DG38,'Factory Log'!$C:$C,"Running")</f>
        <v>0</v>
      </c>
      <c r="DM38" s="58" cm="1">
        <f t="array" ref="DM38">IFERROR(INDEX('Factory Log'!$S:$S,MATCH(1,(Performance!DG$1='Factory Log'!$B:$B)*(Performance!DG38='Factory Log'!$A:$A),0)),0)</f>
        <v>0</v>
      </c>
      <c r="DN38" s="3">
        <f>IFERROR(VLOOKUP(DG38,'Factory Log'!$J:$R,9,0),0)</f>
        <v>0</v>
      </c>
      <c r="DO38" s="64">
        <f t="shared" si="20"/>
        <v>0</v>
      </c>
      <c r="DP38" s="58">
        <f t="shared" si="21"/>
        <v>0</v>
      </c>
      <c r="DS38" s="3">
        <f>IFERROR(VLOOKUP(DR38,'Factory Log'!$J:$O,6,0),0)</f>
        <v>0</v>
      </c>
      <c r="DT38" s="3">
        <f>IFERROR(VLOOKUP(DR38,'Factory Log'!$J:$P,7,0),0)</f>
        <v>0</v>
      </c>
      <c r="DU38" s="3">
        <f>IFERROR(VLOOKUP(DR38,'Factory Log'!$J:$Q,8,0),0)</f>
        <v>0</v>
      </c>
      <c r="DV38" s="58">
        <f>SUMIFS('Factory Log'!$D:$D,'Factory Log'!$B:$B,Performance!DR$1,'Factory Log'!$J:$J,Performance!DR38,'Factory Log'!$C:$C,"Running")+SUMIFS('Factory Log'!$D:$D,'Factory Log'!$B:$B,Performance!DR$1,'Factory Log'!$J:$J,Performance!DR38,'Factory Log'!$C:$C,"Make Ready")+SUMIFS('Factory Log'!$D:$D,'Factory Log'!$B:$B,Performance!DR$1,'Factory Log'!$J:$J,Performance!DR38,'Factory Log'!$C:$C,"Roll Change")</f>
        <v>0</v>
      </c>
      <c r="DW38" s="3">
        <f>SUMIFS('Factory Log'!$M:$M,'Factory Log'!$B:$B,Performance!DR$1,'Factory Log'!$J:$J,Performance!DR38,'Factory Log'!$C:$C,"Running")</f>
        <v>0</v>
      </c>
      <c r="DX38" s="58" cm="1">
        <f t="array" ref="DX38">IFERROR(INDEX('Factory Log'!$S:$S,MATCH(1,(Performance!DR$1='Factory Log'!$B:$B)*(Performance!DR38='Factory Log'!$A:$A),0)),0)</f>
        <v>0</v>
      </c>
      <c r="DY38" s="3">
        <f>IFERROR(VLOOKUP(DR38,'Factory Log'!$J:$R,9,0),0)</f>
        <v>0</v>
      </c>
      <c r="DZ38" s="64">
        <f t="shared" si="22"/>
        <v>0</v>
      </c>
      <c r="EA38" s="58">
        <f t="shared" si="23"/>
        <v>0</v>
      </c>
      <c r="ED38" s="3">
        <f>IFERROR(VLOOKUP(EC38,'Factory Log'!$J:$O,6,0),0)</f>
        <v>0</v>
      </c>
      <c r="EE38" s="3">
        <f>IFERROR(VLOOKUP(EC38,'Factory Log'!$J:$P,7,0),0)</f>
        <v>0</v>
      </c>
      <c r="EF38" s="3">
        <f>IFERROR(VLOOKUP(EC38,'Factory Log'!$J:$Q,8,0),0)</f>
        <v>0</v>
      </c>
      <c r="EG38" s="58">
        <f>SUMIFS('Factory Log'!$D:$D,'Factory Log'!$B:$B,Performance!EC$1,'Factory Log'!$J:$J,Performance!EC38,'Factory Log'!$C:$C,"Running")+SUMIFS('Factory Log'!$D:$D,'Factory Log'!$B:$B,Performance!EC$1,'Factory Log'!$J:$J,Performance!EC38,'Factory Log'!$C:$C,"Make Ready")+SUMIFS('Factory Log'!$D:$D,'Factory Log'!$B:$B,Performance!EC$1,'Factory Log'!$J:$J,Performance!EC38,'Factory Log'!$C:$C,"Roll Change")</f>
        <v>0</v>
      </c>
      <c r="EH38" s="3">
        <f>SUMIFS('Factory Log'!$M:$M,'Factory Log'!$B:$B,Performance!EC$1,'Factory Log'!$J:$J,Performance!EC38,'Factory Log'!$C:$C,"Running")</f>
        <v>0</v>
      </c>
      <c r="EI38" s="58" cm="1">
        <f t="array" ref="EI38">IFERROR(INDEX('Factory Log'!$S:$S,MATCH(1,(Performance!EC$1='Factory Log'!$B:$B)*(Performance!EC38='Factory Log'!$A:$A),0)),0)</f>
        <v>0</v>
      </c>
      <c r="EJ38" s="3">
        <f>IFERROR(VLOOKUP(EC38,'Factory Log'!$J:$R,9,0),0)</f>
        <v>0</v>
      </c>
      <c r="EK38" s="64">
        <f t="shared" si="24"/>
        <v>0</v>
      </c>
      <c r="EL38" s="58">
        <f t="shared" si="25"/>
        <v>0</v>
      </c>
      <c r="EO38" s="3">
        <f>IFERROR(VLOOKUP(EN38,'Factory Log'!$J:$O,6,0),0)</f>
        <v>0</v>
      </c>
      <c r="EP38" s="3">
        <f>IFERROR(VLOOKUP(EN38,'Factory Log'!$J:$P,7,0),0)</f>
        <v>0</v>
      </c>
      <c r="EQ38" s="3">
        <f>IFERROR(VLOOKUP(EN38,'Factory Log'!$J:$Q,8,0),0)</f>
        <v>0</v>
      </c>
      <c r="ER38" s="58">
        <f>SUMIFS('Factory Log'!$D:$D,'Factory Log'!$B:$B,Performance!EN$1,'Factory Log'!$J:$J,Performance!EN38,'Factory Log'!$C:$C,"Running")+SUMIFS('Factory Log'!$D:$D,'Factory Log'!$B:$B,Performance!EN$1,'Factory Log'!$J:$J,Performance!EN38,'Factory Log'!$C:$C,"Make Ready")+SUMIFS('Factory Log'!$D:$D,'Factory Log'!$B:$B,Performance!EN$1,'Factory Log'!$J:$J,Performance!EN38,'Factory Log'!$C:$C,"Roll Change")</f>
        <v>0</v>
      </c>
      <c r="ES38" s="3">
        <f>SUMIFS('Factory Log'!$M:$M,'Factory Log'!$B:$B,Performance!EN$1,'Factory Log'!$J:$J,Performance!EN38,'Factory Log'!$C:$C,"Running")</f>
        <v>0</v>
      </c>
      <c r="ET38" s="58" cm="1">
        <f t="array" ref="ET38">IFERROR(INDEX('Factory Log'!$S:$S,MATCH(1,(Performance!EN$1='Factory Log'!$B:$B)*(Performance!EN38='Factory Log'!$A:$A),0)),0)</f>
        <v>0</v>
      </c>
      <c r="EU38" s="3">
        <f>IFERROR(VLOOKUP(EN38,'Factory Log'!$J:$R,9,0),0)</f>
        <v>0</v>
      </c>
      <c r="EV38" s="64">
        <f t="shared" si="26"/>
        <v>0</v>
      </c>
      <c r="EW38" s="58">
        <f t="shared" si="27"/>
        <v>0</v>
      </c>
      <c r="EZ38" s="3">
        <f>IFERROR(VLOOKUP(EY38,'Factory Log'!$J:$O,6,0),0)</f>
        <v>0</v>
      </c>
      <c r="FA38" s="3">
        <f>IFERROR(VLOOKUP(EY38,'Factory Log'!$J:$P,7,0),0)</f>
        <v>0</v>
      </c>
      <c r="FB38" s="3">
        <f>IFERROR(VLOOKUP(EY38,'Factory Log'!$J:$Q,8,0),0)</f>
        <v>0</v>
      </c>
      <c r="FC38" s="58">
        <f>SUMIFS('Factory Log'!$D:$D,'Factory Log'!$B:$B,Performance!EY$1,'Factory Log'!$J:$J,Performance!EY38,'Factory Log'!$C:$C,"Running")+SUMIFS('Factory Log'!$D:$D,'Factory Log'!$B:$B,Performance!EY$1,'Factory Log'!$J:$J,Performance!EY38,'Factory Log'!$C:$C,"Make Ready")+SUMIFS('Factory Log'!$D:$D,'Factory Log'!$B:$B,Performance!EY$1,'Factory Log'!$J:$J,Performance!EY38,'Factory Log'!$C:$C,"Roll Change")</f>
        <v>0</v>
      </c>
      <c r="FD38" s="3">
        <f>SUMIFS('Factory Log'!$M:$M,'Factory Log'!$B:$B,Performance!EY$1,'Factory Log'!$J:$J,Performance!EY38,'Factory Log'!$C:$C,"Running")</f>
        <v>0</v>
      </c>
      <c r="FE38" s="58" cm="1">
        <f t="array" ref="FE38">IFERROR(INDEX('Factory Log'!$S:$S,MATCH(1,(Performance!EY$1='Factory Log'!$B:$B)*(Performance!EY38='Factory Log'!$A:$A),0)),0)</f>
        <v>0</v>
      </c>
      <c r="FF38" s="3">
        <f>IFERROR(VLOOKUP(EY38,'Factory Log'!$J:$R,9,0),0)</f>
        <v>0</v>
      </c>
      <c r="FG38" s="64">
        <f t="shared" si="28"/>
        <v>0</v>
      </c>
      <c r="FH38" s="58">
        <f t="shared" si="29"/>
        <v>0</v>
      </c>
    </row>
    <row r="39" spans="2:164" ht="16" customHeight="1" x14ac:dyDescent="0.2">
      <c r="B39" s="3">
        <f>IFERROR(VLOOKUP(A39,'Factory Log'!$J:$O,6,0),0)</f>
        <v>0</v>
      </c>
      <c r="C39" s="3">
        <f>IFERROR(VLOOKUP(A39,'Factory Log'!$J:$P,7,0),0)</f>
        <v>0</v>
      </c>
      <c r="D39" s="3">
        <f>IFERROR(VLOOKUP(A39,'Factory Log'!$J:$Q,8,0),0)</f>
        <v>0</v>
      </c>
      <c r="E39" s="58">
        <f>SUMIFS('Factory Log'!$D:$D,'Factory Log'!$B:$B,Performance!A$1,'Factory Log'!$J:$J,Performance!A39,'Factory Log'!$C:$C,"Running")+SUMIFS('Factory Log'!$D:$D,'Factory Log'!$B:$B,Performance!A$1,'Factory Log'!$J:$J,Performance!A39,'Factory Log'!$C:$C,"Make Ready")+SUMIFS('Factory Log'!$D:$D,'Factory Log'!$B:$B,Performance!A$1,'Factory Log'!$J:$J,Performance!A39,'Factory Log'!$C:$C,"Roll Change")</f>
        <v>0</v>
      </c>
      <c r="F39" s="3">
        <f>SUMIFS('Factory Log'!$M:$M,'Factory Log'!$B:$B,Performance!A$1,'Factory Log'!$J:$J,Performance!A39,'Factory Log'!$C:$C,"Running")</f>
        <v>0</v>
      </c>
      <c r="G39" s="58" cm="1">
        <f t="array" ref="G39">IFERROR(INDEX('Factory Log'!$S:$S,MATCH(1,(Performance!A$1='Factory Log'!$B:$B)*(Performance!A39='Factory Log'!$A:$A),0)),0)</f>
        <v>0</v>
      </c>
      <c r="H39" s="3">
        <f>IFERROR(VLOOKUP(A39,'Factory Log'!$J:$R,9,0),0)</f>
        <v>0</v>
      </c>
      <c r="I39" s="64">
        <f t="shared" si="1"/>
        <v>0</v>
      </c>
      <c r="J39" s="58">
        <f t="shared" si="30"/>
        <v>0</v>
      </c>
      <c r="M39" s="3">
        <f>IFERROR(VLOOKUP(L39,'Factory Log'!$J:$O,6,0),0)</f>
        <v>0</v>
      </c>
      <c r="N39" s="3">
        <f>IFERROR(VLOOKUP(L39,'Factory Log'!$J:$P,7,0),0)</f>
        <v>0</v>
      </c>
      <c r="O39" s="3">
        <f>IFERROR(VLOOKUP(L39,'Factory Log'!$J:$Q,8,0),0)</f>
        <v>0</v>
      </c>
      <c r="P39" s="58">
        <f>SUMIFS('Factory Log'!$D:$D,'Factory Log'!$B:$B,Performance!L$1,'Factory Log'!$J:$J,Performance!L39,'Factory Log'!$C:$C,"Running")+SUMIFS('Factory Log'!$D:$D,'Factory Log'!$B:$B,Performance!L$1,'Factory Log'!$J:$J,Performance!L39,'Factory Log'!$C:$C,"Make Ready")+SUMIFS('Factory Log'!$D:$D,'Factory Log'!$B:$B,Performance!L$1,'Factory Log'!$J:$J,Performance!L39,'Factory Log'!$C:$C,"Roll Change")</f>
        <v>0</v>
      </c>
      <c r="Q39" s="3">
        <f>SUMIFS('Factory Log'!$M:$M,'Factory Log'!$B:$B,Performance!L$1,'Factory Log'!$J:$J,Performance!L39,'Factory Log'!$C:$C,"Running")</f>
        <v>0</v>
      </c>
      <c r="R39" s="58" cm="1">
        <f t="array" ref="R39">IFERROR(INDEX('Factory Log'!$S:$S,MATCH(1,(Performance!L$1='Factory Log'!$B:$B)*(Performance!L39='Factory Log'!$A:$A),0)),0)</f>
        <v>0</v>
      </c>
      <c r="S39" s="3">
        <f>IFERROR(VLOOKUP(L39,'Factory Log'!$J:$R,9,0),0)</f>
        <v>0</v>
      </c>
      <c r="T39" s="64">
        <f t="shared" si="2"/>
        <v>0</v>
      </c>
      <c r="U39" s="58">
        <f t="shared" si="31"/>
        <v>0</v>
      </c>
      <c r="X39" s="3">
        <f>IFERROR(VLOOKUP(W39,'Factory Log'!$J:$O,6,0),0)</f>
        <v>0</v>
      </c>
      <c r="Y39" s="3">
        <f>IFERROR(VLOOKUP(W39,'Factory Log'!$J:$P,7,0),0)</f>
        <v>0</v>
      </c>
      <c r="Z39" s="3">
        <f>IFERROR(VLOOKUP(W39,'Factory Log'!$J:$Q,8,0),0)</f>
        <v>0</v>
      </c>
      <c r="AA39" s="58">
        <f>SUMIFS('Factory Log'!$D:$D,'Factory Log'!$B:$B,Performance!W$1,'Factory Log'!$J:$J,Performance!W39,'Factory Log'!$C:$C,"Running")+SUMIFS('Factory Log'!$D:$D,'Factory Log'!$B:$B,Performance!W$1,'Factory Log'!$J:$J,Performance!W39,'Factory Log'!$C:$C,"Make Ready")+SUMIFS('Factory Log'!$D:$D,'Factory Log'!$B:$B,Performance!W$1,'Factory Log'!$J:$J,Performance!W39,'Factory Log'!$C:$C,"Roll Change")</f>
        <v>0</v>
      </c>
      <c r="AB39" s="3">
        <f>SUMIFS('Factory Log'!$M:$M,'Factory Log'!$B:$B,Performance!W$1,'Factory Log'!$J:$J,Performance!W39,'Factory Log'!$C:$C,"Running")</f>
        <v>0</v>
      </c>
      <c r="AC39" s="58" cm="1">
        <f t="array" ref="AC39">IFERROR(INDEX('Factory Log'!$S:$S,MATCH(1,(Performance!W$1='Factory Log'!$B:$B)*(Performance!W39='Factory Log'!$A:$A),0)),0)</f>
        <v>0</v>
      </c>
      <c r="AD39" s="3">
        <f>IFERROR(VLOOKUP(W39,'Factory Log'!$J:$R,9,0),0)</f>
        <v>0</v>
      </c>
      <c r="AE39" s="64">
        <f t="shared" si="4"/>
        <v>0</v>
      </c>
      <c r="AF39" s="58">
        <f t="shared" si="33"/>
        <v>0</v>
      </c>
      <c r="AI39" s="3">
        <f>IFERROR(VLOOKUP(AH39,'Factory Log'!$J:$O,6,0),0)</f>
        <v>0</v>
      </c>
      <c r="AJ39" s="3">
        <f>IFERROR(VLOOKUP(AH39,'Factory Log'!$J:$P,7,0),0)</f>
        <v>0</v>
      </c>
      <c r="AK39" s="3">
        <f>IFERROR(VLOOKUP(AH39,'Factory Log'!$J:$Q,8,0),0)</f>
        <v>0</v>
      </c>
      <c r="AL39" s="58">
        <f>SUMIFS('Factory Log'!$D:$D,'Factory Log'!$B:$B,Performance!AH$1,'Factory Log'!$J:$J,Performance!AH39,'Factory Log'!$C:$C,"Running")+SUMIFS('Factory Log'!$D:$D,'Factory Log'!$B:$B,Performance!AH$1,'Factory Log'!$J:$J,Performance!AH39,'Factory Log'!$C:$C,"Make Ready")+SUMIFS('Factory Log'!$D:$D,'Factory Log'!$B:$B,Performance!AH$1,'Factory Log'!$J:$J,Performance!AH39,'Factory Log'!$C:$C,"Roll Change")</f>
        <v>0</v>
      </c>
      <c r="AM39" s="3">
        <f>SUMIFS('Factory Log'!$M:$M,'Factory Log'!$B:$B,Performance!AH$1,'Factory Log'!$J:$J,Performance!AH39,'Factory Log'!$C:$C,"Running")</f>
        <v>0</v>
      </c>
      <c r="AN39" s="58" cm="1">
        <f t="array" ref="AN39">IFERROR(INDEX('Factory Log'!$S:$S,MATCH(1,(Performance!AH$1='Factory Log'!$B:$B)*(Performance!AH39='Factory Log'!$A:$A),0)),0)</f>
        <v>0</v>
      </c>
      <c r="AO39" s="3">
        <f>IFERROR(VLOOKUP(AH39,'Factory Log'!$J:$R,9,0),0)</f>
        <v>0</v>
      </c>
      <c r="AP39" s="64">
        <f t="shared" si="6"/>
        <v>0</v>
      </c>
      <c r="AQ39" s="58">
        <f t="shared" si="7"/>
        <v>0</v>
      </c>
      <c r="AT39" s="3">
        <f>IFERROR(VLOOKUP(AS39,'Factory Log'!$J:$O,6,0),0)</f>
        <v>0</v>
      </c>
      <c r="AU39" s="3">
        <f>IFERROR(VLOOKUP(AS39,'Factory Log'!$J:$P,7,0),0)</f>
        <v>0</v>
      </c>
      <c r="AV39" s="3">
        <f>IFERROR(VLOOKUP(AS39,'Factory Log'!$J:$Q,8,0),0)</f>
        <v>0</v>
      </c>
      <c r="AW39" s="58">
        <f>SUMIFS('Factory Log'!$D:$D,'Factory Log'!$B:$B,Performance!AS$1,'Factory Log'!$J:$J,Performance!AS39,'Factory Log'!$C:$C,"Running")+SUMIFS('Factory Log'!$D:$D,'Factory Log'!$B:$B,Performance!AS$1,'Factory Log'!$J:$J,Performance!AS39,'Factory Log'!$C:$C,"Make Ready")+SUMIFS('Factory Log'!$D:$D,'Factory Log'!$B:$B,Performance!AS$1,'Factory Log'!$J:$J,Performance!AS39,'Factory Log'!$C:$C,"Roll Change")</f>
        <v>0</v>
      </c>
      <c r="AX39" s="3">
        <f>SUMIFS('Factory Log'!$M:$M,'Factory Log'!$B:$B,Performance!AS$1,'Factory Log'!$J:$J,Performance!AS39,'Factory Log'!$C:$C,"Running")</f>
        <v>0</v>
      </c>
      <c r="AY39" s="58" cm="1">
        <f t="array" ref="AY39">IFERROR(INDEX('Factory Log'!$S:$S,MATCH(1,(Performance!AS$1='Factory Log'!$B:$B)*(Performance!AS39='Factory Log'!$A:$A),0)),0)</f>
        <v>0</v>
      </c>
      <c r="AZ39" s="3">
        <f>IFERROR(VLOOKUP(AS39,'Factory Log'!$J:$R,9,0),0)</f>
        <v>0</v>
      </c>
      <c r="BA39" s="64">
        <f t="shared" si="8"/>
        <v>0</v>
      </c>
      <c r="BB39" s="58">
        <f t="shared" si="9"/>
        <v>0</v>
      </c>
      <c r="BE39" s="3">
        <f>IFERROR(VLOOKUP(BD39,'Factory Log'!$J:$O,6,0),0)</f>
        <v>0</v>
      </c>
      <c r="BF39" s="3">
        <f>IFERROR(VLOOKUP(BD39,'Factory Log'!$J:$P,7,0),0)</f>
        <v>0</v>
      </c>
      <c r="BG39" s="3">
        <f>IFERROR(VLOOKUP(BD39,'Factory Log'!$J:$Q,8,0),0)</f>
        <v>0</v>
      </c>
      <c r="BH39" s="58">
        <f>SUMIFS('Factory Log'!$D:$D,'Factory Log'!$B:$B,Performance!BD$1,'Factory Log'!$J:$J,Performance!BD39,'Factory Log'!$C:$C,"Running")+SUMIFS('Factory Log'!$D:$D,'Factory Log'!$B:$B,Performance!BD$1,'Factory Log'!$J:$J,Performance!BD39,'Factory Log'!$C:$C,"Make Ready")+SUMIFS('Factory Log'!$D:$D,'Factory Log'!$B:$B,Performance!BD$1,'Factory Log'!$J:$J,Performance!BD39,'Factory Log'!$C:$C,"Roll Change")</f>
        <v>0</v>
      </c>
      <c r="BI39" s="3">
        <f>SUMIFS('Factory Log'!$M:$M,'Factory Log'!$B:$B,Performance!BD$1,'Factory Log'!$J:$J,Performance!BD39,'Factory Log'!$C:$C,"Running")</f>
        <v>0</v>
      </c>
      <c r="BJ39" s="58" cm="1">
        <f t="array" ref="BJ39">IFERROR(INDEX('Factory Log'!$S:$S,MATCH(1,(Performance!BD$1='Factory Log'!$B:$B)*(Performance!BD39='Factory Log'!$A:$A),0)),0)</f>
        <v>0</v>
      </c>
      <c r="BK39" s="3">
        <f>IFERROR(VLOOKUP(BD39,'Factory Log'!$J:$R,9,0),0)</f>
        <v>0</v>
      </c>
      <c r="BL39" s="64">
        <f t="shared" si="10"/>
        <v>0</v>
      </c>
      <c r="BM39" s="58">
        <f t="shared" si="11"/>
        <v>0</v>
      </c>
      <c r="BP39" s="3">
        <f>IFERROR(VLOOKUP(BO39,'Factory Log'!$J:$O,6,0),0)</f>
        <v>0</v>
      </c>
      <c r="BQ39" s="3">
        <f>IFERROR(VLOOKUP(BO39,'Factory Log'!$J:$P,7,0),0)</f>
        <v>0</v>
      </c>
      <c r="BR39" s="3">
        <f>IFERROR(VLOOKUP(BO39,'Factory Log'!$J:$Q,8,0),0)</f>
        <v>0</v>
      </c>
      <c r="BS39" s="58">
        <f>SUMIFS('Factory Log'!$D:$D,'Factory Log'!$B:$B,Performance!BO$1,'Factory Log'!$J:$J,Performance!BO39,'Factory Log'!$C:$C,"Running")+SUMIFS('Factory Log'!$D:$D,'Factory Log'!$B:$B,Performance!BO$1,'Factory Log'!$J:$J,Performance!BO39,'Factory Log'!$C:$C,"Make Ready")+SUMIFS('Factory Log'!$D:$D,'Factory Log'!$B:$B,Performance!BO$1,'Factory Log'!$J:$J,Performance!BO39,'Factory Log'!$C:$C,"Roll Change")</f>
        <v>0</v>
      </c>
      <c r="BT39" s="3">
        <f>SUMIFS('Factory Log'!$M:$M,'Factory Log'!$B:$B,Performance!BO$1,'Factory Log'!$J:$J,Performance!BO39,'Factory Log'!$C:$C,"Running")</f>
        <v>0</v>
      </c>
      <c r="BU39" s="58" cm="1">
        <f t="array" ref="BU39">IFERROR(INDEX('Factory Log'!$S:$S,MATCH(1,(Performance!BO$1='Factory Log'!$B:$B)*(Performance!BO39='Factory Log'!$A:$A),0)),0)</f>
        <v>0</v>
      </c>
      <c r="BV39" s="3">
        <f>IFERROR(VLOOKUP(BO39,'Factory Log'!$J:$R,9,0),0)</f>
        <v>0</v>
      </c>
      <c r="BW39" s="64">
        <f t="shared" si="12"/>
        <v>0</v>
      </c>
      <c r="BX39" s="58">
        <f t="shared" si="13"/>
        <v>0</v>
      </c>
      <c r="CA39" s="3">
        <f>IFERROR(VLOOKUP(BZ39,'Factory Log'!$J:$O,6,0),0)</f>
        <v>0</v>
      </c>
      <c r="CB39" s="3">
        <f>IFERROR(VLOOKUP(BZ39,'Factory Log'!$J:$P,7,0),0)</f>
        <v>0</v>
      </c>
      <c r="CC39" s="3">
        <f>IFERROR(VLOOKUP(BZ39,'Factory Log'!$J:$Q,8,0),0)</f>
        <v>0</v>
      </c>
      <c r="CD39" s="58">
        <f>SUMIFS('Factory Log'!$D:$D,'Factory Log'!$B:$B,Performance!BZ$1,'Factory Log'!$J:$J,Performance!BZ39,'Factory Log'!$C:$C,"Running")+SUMIFS('Factory Log'!$D:$D,'Factory Log'!$B:$B,Performance!BZ$1,'Factory Log'!$J:$J,Performance!BZ39,'Factory Log'!$C:$C,"Make Ready")+SUMIFS('Factory Log'!$D:$D,'Factory Log'!$B:$B,Performance!BZ$1,'Factory Log'!$J:$J,Performance!BZ39,'Factory Log'!$C:$C,"Roll Change")</f>
        <v>0</v>
      </c>
      <c r="CE39" s="3">
        <f>SUMIFS('Factory Log'!$M:$M,'Factory Log'!$B:$B,Performance!BZ$1,'Factory Log'!$J:$J,Performance!BZ39,'Factory Log'!$C:$C,"Running")</f>
        <v>0</v>
      </c>
      <c r="CF39" s="58" cm="1">
        <f t="array" ref="CF39">IFERROR(INDEX('Factory Log'!$S:$S,MATCH(1,(Performance!BZ$1='Factory Log'!$B:$B)*(Performance!BZ39='Factory Log'!$A:$A),0)),0)</f>
        <v>0</v>
      </c>
      <c r="CG39" s="3">
        <f>IFERROR(VLOOKUP(BZ39,'Factory Log'!$J:$R,9,0),0)</f>
        <v>0</v>
      </c>
      <c r="CH39" s="64">
        <f t="shared" si="14"/>
        <v>0</v>
      </c>
      <c r="CI39" s="58">
        <f t="shared" si="15"/>
        <v>0</v>
      </c>
      <c r="CL39" s="3">
        <f>IFERROR(VLOOKUP(CK39,'Factory Log'!$J:$O,6,0),0)</f>
        <v>0</v>
      </c>
      <c r="CM39" s="3">
        <f>IFERROR(VLOOKUP(CK39,'Factory Log'!$J:$P,7,0),0)</f>
        <v>0</v>
      </c>
      <c r="CN39" s="3">
        <f>IFERROR(VLOOKUP(CK39,'Factory Log'!$J:$Q,8,0),0)</f>
        <v>0</v>
      </c>
      <c r="CO39" s="58">
        <f>SUMIFS('Factory Log'!$D:$D,'Factory Log'!$B:$B,Performance!CK$1,'Factory Log'!$J:$J,Performance!CK39,'Factory Log'!$C:$C,"Running")+SUMIFS('Factory Log'!$D:$D,'Factory Log'!$B:$B,Performance!CK$1,'Factory Log'!$J:$J,Performance!CK39,'Factory Log'!$C:$C,"Make Ready")+SUMIFS('Factory Log'!$D:$D,'Factory Log'!$B:$B,Performance!CK$1,'Factory Log'!$J:$J,Performance!CK39,'Factory Log'!$C:$C,"Roll Change")</f>
        <v>0</v>
      </c>
      <c r="CP39" s="3">
        <f>SUMIFS('Factory Log'!$M:$M,'Factory Log'!$B:$B,Performance!CK$1,'Factory Log'!$J:$J,Performance!CK39,'Factory Log'!$C:$C,"Running")</f>
        <v>0</v>
      </c>
      <c r="CQ39" s="58" cm="1">
        <f t="array" ref="CQ39">IFERROR(INDEX('Factory Log'!$S:$S,MATCH(1,(Performance!CK$1='Factory Log'!$B:$B)*(Performance!CK39='Factory Log'!$A:$A),0)),0)</f>
        <v>0</v>
      </c>
      <c r="CR39" s="3">
        <f>IFERROR(VLOOKUP(CK39,'Factory Log'!$J:$R,9,0),0)</f>
        <v>0</v>
      </c>
      <c r="CS39" s="64">
        <f t="shared" si="16"/>
        <v>0</v>
      </c>
      <c r="CT39" s="58">
        <f t="shared" si="17"/>
        <v>0</v>
      </c>
      <c r="CW39" s="3">
        <f>IFERROR(VLOOKUP(CV39,'Factory Log'!$J:$O,6,0),0)</f>
        <v>0</v>
      </c>
      <c r="CX39" s="3">
        <f>IFERROR(VLOOKUP(CV39,'Factory Log'!$J:$P,7,0),0)</f>
        <v>0</v>
      </c>
      <c r="CY39" s="3">
        <f>IFERROR(VLOOKUP(CV39,'Factory Log'!$J:$Q,8,0),0)</f>
        <v>0</v>
      </c>
      <c r="CZ39" s="58">
        <f>SUMIFS('Factory Log'!$D:$D,'Factory Log'!$B:$B,Performance!CV$1,'Factory Log'!$J:$J,Performance!CV39,'Factory Log'!$C:$C,"Running")+SUMIFS('Factory Log'!$D:$D,'Factory Log'!$B:$B,Performance!CV$1,'Factory Log'!$J:$J,Performance!CV39,'Factory Log'!$C:$C,"Make Ready")+SUMIFS('Factory Log'!$D:$D,'Factory Log'!$B:$B,Performance!CV$1,'Factory Log'!$J:$J,Performance!CV39,'Factory Log'!$C:$C,"Roll Change")</f>
        <v>0</v>
      </c>
      <c r="DA39" s="3">
        <f>SUMIFS('Factory Log'!$M:$M,'Factory Log'!$B:$B,Performance!CV$1,'Factory Log'!$J:$J,Performance!CV39,'Factory Log'!$C:$C,"Running")</f>
        <v>0</v>
      </c>
      <c r="DB39" s="58" cm="1">
        <f t="array" ref="DB39">IFERROR(INDEX('Factory Log'!$S:$S,MATCH(1,(Performance!CV$1='Factory Log'!$B:$B)*(Performance!CV39='Factory Log'!$A:$A),0)),0)</f>
        <v>0</v>
      </c>
      <c r="DC39" s="3">
        <f>IFERROR(VLOOKUP(CV39,'Factory Log'!$J:$R,9,0),0)</f>
        <v>0</v>
      </c>
      <c r="DD39" s="64">
        <f t="shared" si="18"/>
        <v>0</v>
      </c>
      <c r="DE39" s="58">
        <f t="shared" si="19"/>
        <v>0</v>
      </c>
      <c r="DH39" s="3">
        <f>IFERROR(VLOOKUP(DG39,'Factory Log'!$J:$O,6,0),0)</f>
        <v>0</v>
      </c>
      <c r="DI39" s="3">
        <f>IFERROR(VLOOKUP(DG39,'Factory Log'!$J:$P,7,0),0)</f>
        <v>0</v>
      </c>
      <c r="DJ39" s="3">
        <f>IFERROR(VLOOKUP(DG39,'Factory Log'!$J:$Q,8,0),0)</f>
        <v>0</v>
      </c>
      <c r="DK39" s="58">
        <f>SUMIFS('Factory Log'!$D:$D,'Factory Log'!$B:$B,Performance!DG$1,'Factory Log'!$J:$J,Performance!DG39,'Factory Log'!$C:$C,"Running")+SUMIFS('Factory Log'!$D:$D,'Factory Log'!$B:$B,Performance!DG$1,'Factory Log'!$J:$J,Performance!DG39,'Factory Log'!$C:$C,"Make Ready")+SUMIFS('Factory Log'!$D:$D,'Factory Log'!$B:$B,Performance!DG$1,'Factory Log'!$J:$J,Performance!DG39,'Factory Log'!$C:$C,"Roll Change")</f>
        <v>0</v>
      </c>
      <c r="DL39" s="3">
        <f>SUMIFS('Factory Log'!$M:$M,'Factory Log'!$B:$B,Performance!DG$1,'Factory Log'!$J:$J,Performance!DG39,'Factory Log'!$C:$C,"Running")</f>
        <v>0</v>
      </c>
      <c r="DM39" s="58" cm="1">
        <f t="array" ref="DM39">IFERROR(INDEX('Factory Log'!$S:$S,MATCH(1,(Performance!DG$1='Factory Log'!$B:$B)*(Performance!DG39='Factory Log'!$A:$A),0)),0)</f>
        <v>0</v>
      </c>
      <c r="DN39" s="3">
        <f>IFERROR(VLOOKUP(DG39,'Factory Log'!$J:$R,9,0),0)</f>
        <v>0</v>
      </c>
      <c r="DO39" s="64">
        <f t="shared" si="20"/>
        <v>0</v>
      </c>
      <c r="DP39" s="58">
        <f t="shared" si="21"/>
        <v>0</v>
      </c>
      <c r="DS39" s="3">
        <f>IFERROR(VLOOKUP(DR39,'Factory Log'!$J:$O,6,0),0)</f>
        <v>0</v>
      </c>
      <c r="DT39" s="3">
        <f>IFERROR(VLOOKUP(DR39,'Factory Log'!$J:$P,7,0),0)</f>
        <v>0</v>
      </c>
      <c r="DU39" s="3">
        <f>IFERROR(VLOOKUP(DR39,'Factory Log'!$J:$Q,8,0),0)</f>
        <v>0</v>
      </c>
      <c r="DV39" s="58">
        <f>SUMIFS('Factory Log'!$D:$D,'Factory Log'!$B:$B,Performance!DR$1,'Factory Log'!$J:$J,Performance!DR39,'Factory Log'!$C:$C,"Running")+SUMIFS('Factory Log'!$D:$D,'Factory Log'!$B:$B,Performance!DR$1,'Factory Log'!$J:$J,Performance!DR39,'Factory Log'!$C:$C,"Make Ready")+SUMIFS('Factory Log'!$D:$D,'Factory Log'!$B:$B,Performance!DR$1,'Factory Log'!$J:$J,Performance!DR39,'Factory Log'!$C:$C,"Roll Change")</f>
        <v>0</v>
      </c>
      <c r="DW39" s="3">
        <f>SUMIFS('Factory Log'!$M:$M,'Factory Log'!$B:$B,Performance!DR$1,'Factory Log'!$J:$J,Performance!DR39,'Factory Log'!$C:$C,"Running")</f>
        <v>0</v>
      </c>
      <c r="DX39" s="58" cm="1">
        <f t="array" ref="DX39">IFERROR(INDEX('Factory Log'!$S:$S,MATCH(1,(Performance!DR$1='Factory Log'!$B:$B)*(Performance!DR39='Factory Log'!$A:$A),0)),0)</f>
        <v>0</v>
      </c>
      <c r="DY39" s="3">
        <f>IFERROR(VLOOKUP(DR39,'Factory Log'!$J:$R,9,0),0)</f>
        <v>0</v>
      </c>
      <c r="DZ39" s="64">
        <f t="shared" si="22"/>
        <v>0</v>
      </c>
      <c r="EA39" s="58">
        <f t="shared" si="23"/>
        <v>0</v>
      </c>
      <c r="ED39" s="3">
        <f>IFERROR(VLOOKUP(EC39,'Factory Log'!$J:$O,6,0),0)</f>
        <v>0</v>
      </c>
      <c r="EE39" s="3">
        <f>IFERROR(VLOOKUP(EC39,'Factory Log'!$J:$P,7,0),0)</f>
        <v>0</v>
      </c>
      <c r="EF39" s="3">
        <f>IFERROR(VLOOKUP(EC39,'Factory Log'!$J:$Q,8,0),0)</f>
        <v>0</v>
      </c>
      <c r="EG39" s="58">
        <f>SUMIFS('Factory Log'!$D:$D,'Factory Log'!$B:$B,Performance!EC$1,'Factory Log'!$J:$J,Performance!EC39,'Factory Log'!$C:$C,"Running")+SUMIFS('Factory Log'!$D:$D,'Factory Log'!$B:$B,Performance!EC$1,'Factory Log'!$J:$J,Performance!EC39,'Factory Log'!$C:$C,"Make Ready")+SUMIFS('Factory Log'!$D:$D,'Factory Log'!$B:$B,Performance!EC$1,'Factory Log'!$J:$J,Performance!EC39,'Factory Log'!$C:$C,"Roll Change")</f>
        <v>0</v>
      </c>
      <c r="EH39" s="3">
        <f>SUMIFS('Factory Log'!$M:$M,'Factory Log'!$B:$B,Performance!EC$1,'Factory Log'!$J:$J,Performance!EC39,'Factory Log'!$C:$C,"Running")</f>
        <v>0</v>
      </c>
      <c r="EI39" s="58" cm="1">
        <f t="array" ref="EI39">IFERROR(INDEX('Factory Log'!$S:$S,MATCH(1,(Performance!EC$1='Factory Log'!$B:$B)*(Performance!EC39='Factory Log'!$A:$A),0)),0)</f>
        <v>0</v>
      </c>
      <c r="EJ39" s="3">
        <f>IFERROR(VLOOKUP(EC39,'Factory Log'!$J:$R,9,0),0)</f>
        <v>0</v>
      </c>
      <c r="EK39" s="64">
        <f t="shared" si="24"/>
        <v>0</v>
      </c>
      <c r="EL39" s="58">
        <f t="shared" si="25"/>
        <v>0</v>
      </c>
      <c r="EO39" s="3">
        <f>IFERROR(VLOOKUP(EN39,'Factory Log'!$J:$O,6,0),0)</f>
        <v>0</v>
      </c>
      <c r="EP39" s="3">
        <f>IFERROR(VLOOKUP(EN39,'Factory Log'!$J:$P,7,0),0)</f>
        <v>0</v>
      </c>
      <c r="EQ39" s="3">
        <f>IFERROR(VLOOKUP(EN39,'Factory Log'!$J:$Q,8,0),0)</f>
        <v>0</v>
      </c>
      <c r="ER39" s="58">
        <f>SUMIFS('Factory Log'!$D:$D,'Factory Log'!$B:$B,Performance!EN$1,'Factory Log'!$J:$J,Performance!EN39,'Factory Log'!$C:$C,"Running")+SUMIFS('Factory Log'!$D:$D,'Factory Log'!$B:$B,Performance!EN$1,'Factory Log'!$J:$J,Performance!EN39,'Factory Log'!$C:$C,"Make Ready")+SUMIFS('Factory Log'!$D:$D,'Factory Log'!$B:$B,Performance!EN$1,'Factory Log'!$J:$J,Performance!EN39,'Factory Log'!$C:$C,"Roll Change")</f>
        <v>0</v>
      </c>
      <c r="ES39" s="3">
        <f>SUMIFS('Factory Log'!$M:$M,'Factory Log'!$B:$B,Performance!EN$1,'Factory Log'!$J:$J,Performance!EN39,'Factory Log'!$C:$C,"Running")</f>
        <v>0</v>
      </c>
      <c r="ET39" s="58" cm="1">
        <f t="array" ref="ET39">IFERROR(INDEX('Factory Log'!$S:$S,MATCH(1,(Performance!EN$1='Factory Log'!$B:$B)*(Performance!EN39='Factory Log'!$A:$A),0)),0)</f>
        <v>0</v>
      </c>
      <c r="EU39" s="3">
        <f>IFERROR(VLOOKUP(EN39,'Factory Log'!$J:$R,9,0),0)</f>
        <v>0</v>
      </c>
      <c r="EV39" s="64">
        <f t="shared" si="26"/>
        <v>0</v>
      </c>
      <c r="EW39" s="58">
        <f t="shared" si="27"/>
        <v>0</v>
      </c>
      <c r="EZ39" s="3">
        <f>IFERROR(VLOOKUP(EY39,'Factory Log'!$J:$O,6,0),0)</f>
        <v>0</v>
      </c>
      <c r="FA39" s="3">
        <f>IFERROR(VLOOKUP(EY39,'Factory Log'!$J:$P,7,0),0)</f>
        <v>0</v>
      </c>
      <c r="FB39" s="3">
        <f>IFERROR(VLOOKUP(EY39,'Factory Log'!$J:$Q,8,0),0)</f>
        <v>0</v>
      </c>
      <c r="FC39" s="58">
        <f>SUMIFS('Factory Log'!$D:$D,'Factory Log'!$B:$B,Performance!EY$1,'Factory Log'!$J:$J,Performance!EY39,'Factory Log'!$C:$C,"Running")+SUMIFS('Factory Log'!$D:$D,'Factory Log'!$B:$B,Performance!EY$1,'Factory Log'!$J:$J,Performance!EY39,'Factory Log'!$C:$C,"Make Ready")+SUMIFS('Factory Log'!$D:$D,'Factory Log'!$B:$B,Performance!EY$1,'Factory Log'!$J:$J,Performance!EY39,'Factory Log'!$C:$C,"Roll Change")</f>
        <v>0</v>
      </c>
      <c r="FD39" s="3">
        <f>SUMIFS('Factory Log'!$M:$M,'Factory Log'!$B:$B,Performance!EY$1,'Factory Log'!$J:$J,Performance!EY39,'Factory Log'!$C:$C,"Running")</f>
        <v>0</v>
      </c>
      <c r="FE39" s="58" cm="1">
        <f t="array" ref="FE39">IFERROR(INDEX('Factory Log'!$S:$S,MATCH(1,(Performance!EY$1='Factory Log'!$B:$B)*(Performance!EY39='Factory Log'!$A:$A),0)),0)</f>
        <v>0</v>
      </c>
      <c r="FF39" s="3">
        <f>IFERROR(VLOOKUP(EY39,'Factory Log'!$J:$R,9,0),0)</f>
        <v>0</v>
      </c>
      <c r="FG39" s="64">
        <f t="shared" si="28"/>
        <v>0</v>
      </c>
      <c r="FH39" s="58">
        <f t="shared" si="29"/>
        <v>0</v>
      </c>
    </row>
    <row r="40" spans="2:164" ht="16" customHeight="1" x14ac:dyDescent="0.2">
      <c r="B40" s="3">
        <f>IFERROR(VLOOKUP(A40,'Factory Log'!$J:$O,6,0),0)</f>
        <v>0</v>
      </c>
      <c r="C40" s="3">
        <f>IFERROR(VLOOKUP(A40,'Factory Log'!$J:$P,7,0),0)</f>
        <v>0</v>
      </c>
      <c r="D40" s="3">
        <f>IFERROR(VLOOKUP(A40,'Factory Log'!$J:$Q,8,0),0)</f>
        <v>0</v>
      </c>
      <c r="E40" s="58">
        <f>SUMIFS('Factory Log'!$D:$D,'Factory Log'!$B:$B,Performance!A$1,'Factory Log'!$J:$J,Performance!A40,'Factory Log'!$C:$C,"Running")+SUMIFS('Factory Log'!$D:$D,'Factory Log'!$B:$B,Performance!A$1,'Factory Log'!$J:$J,Performance!A40,'Factory Log'!$C:$C,"Make Ready")+SUMIFS('Factory Log'!$D:$D,'Factory Log'!$B:$B,Performance!A$1,'Factory Log'!$J:$J,Performance!A40,'Factory Log'!$C:$C,"Roll Change")</f>
        <v>0</v>
      </c>
      <c r="F40" s="3">
        <f>SUMIFS('Factory Log'!$M:$M,'Factory Log'!$B:$B,Performance!A$1,'Factory Log'!$J:$J,Performance!A40,'Factory Log'!$C:$C,"Running")</f>
        <v>0</v>
      </c>
      <c r="G40" s="58" cm="1">
        <f t="array" ref="G40">IFERROR(INDEX('Factory Log'!$S:$S,MATCH(1,(Performance!A$1='Factory Log'!$B:$B)*(Performance!A40='Factory Log'!$A:$A),0)),0)</f>
        <v>0</v>
      </c>
      <c r="H40" s="3">
        <f>IFERROR(VLOOKUP(A40,'Factory Log'!$J:$R,9,0),0)</f>
        <v>0</v>
      </c>
      <c r="I40" s="64">
        <f t="shared" si="1"/>
        <v>0</v>
      </c>
      <c r="J40" s="58">
        <f t="shared" si="30"/>
        <v>0</v>
      </c>
      <c r="M40" s="3">
        <f>IFERROR(VLOOKUP(L40,'Factory Log'!$J:$O,6,0),0)</f>
        <v>0</v>
      </c>
      <c r="N40" s="3">
        <f>IFERROR(VLOOKUP(L40,'Factory Log'!$J:$P,7,0),0)</f>
        <v>0</v>
      </c>
      <c r="O40" s="3">
        <f>IFERROR(VLOOKUP(L40,'Factory Log'!$J:$Q,8,0),0)</f>
        <v>0</v>
      </c>
      <c r="P40" s="58">
        <f>SUMIFS('Factory Log'!$D:$D,'Factory Log'!$B:$B,Performance!L$1,'Factory Log'!$J:$J,Performance!L40,'Factory Log'!$C:$C,"Running")+SUMIFS('Factory Log'!$D:$D,'Factory Log'!$B:$B,Performance!L$1,'Factory Log'!$J:$J,Performance!L40,'Factory Log'!$C:$C,"Make Ready")+SUMIFS('Factory Log'!$D:$D,'Factory Log'!$B:$B,Performance!L$1,'Factory Log'!$J:$J,Performance!L40,'Factory Log'!$C:$C,"Roll Change")</f>
        <v>0</v>
      </c>
      <c r="Q40" s="3">
        <f>SUMIFS('Factory Log'!$M:$M,'Factory Log'!$B:$B,Performance!L$1,'Factory Log'!$J:$J,Performance!L40,'Factory Log'!$C:$C,"Running")</f>
        <v>0</v>
      </c>
      <c r="R40" s="58" cm="1">
        <f t="array" ref="R40">IFERROR(INDEX('Factory Log'!$S:$S,MATCH(1,(Performance!L$1='Factory Log'!$B:$B)*(Performance!L40='Factory Log'!$A:$A),0)),0)</f>
        <v>0</v>
      </c>
      <c r="S40" s="3">
        <f>IFERROR(VLOOKUP(L40,'Factory Log'!$J:$R,9,0),0)</f>
        <v>0</v>
      </c>
      <c r="T40" s="64">
        <f t="shared" si="2"/>
        <v>0</v>
      </c>
      <c r="U40" s="58">
        <f t="shared" si="31"/>
        <v>0</v>
      </c>
      <c r="X40" s="3">
        <f>IFERROR(VLOOKUP(W40,'Factory Log'!$J:$O,6,0),0)</f>
        <v>0</v>
      </c>
      <c r="Y40" s="3">
        <f>IFERROR(VLOOKUP(W40,'Factory Log'!$J:$P,7,0),0)</f>
        <v>0</v>
      </c>
      <c r="Z40" s="3">
        <f>IFERROR(VLOOKUP(W40,'Factory Log'!$J:$Q,8,0),0)</f>
        <v>0</v>
      </c>
      <c r="AA40" s="58">
        <f>SUMIFS('Factory Log'!$D:$D,'Factory Log'!$B:$B,Performance!W$1,'Factory Log'!$J:$J,Performance!W40,'Factory Log'!$C:$C,"Running")+SUMIFS('Factory Log'!$D:$D,'Factory Log'!$B:$B,Performance!W$1,'Factory Log'!$J:$J,Performance!W40,'Factory Log'!$C:$C,"Make Ready")+SUMIFS('Factory Log'!$D:$D,'Factory Log'!$B:$B,Performance!W$1,'Factory Log'!$J:$J,Performance!W40,'Factory Log'!$C:$C,"Roll Change")</f>
        <v>0</v>
      </c>
      <c r="AB40" s="3">
        <f>SUMIFS('Factory Log'!$M:$M,'Factory Log'!$B:$B,Performance!W$1,'Factory Log'!$J:$J,Performance!W40,'Factory Log'!$C:$C,"Running")</f>
        <v>0</v>
      </c>
      <c r="AC40" s="58" cm="1">
        <f t="array" ref="AC40">IFERROR(INDEX('Factory Log'!$S:$S,MATCH(1,(Performance!W$1='Factory Log'!$B:$B)*(Performance!W40='Factory Log'!$A:$A),0)),0)</f>
        <v>0</v>
      </c>
      <c r="AD40" s="3">
        <f>IFERROR(VLOOKUP(W40,'Factory Log'!$J:$R,9,0),0)</f>
        <v>0</v>
      </c>
      <c r="AE40" s="64">
        <f t="shared" si="4"/>
        <v>0</v>
      </c>
      <c r="AF40" s="58">
        <f t="shared" si="33"/>
        <v>0</v>
      </c>
      <c r="AI40" s="3">
        <f>IFERROR(VLOOKUP(AH40,'Factory Log'!$J:$O,6,0),0)</f>
        <v>0</v>
      </c>
      <c r="AJ40" s="3">
        <f>IFERROR(VLOOKUP(AH40,'Factory Log'!$J:$P,7,0),0)</f>
        <v>0</v>
      </c>
      <c r="AK40" s="3">
        <f>IFERROR(VLOOKUP(AH40,'Factory Log'!$J:$Q,8,0),0)</f>
        <v>0</v>
      </c>
      <c r="AL40" s="58">
        <f>SUMIFS('Factory Log'!$D:$D,'Factory Log'!$B:$B,Performance!AH$1,'Factory Log'!$J:$J,Performance!AH40,'Factory Log'!$C:$C,"Running")+SUMIFS('Factory Log'!$D:$D,'Factory Log'!$B:$B,Performance!AH$1,'Factory Log'!$J:$J,Performance!AH40,'Factory Log'!$C:$C,"Make Ready")+SUMIFS('Factory Log'!$D:$D,'Factory Log'!$B:$B,Performance!AH$1,'Factory Log'!$J:$J,Performance!AH40,'Factory Log'!$C:$C,"Roll Change")</f>
        <v>0</v>
      </c>
      <c r="AM40" s="3">
        <f>SUMIFS('Factory Log'!$M:$M,'Factory Log'!$B:$B,Performance!AH$1,'Factory Log'!$J:$J,Performance!AH40,'Factory Log'!$C:$C,"Running")</f>
        <v>0</v>
      </c>
      <c r="AN40" s="58" cm="1">
        <f t="array" ref="AN40">IFERROR(INDEX('Factory Log'!$S:$S,MATCH(1,(Performance!AH$1='Factory Log'!$B:$B)*(Performance!AH40='Factory Log'!$A:$A),0)),0)</f>
        <v>0</v>
      </c>
      <c r="AO40" s="3">
        <f>IFERROR(VLOOKUP(AH40,'Factory Log'!$J:$R,9,0),0)</f>
        <v>0</v>
      </c>
      <c r="AP40" s="64">
        <f t="shared" si="6"/>
        <v>0</v>
      </c>
      <c r="AQ40" s="58">
        <f t="shared" si="7"/>
        <v>0</v>
      </c>
      <c r="AT40" s="3">
        <f>IFERROR(VLOOKUP(AS40,'Factory Log'!$J:$O,6,0),0)</f>
        <v>0</v>
      </c>
      <c r="AU40" s="3">
        <f>IFERROR(VLOOKUP(AS40,'Factory Log'!$J:$P,7,0),0)</f>
        <v>0</v>
      </c>
      <c r="AV40" s="3">
        <f>IFERROR(VLOOKUP(AS40,'Factory Log'!$J:$Q,8,0),0)</f>
        <v>0</v>
      </c>
      <c r="AW40" s="58">
        <f>SUMIFS('Factory Log'!$D:$D,'Factory Log'!$B:$B,Performance!AS$1,'Factory Log'!$J:$J,Performance!AS40,'Factory Log'!$C:$C,"Running")+SUMIFS('Factory Log'!$D:$D,'Factory Log'!$B:$B,Performance!AS$1,'Factory Log'!$J:$J,Performance!AS40,'Factory Log'!$C:$C,"Make Ready")+SUMIFS('Factory Log'!$D:$D,'Factory Log'!$B:$B,Performance!AS$1,'Factory Log'!$J:$J,Performance!AS40,'Factory Log'!$C:$C,"Roll Change")</f>
        <v>0</v>
      </c>
      <c r="AX40" s="3">
        <f>SUMIFS('Factory Log'!$M:$M,'Factory Log'!$B:$B,Performance!AS$1,'Factory Log'!$J:$J,Performance!AS40,'Factory Log'!$C:$C,"Running")</f>
        <v>0</v>
      </c>
      <c r="AY40" s="58" cm="1">
        <f t="array" ref="AY40">IFERROR(INDEX('Factory Log'!$S:$S,MATCH(1,(Performance!AS$1='Factory Log'!$B:$B)*(Performance!AS40='Factory Log'!$A:$A),0)),0)</f>
        <v>0</v>
      </c>
      <c r="AZ40" s="3">
        <f>IFERROR(VLOOKUP(AS40,'Factory Log'!$J:$R,9,0),0)</f>
        <v>0</v>
      </c>
      <c r="BA40" s="64">
        <f t="shared" si="8"/>
        <v>0</v>
      </c>
      <c r="BB40" s="58">
        <f t="shared" si="9"/>
        <v>0</v>
      </c>
      <c r="BE40" s="3">
        <f>IFERROR(VLOOKUP(BD40,'Factory Log'!$J:$O,6,0),0)</f>
        <v>0</v>
      </c>
      <c r="BF40" s="3">
        <f>IFERROR(VLOOKUP(BD40,'Factory Log'!$J:$P,7,0),0)</f>
        <v>0</v>
      </c>
      <c r="BG40" s="3">
        <f>IFERROR(VLOOKUP(BD40,'Factory Log'!$J:$Q,8,0),0)</f>
        <v>0</v>
      </c>
      <c r="BH40" s="58">
        <f>SUMIFS('Factory Log'!$D:$D,'Factory Log'!$B:$B,Performance!BD$1,'Factory Log'!$J:$J,Performance!BD40,'Factory Log'!$C:$C,"Running")+SUMIFS('Factory Log'!$D:$D,'Factory Log'!$B:$B,Performance!BD$1,'Factory Log'!$J:$J,Performance!BD40,'Factory Log'!$C:$C,"Make Ready")+SUMIFS('Factory Log'!$D:$D,'Factory Log'!$B:$B,Performance!BD$1,'Factory Log'!$J:$J,Performance!BD40,'Factory Log'!$C:$C,"Roll Change")</f>
        <v>0</v>
      </c>
      <c r="BI40" s="3">
        <f>SUMIFS('Factory Log'!$M:$M,'Factory Log'!$B:$B,Performance!BD$1,'Factory Log'!$J:$J,Performance!BD40,'Factory Log'!$C:$C,"Running")</f>
        <v>0</v>
      </c>
      <c r="BJ40" s="58" cm="1">
        <f t="array" ref="BJ40">IFERROR(INDEX('Factory Log'!$S:$S,MATCH(1,(Performance!BD$1='Factory Log'!$B:$B)*(Performance!BD40='Factory Log'!$A:$A),0)),0)</f>
        <v>0</v>
      </c>
      <c r="BK40" s="3">
        <f>IFERROR(VLOOKUP(BD40,'Factory Log'!$J:$R,9,0),0)</f>
        <v>0</v>
      </c>
      <c r="BL40" s="64">
        <f t="shared" si="10"/>
        <v>0</v>
      </c>
      <c r="BM40" s="58">
        <f t="shared" si="11"/>
        <v>0</v>
      </c>
      <c r="BP40" s="3">
        <f>IFERROR(VLOOKUP(BO40,'Factory Log'!$J:$O,6,0),0)</f>
        <v>0</v>
      </c>
      <c r="BQ40" s="3">
        <f>IFERROR(VLOOKUP(BO40,'Factory Log'!$J:$P,7,0),0)</f>
        <v>0</v>
      </c>
      <c r="BR40" s="3">
        <f>IFERROR(VLOOKUP(BO40,'Factory Log'!$J:$Q,8,0),0)</f>
        <v>0</v>
      </c>
      <c r="BS40" s="58">
        <f>SUMIFS('Factory Log'!$D:$D,'Factory Log'!$B:$B,Performance!BO$1,'Factory Log'!$J:$J,Performance!BO40,'Factory Log'!$C:$C,"Running")+SUMIFS('Factory Log'!$D:$D,'Factory Log'!$B:$B,Performance!BO$1,'Factory Log'!$J:$J,Performance!BO40,'Factory Log'!$C:$C,"Make Ready")+SUMIFS('Factory Log'!$D:$D,'Factory Log'!$B:$B,Performance!BO$1,'Factory Log'!$J:$J,Performance!BO40,'Factory Log'!$C:$C,"Roll Change")</f>
        <v>0</v>
      </c>
      <c r="BT40" s="3">
        <f>SUMIFS('Factory Log'!$M:$M,'Factory Log'!$B:$B,Performance!BO$1,'Factory Log'!$J:$J,Performance!BO40,'Factory Log'!$C:$C,"Running")</f>
        <v>0</v>
      </c>
      <c r="BU40" s="58" cm="1">
        <f t="array" ref="BU40">IFERROR(INDEX('Factory Log'!$S:$S,MATCH(1,(Performance!BO$1='Factory Log'!$B:$B)*(Performance!BO40='Factory Log'!$A:$A),0)),0)</f>
        <v>0</v>
      </c>
      <c r="BV40" s="3">
        <f>IFERROR(VLOOKUP(BO40,'Factory Log'!$J:$R,9,0),0)</f>
        <v>0</v>
      </c>
      <c r="BW40" s="64">
        <f t="shared" si="12"/>
        <v>0</v>
      </c>
      <c r="BX40" s="58">
        <f t="shared" si="13"/>
        <v>0</v>
      </c>
      <c r="CA40" s="3">
        <f>IFERROR(VLOOKUP(BZ40,'Factory Log'!$J:$O,6,0),0)</f>
        <v>0</v>
      </c>
      <c r="CB40" s="3">
        <f>IFERROR(VLOOKUP(BZ40,'Factory Log'!$J:$P,7,0),0)</f>
        <v>0</v>
      </c>
      <c r="CC40" s="3">
        <f>IFERROR(VLOOKUP(BZ40,'Factory Log'!$J:$Q,8,0),0)</f>
        <v>0</v>
      </c>
      <c r="CD40" s="58">
        <f>SUMIFS('Factory Log'!$D:$D,'Factory Log'!$B:$B,Performance!BZ$1,'Factory Log'!$J:$J,Performance!BZ40,'Factory Log'!$C:$C,"Running")+SUMIFS('Factory Log'!$D:$D,'Factory Log'!$B:$B,Performance!BZ$1,'Factory Log'!$J:$J,Performance!BZ40,'Factory Log'!$C:$C,"Make Ready")+SUMIFS('Factory Log'!$D:$D,'Factory Log'!$B:$B,Performance!BZ$1,'Factory Log'!$J:$J,Performance!BZ40,'Factory Log'!$C:$C,"Roll Change")</f>
        <v>0</v>
      </c>
      <c r="CE40" s="3">
        <f>SUMIFS('Factory Log'!$M:$M,'Factory Log'!$B:$B,Performance!BZ$1,'Factory Log'!$J:$J,Performance!BZ40,'Factory Log'!$C:$C,"Running")</f>
        <v>0</v>
      </c>
      <c r="CF40" s="58" cm="1">
        <f t="array" ref="CF40">IFERROR(INDEX('Factory Log'!$S:$S,MATCH(1,(Performance!BZ$1='Factory Log'!$B:$B)*(Performance!BZ40='Factory Log'!$A:$A),0)),0)</f>
        <v>0</v>
      </c>
      <c r="CG40" s="3">
        <f>IFERROR(VLOOKUP(BZ40,'Factory Log'!$J:$R,9,0),0)</f>
        <v>0</v>
      </c>
      <c r="CH40" s="64">
        <f t="shared" si="14"/>
        <v>0</v>
      </c>
      <c r="CI40" s="58">
        <f t="shared" si="15"/>
        <v>0</v>
      </c>
      <c r="CL40" s="3">
        <f>IFERROR(VLOOKUP(CK40,'Factory Log'!$J:$O,6,0),0)</f>
        <v>0</v>
      </c>
      <c r="CM40" s="3">
        <f>IFERROR(VLOOKUP(CK40,'Factory Log'!$J:$P,7,0),0)</f>
        <v>0</v>
      </c>
      <c r="CN40" s="3">
        <f>IFERROR(VLOOKUP(CK40,'Factory Log'!$J:$Q,8,0),0)</f>
        <v>0</v>
      </c>
      <c r="CO40" s="58">
        <f>SUMIFS('Factory Log'!$D:$D,'Factory Log'!$B:$B,Performance!CK$1,'Factory Log'!$J:$J,Performance!CK40,'Factory Log'!$C:$C,"Running")+SUMIFS('Factory Log'!$D:$D,'Factory Log'!$B:$B,Performance!CK$1,'Factory Log'!$J:$J,Performance!CK40,'Factory Log'!$C:$C,"Make Ready")+SUMIFS('Factory Log'!$D:$D,'Factory Log'!$B:$B,Performance!CK$1,'Factory Log'!$J:$J,Performance!CK40,'Factory Log'!$C:$C,"Roll Change")</f>
        <v>0</v>
      </c>
      <c r="CP40" s="3">
        <f>SUMIFS('Factory Log'!$M:$M,'Factory Log'!$B:$B,Performance!CK$1,'Factory Log'!$J:$J,Performance!CK40,'Factory Log'!$C:$C,"Running")</f>
        <v>0</v>
      </c>
      <c r="CQ40" s="58" cm="1">
        <f t="array" ref="CQ40">IFERROR(INDEX('Factory Log'!$S:$S,MATCH(1,(Performance!CK$1='Factory Log'!$B:$B)*(Performance!CK40='Factory Log'!$A:$A),0)),0)</f>
        <v>0</v>
      </c>
      <c r="CR40" s="3">
        <f>IFERROR(VLOOKUP(CK40,'Factory Log'!$J:$R,9,0),0)</f>
        <v>0</v>
      </c>
      <c r="CS40" s="64">
        <f t="shared" si="16"/>
        <v>0</v>
      </c>
      <c r="CT40" s="58">
        <f t="shared" si="17"/>
        <v>0</v>
      </c>
      <c r="CW40" s="3">
        <f>IFERROR(VLOOKUP(CV40,'Factory Log'!$J:$O,6,0),0)</f>
        <v>0</v>
      </c>
      <c r="CX40" s="3">
        <f>IFERROR(VLOOKUP(CV40,'Factory Log'!$J:$P,7,0),0)</f>
        <v>0</v>
      </c>
      <c r="CY40" s="3">
        <f>IFERROR(VLOOKUP(CV40,'Factory Log'!$J:$Q,8,0),0)</f>
        <v>0</v>
      </c>
      <c r="CZ40" s="58">
        <f>SUMIFS('Factory Log'!$D:$D,'Factory Log'!$B:$B,Performance!CV$1,'Factory Log'!$J:$J,Performance!CV40,'Factory Log'!$C:$C,"Running")+SUMIFS('Factory Log'!$D:$D,'Factory Log'!$B:$B,Performance!CV$1,'Factory Log'!$J:$J,Performance!CV40,'Factory Log'!$C:$C,"Make Ready")+SUMIFS('Factory Log'!$D:$D,'Factory Log'!$B:$B,Performance!CV$1,'Factory Log'!$J:$J,Performance!CV40,'Factory Log'!$C:$C,"Roll Change")</f>
        <v>0</v>
      </c>
      <c r="DA40" s="3">
        <f>SUMIFS('Factory Log'!$M:$M,'Factory Log'!$B:$B,Performance!CV$1,'Factory Log'!$J:$J,Performance!CV40,'Factory Log'!$C:$C,"Running")</f>
        <v>0</v>
      </c>
      <c r="DB40" s="58" cm="1">
        <f t="array" ref="DB40">IFERROR(INDEX('Factory Log'!$S:$S,MATCH(1,(Performance!CV$1='Factory Log'!$B:$B)*(Performance!CV40='Factory Log'!$A:$A),0)),0)</f>
        <v>0</v>
      </c>
      <c r="DC40" s="3">
        <f>IFERROR(VLOOKUP(CV40,'Factory Log'!$J:$R,9,0),0)</f>
        <v>0</v>
      </c>
      <c r="DD40" s="64">
        <f t="shared" si="18"/>
        <v>0</v>
      </c>
      <c r="DE40" s="58">
        <f t="shared" si="19"/>
        <v>0</v>
      </c>
      <c r="DH40" s="3">
        <f>IFERROR(VLOOKUP(DG40,'Factory Log'!$J:$O,6,0),0)</f>
        <v>0</v>
      </c>
      <c r="DI40" s="3">
        <f>IFERROR(VLOOKUP(DG40,'Factory Log'!$J:$P,7,0),0)</f>
        <v>0</v>
      </c>
      <c r="DJ40" s="3">
        <f>IFERROR(VLOOKUP(DG40,'Factory Log'!$J:$Q,8,0),0)</f>
        <v>0</v>
      </c>
      <c r="DK40" s="58">
        <f>SUMIFS('Factory Log'!$D:$D,'Factory Log'!$B:$B,Performance!DG$1,'Factory Log'!$J:$J,Performance!DG40,'Factory Log'!$C:$C,"Running")+SUMIFS('Factory Log'!$D:$D,'Factory Log'!$B:$B,Performance!DG$1,'Factory Log'!$J:$J,Performance!DG40,'Factory Log'!$C:$C,"Make Ready")+SUMIFS('Factory Log'!$D:$D,'Factory Log'!$B:$B,Performance!DG$1,'Factory Log'!$J:$J,Performance!DG40,'Factory Log'!$C:$C,"Roll Change")</f>
        <v>0</v>
      </c>
      <c r="DL40" s="3">
        <f>SUMIFS('Factory Log'!$M:$M,'Factory Log'!$B:$B,Performance!DG$1,'Factory Log'!$J:$J,Performance!DG40,'Factory Log'!$C:$C,"Running")</f>
        <v>0</v>
      </c>
      <c r="DM40" s="58" cm="1">
        <f t="array" ref="DM40">IFERROR(INDEX('Factory Log'!$S:$S,MATCH(1,(Performance!DG$1='Factory Log'!$B:$B)*(Performance!DG40='Factory Log'!$A:$A),0)),0)</f>
        <v>0</v>
      </c>
      <c r="DN40" s="3">
        <f>IFERROR(VLOOKUP(DG40,'Factory Log'!$J:$R,9,0),0)</f>
        <v>0</v>
      </c>
      <c r="DO40" s="64">
        <f t="shared" si="20"/>
        <v>0</v>
      </c>
      <c r="DP40" s="58">
        <f t="shared" si="21"/>
        <v>0</v>
      </c>
      <c r="DS40" s="3">
        <f>IFERROR(VLOOKUP(DR40,'Factory Log'!$J:$O,6,0),0)</f>
        <v>0</v>
      </c>
      <c r="DT40" s="3">
        <f>IFERROR(VLOOKUP(DR40,'Factory Log'!$J:$P,7,0),0)</f>
        <v>0</v>
      </c>
      <c r="DU40" s="3">
        <f>IFERROR(VLOOKUP(DR40,'Factory Log'!$J:$Q,8,0),0)</f>
        <v>0</v>
      </c>
      <c r="DV40" s="58">
        <f>SUMIFS('Factory Log'!$D:$D,'Factory Log'!$B:$B,Performance!DR$1,'Factory Log'!$J:$J,Performance!DR40,'Factory Log'!$C:$C,"Running")+SUMIFS('Factory Log'!$D:$D,'Factory Log'!$B:$B,Performance!DR$1,'Factory Log'!$J:$J,Performance!DR40,'Factory Log'!$C:$C,"Make Ready")+SUMIFS('Factory Log'!$D:$D,'Factory Log'!$B:$B,Performance!DR$1,'Factory Log'!$J:$J,Performance!DR40,'Factory Log'!$C:$C,"Roll Change")</f>
        <v>0</v>
      </c>
      <c r="DW40" s="3">
        <f>SUMIFS('Factory Log'!$M:$M,'Factory Log'!$B:$B,Performance!DR$1,'Factory Log'!$J:$J,Performance!DR40,'Factory Log'!$C:$C,"Running")</f>
        <v>0</v>
      </c>
      <c r="DX40" s="58" cm="1">
        <f t="array" ref="DX40">IFERROR(INDEX('Factory Log'!$S:$S,MATCH(1,(Performance!DR$1='Factory Log'!$B:$B)*(Performance!DR40='Factory Log'!$A:$A),0)),0)</f>
        <v>0</v>
      </c>
      <c r="DY40" s="3">
        <f>IFERROR(VLOOKUP(DR40,'Factory Log'!$J:$R,9,0),0)</f>
        <v>0</v>
      </c>
      <c r="DZ40" s="64">
        <f t="shared" si="22"/>
        <v>0</v>
      </c>
      <c r="EA40" s="58">
        <f t="shared" si="23"/>
        <v>0</v>
      </c>
      <c r="ED40" s="3">
        <f>IFERROR(VLOOKUP(EC40,'Factory Log'!$J:$O,6,0),0)</f>
        <v>0</v>
      </c>
      <c r="EE40" s="3">
        <f>IFERROR(VLOOKUP(EC40,'Factory Log'!$J:$P,7,0),0)</f>
        <v>0</v>
      </c>
      <c r="EF40" s="3">
        <f>IFERROR(VLOOKUP(EC40,'Factory Log'!$J:$Q,8,0),0)</f>
        <v>0</v>
      </c>
      <c r="EG40" s="58">
        <f>SUMIFS('Factory Log'!$D:$D,'Factory Log'!$B:$B,Performance!EC$1,'Factory Log'!$J:$J,Performance!EC40,'Factory Log'!$C:$C,"Running")+SUMIFS('Factory Log'!$D:$D,'Factory Log'!$B:$B,Performance!EC$1,'Factory Log'!$J:$J,Performance!EC40,'Factory Log'!$C:$C,"Make Ready")+SUMIFS('Factory Log'!$D:$D,'Factory Log'!$B:$B,Performance!EC$1,'Factory Log'!$J:$J,Performance!EC40,'Factory Log'!$C:$C,"Roll Change")</f>
        <v>0</v>
      </c>
      <c r="EH40" s="3">
        <f>SUMIFS('Factory Log'!$M:$M,'Factory Log'!$B:$B,Performance!EC$1,'Factory Log'!$J:$J,Performance!EC40,'Factory Log'!$C:$C,"Running")</f>
        <v>0</v>
      </c>
      <c r="EI40" s="58" cm="1">
        <f t="array" ref="EI40">IFERROR(INDEX('Factory Log'!$S:$S,MATCH(1,(Performance!EC$1='Factory Log'!$B:$B)*(Performance!EC40='Factory Log'!$A:$A),0)),0)</f>
        <v>0</v>
      </c>
      <c r="EJ40" s="3">
        <f>IFERROR(VLOOKUP(EC40,'Factory Log'!$J:$R,9,0),0)</f>
        <v>0</v>
      </c>
      <c r="EK40" s="64">
        <f t="shared" si="24"/>
        <v>0</v>
      </c>
      <c r="EL40" s="58">
        <f t="shared" si="25"/>
        <v>0</v>
      </c>
      <c r="EO40" s="3">
        <f>IFERROR(VLOOKUP(EN40,'Factory Log'!$J:$O,6,0),0)</f>
        <v>0</v>
      </c>
      <c r="EP40" s="3">
        <f>IFERROR(VLOOKUP(EN40,'Factory Log'!$J:$P,7,0),0)</f>
        <v>0</v>
      </c>
      <c r="EQ40" s="3">
        <f>IFERROR(VLOOKUP(EN40,'Factory Log'!$J:$Q,8,0),0)</f>
        <v>0</v>
      </c>
      <c r="ER40" s="58">
        <f>SUMIFS('Factory Log'!$D:$D,'Factory Log'!$B:$B,Performance!EN$1,'Factory Log'!$J:$J,Performance!EN40,'Factory Log'!$C:$C,"Running")+SUMIFS('Factory Log'!$D:$D,'Factory Log'!$B:$B,Performance!EN$1,'Factory Log'!$J:$J,Performance!EN40,'Factory Log'!$C:$C,"Make Ready")+SUMIFS('Factory Log'!$D:$D,'Factory Log'!$B:$B,Performance!EN$1,'Factory Log'!$J:$J,Performance!EN40,'Factory Log'!$C:$C,"Roll Change")</f>
        <v>0</v>
      </c>
      <c r="ES40" s="3">
        <f>SUMIFS('Factory Log'!$M:$M,'Factory Log'!$B:$B,Performance!EN$1,'Factory Log'!$J:$J,Performance!EN40,'Factory Log'!$C:$C,"Running")</f>
        <v>0</v>
      </c>
      <c r="ET40" s="58" cm="1">
        <f t="array" ref="ET40">IFERROR(INDEX('Factory Log'!$S:$S,MATCH(1,(Performance!EN$1='Factory Log'!$B:$B)*(Performance!EN40='Factory Log'!$A:$A),0)),0)</f>
        <v>0</v>
      </c>
      <c r="EU40" s="3">
        <f>IFERROR(VLOOKUP(EN40,'Factory Log'!$J:$R,9,0),0)</f>
        <v>0</v>
      </c>
      <c r="EV40" s="64">
        <f t="shared" si="26"/>
        <v>0</v>
      </c>
      <c r="EW40" s="58">
        <f t="shared" si="27"/>
        <v>0</v>
      </c>
      <c r="EZ40" s="3">
        <f>IFERROR(VLOOKUP(EY40,'Factory Log'!$J:$O,6,0),0)</f>
        <v>0</v>
      </c>
      <c r="FA40" s="3">
        <f>IFERROR(VLOOKUP(EY40,'Factory Log'!$J:$P,7,0),0)</f>
        <v>0</v>
      </c>
      <c r="FB40" s="3">
        <f>IFERROR(VLOOKUP(EY40,'Factory Log'!$J:$Q,8,0),0)</f>
        <v>0</v>
      </c>
      <c r="FC40" s="58">
        <f>SUMIFS('Factory Log'!$D:$D,'Factory Log'!$B:$B,Performance!EY$1,'Factory Log'!$J:$J,Performance!EY40,'Factory Log'!$C:$C,"Running")+SUMIFS('Factory Log'!$D:$D,'Factory Log'!$B:$B,Performance!EY$1,'Factory Log'!$J:$J,Performance!EY40,'Factory Log'!$C:$C,"Make Ready")+SUMIFS('Factory Log'!$D:$D,'Factory Log'!$B:$B,Performance!EY$1,'Factory Log'!$J:$J,Performance!EY40,'Factory Log'!$C:$C,"Roll Change")</f>
        <v>0</v>
      </c>
      <c r="FD40" s="3">
        <f>SUMIFS('Factory Log'!$M:$M,'Factory Log'!$B:$B,Performance!EY$1,'Factory Log'!$J:$J,Performance!EY40,'Factory Log'!$C:$C,"Running")</f>
        <v>0</v>
      </c>
      <c r="FE40" s="58" cm="1">
        <f t="array" ref="FE40">IFERROR(INDEX('Factory Log'!$S:$S,MATCH(1,(Performance!EY$1='Factory Log'!$B:$B)*(Performance!EY40='Factory Log'!$A:$A),0)),0)</f>
        <v>0</v>
      </c>
      <c r="FF40" s="3">
        <f>IFERROR(VLOOKUP(EY40,'Factory Log'!$J:$R,9,0),0)</f>
        <v>0</v>
      </c>
      <c r="FG40" s="64">
        <f t="shared" si="28"/>
        <v>0</v>
      </c>
      <c r="FH40" s="58">
        <f t="shared" si="29"/>
        <v>0</v>
      </c>
    </row>
    <row r="41" spans="2:164" ht="16" customHeight="1" x14ac:dyDescent="0.2">
      <c r="B41" s="3">
        <f>IFERROR(VLOOKUP(A41,'Factory Log'!$J:$O,6,0),0)</f>
        <v>0</v>
      </c>
      <c r="C41" s="3">
        <f>IFERROR(VLOOKUP(A41,'Factory Log'!$J:$P,7,0),0)</f>
        <v>0</v>
      </c>
      <c r="D41" s="3">
        <f>IFERROR(VLOOKUP(A41,'Factory Log'!$J:$Q,8,0),0)</f>
        <v>0</v>
      </c>
      <c r="E41" s="58">
        <f>SUMIFS('Factory Log'!$D:$D,'Factory Log'!$B:$B,Performance!A$1,'Factory Log'!$J:$J,Performance!A41,'Factory Log'!$C:$C,"Running")+SUMIFS('Factory Log'!$D:$D,'Factory Log'!$B:$B,Performance!A$1,'Factory Log'!$J:$J,Performance!A41,'Factory Log'!$C:$C,"Make Ready")+SUMIFS('Factory Log'!$D:$D,'Factory Log'!$B:$B,Performance!A$1,'Factory Log'!$J:$J,Performance!A41,'Factory Log'!$C:$C,"Roll Change")</f>
        <v>0</v>
      </c>
      <c r="F41" s="3">
        <f>SUMIFS('Factory Log'!$M:$M,'Factory Log'!$B:$B,Performance!A$1,'Factory Log'!$J:$J,Performance!A41,'Factory Log'!$C:$C,"Running")</f>
        <v>0</v>
      </c>
      <c r="G41" s="58" cm="1">
        <f t="array" ref="G41">IFERROR(INDEX('Factory Log'!$S:$S,MATCH(1,(Performance!A$1='Factory Log'!$B:$B)*(Performance!A41='Factory Log'!$A:$A),0)),0)</f>
        <v>0</v>
      </c>
      <c r="H41" s="3">
        <f>IFERROR(VLOOKUP(A41,'Factory Log'!$J:$R,9,0),0)</f>
        <v>0</v>
      </c>
      <c r="I41" s="64">
        <f t="shared" si="1"/>
        <v>0</v>
      </c>
      <c r="J41" s="58">
        <f t="shared" si="30"/>
        <v>0</v>
      </c>
      <c r="M41" s="3">
        <f>IFERROR(VLOOKUP(L41,'Factory Log'!$J:$O,6,0),0)</f>
        <v>0</v>
      </c>
      <c r="N41" s="3">
        <f>IFERROR(VLOOKUP(L41,'Factory Log'!$J:$P,7,0),0)</f>
        <v>0</v>
      </c>
      <c r="O41" s="3">
        <f>IFERROR(VLOOKUP(L41,'Factory Log'!$J:$Q,8,0),0)</f>
        <v>0</v>
      </c>
      <c r="P41" s="58">
        <f>SUMIFS('Factory Log'!$D:$D,'Factory Log'!$B:$B,Performance!L$1,'Factory Log'!$J:$J,Performance!L41,'Factory Log'!$C:$C,"Running")+SUMIFS('Factory Log'!$D:$D,'Factory Log'!$B:$B,Performance!L$1,'Factory Log'!$J:$J,Performance!L41,'Factory Log'!$C:$C,"Make Ready")+SUMIFS('Factory Log'!$D:$D,'Factory Log'!$B:$B,Performance!L$1,'Factory Log'!$J:$J,Performance!L41,'Factory Log'!$C:$C,"Roll Change")</f>
        <v>0</v>
      </c>
      <c r="Q41" s="3">
        <f>SUMIFS('Factory Log'!$M:$M,'Factory Log'!$B:$B,Performance!L$1,'Factory Log'!$J:$J,Performance!L41,'Factory Log'!$C:$C,"Running")</f>
        <v>0</v>
      </c>
      <c r="R41" s="58" cm="1">
        <f t="array" ref="R41">IFERROR(INDEX('Factory Log'!$S:$S,MATCH(1,(Performance!L$1='Factory Log'!$B:$B)*(Performance!L41='Factory Log'!$A:$A),0)),0)</f>
        <v>0</v>
      </c>
      <c r="S41" s="3">
        <f>IFERROR(VLOOKUP(L41,'Factory Log'!$J:$R,9,0),0)</f>
        <v>0</v>
      </c>
      <c r="T41" s="64">
        <f t="shared" si="2"/>
        <v>0</v>
      </c>
      <c r="U41" s="58">
        <f t="shared" si="31"/>
        <v>0</v>
      </c>
      <c r="X41" s="3">
        <f>IFERROR(VLOOKUP(W41,'Factory Log'!$J:$O,6,0),0)</f>
        <v>0</v>
      </c>
      <c r="Y41" s="3">
        <f>IFERROR(VLOOKUP(W41,'Factory Log'!$J:$P,7,0),0)</f>
        <v>0</v>
      </c>
      <c r="Z41" s="3">
        <f>IFERROR(VLOOKUP(W41,'Factory Log'!$J:$Q,8,0),0)</f>
        <v>0</v>
      </c>
      <c r="AA41" s="58">
        <f>SUMIFS('Factory Log'!$D:$D,'Factory Log'!$B:$B,Performance!W$1,'Factory Log'!$J:$J,Performance!W41,'Factory Log'!$C:$C,"Running")+SUMIFS('Factory Log'!$D:$D,'Factory Log'!$B:$B,Performance!W$1,'Factory Log'!$J:$J,Performance!W41,'Factory Log'!$C:$C,"Make Ready")+SUMIFS('Factory Log'!$D:$D,'Factory Log'!$B:$B,Performance!W$1,'Factory Log'!$J:$J,Performance!W41,'Factory Log'!$C:$C,"Roll Change")</f>
        <v>0</v>
      </c>
      <c r="AB41" s="3">
        <f>SUMIFS('Factory Log'!$M:$M,'Factory Log'!$B:$B,Performance!W$1,'Factory Log'!$J:$J,Performance!W41,'Factory Log'!$C:$C,"Running")</f>
        <v>0</v>
      </c>
      <c r="AC41" s="58" cm="1">
        <f t="array" ref="AC41">IFERROR(INDEX('Factory Log'!$S:$S,MATCH(1,(Performance!W$1='Factory Log'!$B:$B)*(Performance!W41='Factory Log'!$A:$A),0)),0)</f>
        <v>0</v>
      </c>
      <c r="AD41" s="3">
        <f>IFERROR(VLOOKUP(W41,'Factory Log'!$J:$R,9,0),0)</f>
        <v>0</v>
      </c>
      <c r="AE41" s="64">
        <f t="shared" si="4"/>
        <v>0</v>
      </c>
      <c r="AF41" s="58">
        <f t="shared" si="33"/>
        <v>0</v>
      </c>
      <c r="AI41" s="3">
        <f>IFERROR(VLOOKUP(AH41,'Factory Log'!$J:$O,6,0),0)</f>
        <v>0</v>
      </c>
      <c r="AJ41" s="3">
        <f>IFERROR(VLOOKUP(AH41,'Factory Log'!$J:$P,7,0),0)</f>
        <v>0</v>
      </c>
      <c r="AK41" s="3">
        <f>IFERROR(VLOOKUP(AH41,'Factory Log'!$J:$Q,8,0),0)</f>
        <v>0</v>
      </c>
      <c r="AL41" s="58">
        <f>SUMIFS('Factory Log'!$D:$D,'Factory Log'!$B:$B,Performance!AH$1,'Factory Log'!$J:$J,Performance!AH41,'Factory Log'!$C:$C,"Running")+SUMIFS('Factory Log'!$D:$D,'Factory Log'!$B:$B,Performance!AH$1,'Factory Log'!$J:$J,Performance!AH41,'Factory Log'!$C:$C,"Make Ready")+SUMIFS('Factory Log'!$D:$D,'Factory Log'!$B:$B,Performance!AH$1,'Factory Log'!$J:$J,Performance!AH41,'Factory Log'!$C:$C,"Roll Change")</f>
        <v>0</v>
      </c>
      <c r="AM41" s="3">
        <f>SUMIFS('Factory Log'!$M:$M,'Factory Log'!$B:$B,Performance!AH$1,'Factory Log'!$J:$J,Performance!AH41,'Factory Log'!$C:$C,"Running")</f>
        <v>0</v>
      </c>
      <c r="AN41" s="58" cm="1">
        <f t="array" ref="AN41">IFERROR(INDEX('Factory Log'!$S:$S,MATCH(1,(Performance!AH$1='Factory Log'!$B:$B)*(Performance!AH41='Factory Log'!$A:$A),0)),0)</f>
        <v>0</v>
      </c>
      <c r="AO41" s="3">
        <f>IFERROR(VLOOKUP(AH41,'Factory Log'!$J:$R,9,0),0)</f>
        <v>0</v>
      </c>
      <c r="AP41" s="64">
        <f t="shared" si="6"/>
        <v>0</v>
      </c>
      <c r="AQ41" s="58">
        <f t="shared" si="7"/>
        <v>0</v>
      </c>
      <c r="AT41" s="3">
        <f>IFERROR(VLOOKUP(AS41,'Factory Log'!$J:$O,6,0),0)</f>
        <v>0</v>
      </c>
      <c r="AU41" s="3">
        <f>IFERROR(VLOOKUP(AS41,'Factory Log'!$J:$P,7,0),0)</f>
        <v>0</v>
      </c>
      <c r="AV41" s="3">
        <f>IFERROR(VLOOKUP(AS41,'Factory Log'!$J:$Q,8,0),0)</f>
        <v>0</v>
      </c>
      <c r="AW41" s="58">
        <f>SUMIFS('Factory Log'!$D:$D,'Factory Log'!$B:$B,Performance!AS$1,'Factory Log'!$J:$J,Performance!AS41,'Factory Log'!$C:$C,"Running")+SUMIFS('Factory Log'!$D:$D,'Factory Log'!$B:$B,Performance!AS$1,'Factory Log'!$J:$J,Performance!AS41,'Factory Log'!$C:$C,"Make Ready")+SUMIFS('Factory Log'!$D:$D,'Factory Log'!$B:$B,Performance!AS$1,'Factory Log'!$J:$J,Performance!AS41,'Factory Log'!$C:$C,"Roll Change")</f>
        <v>0</v>
      </c>
      <c r="AX41" s="3">
        <f>SUMIFS('Factory Log'!$M:$M,'Factory Log'!$B:$B,Performance!AS$1,'Factory Log'!$J:$J,Performance!AS41,'Factory Log'!$C:$C,"Running")</f>
        <v>0</v>
      </c>
      <c r="AY41" s="58" cm="1">
        <f t="array" ref="AY41">IFERROR(INDEX('Factory Log'!$S:$S,MATCH(1,(Performance!AS$1='Factory Log'!$B:$B)*(Performance!AS41='Factory Log'!$A:$A),0)),0)</f>
        <v>0</v>
      </c>
      <c r="AZ41" s="3">
        <f>IFERROR(VLOOKUP(AS41,'Factory Log'!$J:$R,9,0),0)</f>
        <v>0</v>
      </c>
      <c r="BA41" s="64">
        <f t="shared" si="8"/>
        <v>0</v>
      </c>
      <c r="BB41" s="58">
        <f t="shared" si="9"/>
        <v>0</v>
      </c>
      <c r="BE41" s="3">
        <f>IFERROR(VLOOKUP(BD41,'Factory Log'!$J:$O,6,0),0)</f>
        <v>0</v>
      </c>
      <c r="BF41" s="3">
        <f>IFERROR(VLOOKUP(BD41,'Factory Log'!$J:$P,7,0),0)</f>
        <v>0</v>
      </c>
      <c r="BG41" s="3">
        <f>IFERROR(VLOOKUP(BD41,'Factory Log'!$J:$Q,8,0),0)</f>
        <v>0</v>
      </c>
      <c r="BH41" s="58">
        <f>SUMIFS('Factory Log'!$D:$D,'Factory Log'!$B:$B,Performance!BD$1,'Factory Log'!$J:$J,Performance!BD41,'Factory Log'!$C:$C,"Running")+SUMIFS('Factory Log'!$D:$D,'Factory Log'!$B:$B,Performance!BD$1,'Factory Log'!$J:$J,Performance!BD41,'Factory Log'!$C:$C,"Make Ready")+SUMIFS('Factory Log'!$D:$D,'Factory Log'!$B:$B,Performance!BD$1,'Factory Log'!$J:$J,Performance!BD41,'Factory Log'!$C:$C,"Roll Change")</f>
        <v>0</v>
      </c>
      <c r="BI41" s="3">
        <f>SUMIFS('Factory Log'!$M:$M,'Factory Log'!$B:$B,Performance!BD$1,'Factory Log'!$J:$J,Performance!BD41,'Factory Log'!$C:$C,"Running")</f>
        <v>0</v>
      </c>
      <c r="BJ41" s="58" cm="1">
        <f t="array" ref="BJ41">IFERROR(INDEX('Factory Log'!$S:$S,MATCH(1,(Performance!BD$1='Factory Log'!$B:$B)*(Performance!BD41='Factory Log'!$A:$A),0)),0)</f>
        <v>0</v>
      </c>
      <c r="BK41" s="3">
        <f>IFERROR(VLOOKUP(BD41,'Factory Log'!$J:$R,9,0),0)</f>
        <v>0</v>
      </c>
      <c r="BL41" s="64">
        <f t="shared" si="10"/>
        <v>0</v>
      </c>
      <c r="BM41" s="58">
        <f t="shared" si="11"/>
        <v>0</v>
      </c>
      <c r="BP41" s="3">
        <f>IFERROR(VLOOKUP(BO41,'Factory Log'!$J:$O,6,0),0)</f>
        <v>0</v>
      </c>
      <c r="BQ41" s="3">
        <f>IFERROR(VLOOKUP(BO41,'Factory Log'!$J:$P,7,0),0)</f>
        <v>0</v>
      </c>
      <c r="BR41" s="3">
        <f>IFERROR(VLOOKUP(BO41,'Factory Log'!$J:$Q,8,0),0)</f>
        <v>0</v>
      </c>
      <c r="BS41" s="58">
        <f>SUMIFS('Factory Log'!$D:$D,'Factory Log'!$B:$B,Performance!BO$1,'Factory Log'!$J:$J,Performance!BO41,'Factory Log'!$C:$C,"Running")+SUMIFS('Factory Log'!$D:$D,'Factory Log'!$B:$B,Performance!BO$1,'Factory Log'!$J:$J,Performance!BO41,'Factory Log'!$C:$C,"Make Ready")+SUMIFS('Factory Log'!$D:$D,'Factory Log'!$B:$B,Performance!BO$1,'Factory Log'!$J:$J,Performance!BO41,'Factory Log'!$C:$C,"Roll Change")</f>
        <v>0</v>
      </c>
      <c r="BT41" s="3">
        <f>SUMIFS('Factory Log'!$M:$M,'Factory Log'!$B:$B,Performance!BO$1,'Factory Log'!$J:$J,Performance!BO41,'Factory Log'!$C:$C,"Running")</f>
        <v>0</v>
      </c>
      <c r="BU41" s="58" cm="1">
        <f t="array" ref="BU41">IFERROR(INDEX('Factory Log'!$S:$S,MATCH(1,(Performance!BO$1='Factory Log'!$B:$B)*(Performance!BO41='Factory Log'!$A:$A),0)),0)</f>
        <v>0</v>
      </c>
      <c r="BV41" s="3">
        <f>IFERROR(VLOOKUP(BO41,'Factory Log'!$J:$R,9,0),0)</f>
        <v>0</v>
      </c>
      <c r="BW41" s="64">
        <f t="shared" si="12"/>
        <v>0</v>
      </c>
      <c r="BX41" s="58">
        <f t="shared" si="13"/>
        <v>0</v>
      </c>
      <c r="CA41" s="3">
        <f>IFERROR(VLOOKUP(BZ41,'Factory Log'!$J:$O,6,0),0)</f>
        <v>0</v>
      </c>
      <c r="CB41" s="3">
        <f>IFERROR(VLOOKUP(BZ41,'Factory Log'!$J:$P,7,0),0)</f>
        <v>0</v>
      </c>
      <c r="CC41" s="3">
        <f>IFERROR(VLOOKUP(BZ41,'Factory Log'!$J:$Q,8,0),0)</f>
        <v>0</v>
      </c>
      <c r="CD41" s="58">
        <f>SUMIFS('Factory Log'!$D:$D,'Factory Log'!$B:$B,Performance!BZ$1,'Factory Log'!$J:$J,Performance!BZ41,'Factory Log'!$C:$C,"Running")+SUMIFS('Factory Log'!$D:$D,'Factory Log'!$B:$B,Performance!BZ$1,'Factory Log'!$J:$J,Performance!BZ41,'Factory Log'!$C:$C,"Make Ready")+SUMIFS('Factory Log'!$D:$D,'Factory Log'!$B:$B,Performance!BZ$1,'Factory Log'!$J:$J,Performance!BZ41,'Factory Log'!$C:$C,"Roll Change")</f>
        <v>0</v>
      </c>
      <c r="CE41" s="3">
        <f>SUMIFS('Factory Log'!$M:$M,'Factory Log'!$B:$B,Performance!BZ$1,'Factory Log'!$J:$J,Performance!BZ41,'Factory Log'!$C:$C,"Running")</f>
        <v>0</v>
      </c>
      <c r="CF41" s="58" cm="1">
        <f t="array" ref="CF41">IFERROR(INDEX('Factory Log'!$S:$S,MATCH(1,(Performance!BZ$1='Factory Log'!$B:$B)*(Performance!BZ41='Factory Log'!$A:$A),0)),0)</f>
        <v>0</v>
      </c>
      <c r="CG41" s="3">
        <f>IFERROR(VLOOKUP(BZ41,'Factory Log'!$J:$R,9,0),0)</f>
        <v>0</v>
      </c>
      <c r="CH41" s="64">
        <f t="shared" si="14"/>
        <v>0</v>
      </c>
      <c r="CI41" s="58">
        <f t="shared" si="15"/>
        <v>0</v>
      </c>
      <c r="CL41" s="3">
        <f>IFERROR(VLOOKUP(CK41,'Factory Log'!$J:$O,6,0),0)</f>
        <v>0</v>
      </c>
      <c r="CM41" s="3">
        <f>IFERROR(VLOOKUP(CK41,'Factory Log'!$J:$P,7,0),0)</f>
        <v>0</v>
      </c>
      <c r="CN41" s="3">
        <f>IFERROR(VLOOKUP(CK41,'Factory Log'!$J:$Q,8,0),0)</f>
        <v>0</v>
      </c>
      <c r="CO41" s="58">
        <f>SUMIFS('Factory Log'!$D:$D,'Factory Log'!$B:$B,Performance!CK$1,'Factory Log'!$J:$J,Performance!CK41,'Factory Log'!$C:$C,"Running")+SUMIFS('Factory Log'!$D:$D,'Factory Log'!$B:$B,Performance!CK$1,'Factory Log'!$J:$J,Performance!CK41,'Factory Log'!$C:$C,"Make Ready")+SUMIFS('Factory Log'!$D:$D,'Factory Log'!$B:$B,Performance!CK$1,'Factory Log'!$J:$J,Performance!CK41,'Factory Log'!$C:$C,"Roll Change")</f>
        <v>0</v>
      </c>
      <c r="CP41" s="3">
        <f>SUMIFS('Factory Log'!$M:$M,'Factory Log'!$B:$B,Performance!CK$1,'Factory Log'!$J:$J,Performance!CK41,'Factory Log'!$C:$C,"Running")</f>
        <v>0</v>
      </c>
      <c r="CQ41" s="58" cm="1">
        <f t="array" ref="CQ41">IFERROR(INDEX('Factory Log'!$S:$S,MATCH(1,(Performance!CK$1='Factory Log'!$B:$B)*(Performance!CK41='Factory Log'!$A:$A),0)),0)</f>
        <v>0</v>
      </c>
      <c r="CR41" s="3">
        <f>IFERROR(VLOOKUP(CK41,'Factory Log'!$J:$R,9,0),0)</f>
        <v>0</v>
      </c>
      <c r="CS41" s="64">
        <f t="shared" si="16"/>
        <v>0</v>
      </c>
      <c r="CT41" s="58">
        <f t="shared" si="17"/>
        <v>0</v>
      </c>
      <c r="CW41" s="3">
        <f>IFERROR(VLOOKUP(CV41,'Factory Log'!$J:$O,6,0),0)</f>
        <v>0</v>
      </c>
      <c r="CX41" s="3">
        <f>IFERROR(VLOOKUP(CV41,'Factory Log'!$J:$P,7,0),0)</f>
        <v>0</v>
      </c>
      <c r="CY41" s="3">
        <f>IFERROR(VLOOKUP(CV41,'Factory Log'!$J:$Q,8,0),0)</f>
        <v>0</v>
      </c>
      <c r="CZ41" s="58">
        <f>SUMIFS('Factory Log'!$D:$D,'Factory Log'!$B:$B,Performance!CV$1,'Factory Log'!$J:$J,Performance!CV41,'Factory Log'!$C:$C,"Running")+SUMIFS('Factory Log'!$D:$D,'Factory Log'!$B:$B,Performance!CV$1,'Factory Log'!$J:$J,Performance!CV41,'Factory Log'!$C:$C,"Make Ready")+SUMIFS('Factory Log'!$D:$D,'Factory Log'!$B:$B,Performance!CV$1,'Factory Log'!$J:$J,Performance!CV41,'Factory Log'!$C:$C,"Roll Change")</f>
        <v>0</v>
      </c>
      <c r="DA41" s="3">
        <f>SUMIFS('Factory Log'!$M:$M,'Factory Log'!$B:$B,Performance!CV$1,'Factory Log'!$J:$J,Performance!CV41,'Factory Log'!$C:$C,"Running")</f>
        <v>0</v>
      </c>
      <c r="DB41" s="58" cm="1">
        <f t="array" ref="DB41">IFERROR(INDEX('Factory Log'!$S:$S,MATCH(1,(Performance!CV$1='Factory Log'!$B:$B)*(Performance!CV41='Factory Log'!$A:$A),0)),0)</f>
        <v>0</v>
      </c>
      <c r="DC41" s="3">
        <f>IFERROR(VLOOKUP(CV41,'Factory Log'!$J:$R,9,0),0)</f>
        <v>0</v>
      </c>
      <c r="DD41" s="64">
        <f t="shared" si="18"/>
        <v>0</v>
      </c>
      <c r="DE41" s="58">
        <f t="shared" si="19"/>
        <v>0</v>
      </c>
      <c r="DH41" s="3">
        <f>IFERROR(VLOOKUP(DG41,'Factory Log'!$J:$O,6,0),0)</f>
        <v>0</v>
      </c>
      <c r="DI41" s="3">
        <f>IFERROR(VLOOKUP(DG41,'Factory Log'!$J:$P,7,0),0)</f>
        <v>0</v>
      </c>
      <c r="DJ41" s="3">
        <f>IFERROR(VLOOKUP(DG41,'Factory Log'!$J:$Q,8,0),0)</f>
        <v>0</v>
      </c>
      <c r="DK41" s="58">
        <f>SUMIFS('Factory Log'!$D:$D,'Factory Log'!$B:$B,Performance!DG$1,'Factory Log'!$J:$J,Performance!DG41,'Factory Log'!$C:$C,"Running")+SUMIFS('Factory Log'!$D:$D,'Factory Log'!$B:$B,Performance!DG$1,'Factory Log'!$J:$J,Performance!DG41,'Factory Log'!$C:$C,"Make Ready")+SUMIFS('Factory Log'!$D:$D,'Factory Log'!$B:$B,Performance!DG$1,'Factory Log'!$J:$J,Performance!DG41,'Factory Log'!$C:$C,"Roll Change")</f>
        <v>0</v>
      </c>
      <c r="DL41" s="3">
        <f>SUMIFS('Factory Log'!$M:$M,'Factory Log'!$B:$B,Performance!DG$1,'Factory Log'!$J:$J,Performance!DG41,'Factory Log'!$C:$C,"Running")</f>
        <v>0</v>
      </c>
      <c r="DM41" s="58" cm="1">
        <f t="array" ref="DM41">IFERROR(INDEX('Factory Log'!$S:$S,MATCH(1,(Performance!DG$1='Factory Log'!$B:$B)*(Performance!DG41='Factory Log'!$A:$A),0)),0)</f>
        <v>0</v>
      </c>
      <c r="DN41" s="3">
        <f>IFERROR(VLOOKUP(DG41,'Factory Log'!$J:$R,9,0),0)</f>
        <v>0</v>
      </c>
      <c r="DO41" s="64">
        <f t="shared" si="20"/>
        <v>0</v>
      </c>
      <c r="DP41" s="58">
        <f t="shared" si="21"/>
        <v>0</v>
      </c>
      <c r="DS41" s="3">
        <f>IFERROR(VLOOKUP(DR41,'Factory Log'!$J:$O,6,0),0)</f>
        <v>0</v>
      </c>
      <c r="DT41" s="3">
        <f>IFERROR(VLOOKUP(DR41,'Factory Log'!$J:$P,7,0),0)</f>
        <v>0</v>
      </c>
      <c r="DU41" s="3">
        <f>IFERROR(VLOOKUP(DR41,'Factory Log'!$J:$Q,8,0),0)</f>
        <v>0</v>
      </c>
      <c r="DV41" s="58">
        <f>SUMIFS('Factory Log'!$D:$D,'Factory Log'!$B:$B,Performance!DR$1,'Factory Log'!$J:$J,Performance!DR41,'Factory Log'!$C:$C,"Running")+SUMIFS('Factory Log'!$D:$D,'Factory Log'!$B:$B,Performance!DR$1,'Factory Log'!$J:$J,Performance!DR41,'Factory Log'!$C:$C,"Make Ready")+SUMIFS('Factory Log'!$D:$D,'Factory Log'!$B:$B,Performance!DR$1,'Factory Log'!$J:$J,Performance!DR41,'Factory Log'!$C:$C,"Roll Change")</f>
        <v>0</v>
      </c>
      <c r="DW41" s="3">
        <f>SUMIFS('Factory Log'!$M:$M,'Factory Log'!$B:$B,Performance!DR$1,'Factory Log'!$J:$J,Performance!DR41,'Factory Log'!$C:$C,"Running")</f>
        <v>0</v>
      </c>
      <c r="DX41" s="58" cm="1">
        <f t="array" ref="DX41">IFERROR(INDEX('Factory Log'!$S:$S,MATCH(1,(Performance!DR$1='Factory Log'!$B:$B)*(Performance!DR41='Factory Log'!$A:$A),0)),0)</f>
        <v>0</v>
      </c>
      <c r="DY41" s="3">
        <f>IFERROR(VLOOKUP(DR41,'Factory Log'!$J:$R,9,0),0)</f>
        <v>0</v>
      </c>
      <c r="DZ41" s="64">
        <f t="shared" si="22"/>
        <v>0</v>
      </c>
      <c r="EA41" s="58">
        <f t="shared" si="23"/>
        <v>0</v>
      </c>
      <c r="ED41" s="3">
        <f>IFERROR(VLOOKUP(EC41,'Factory Log'!$J:$O,6,0),0)</f>
        <v>0</v>
      </c>
      <c r="EE41" s="3">
        <f>IFERROR(VLOOKUP(EC41,'Factory Log'!$J:$P,7,0),0)</f>
        <v>0</v>
      </c>
      <c r="EF41" s="3">
        <f>IFERROR(VLOOKUP(EC41,'Factory Log'!$J:$Q,8,0),0)</f>
        <v>0</v>
      </c>
      <c r="EG41" s="58">
        <f>SUMIFS('Factory Log'!$D:$D,'Factory Log'!$B:$B,Performance!EC$1,'Factory Log'!$J:$J,Performance!EC41,'Factory Log'!$C:$C,"Running")+SUMIFS('Factory Log'!$D:$D,'Factory Log'!$B:$B,Performance!EC$1,'Factory Log'!$J:$J,Performance!EC41,'Factory Log'!$C:$C,"Make Ready")+SUMIFS('Factory Log'!$D:$D,'Factory Log'!$B:$B,Performance!EC$1,'Factory Log'!$J:$J,Performance!EC41,'Factory Log'!$C:$C,"Roll Change")</f>
        <v>0</v>
      </c>
      <c r="EH41" s="3">
        <f>SUMIFS('Factory Log'!$M:$M,'Factory Log'!$B:$B,Performance!EC$1,'Factory Log'!$J:$J,Performance!EC41,'Factory Log'!$C:$C,"Running")</f>
        <v>0</v>
      </c>
      <c r="EI41" s="58" cm="1">
        <f t="array" ref="EI41">IFERROR(INDEX('Factory Log'!$S:$S,MATCH(1,(Performance!EC$1='Factory Log'!$B:$B)*(Performance!EC41='Factory Log'!$A:$A),0)),0)</f>
        <v>0</v>
      </c>
      <c r="EJ41" s="3">
        <f>IFERROR(VLOOKUP(EC41,'Factory Log'!$J:$R,9,0),0)</f>
        <v>0</v>
      </c>
      <c r="EK41" s="64">
        <f t="shared" si="24"/>
        <v>0</v>
      </c>
      <c r="EL41" s="58">
        <f t="shared" si="25"/>
        <v>0</v>
      </c>
      <c r="EO41" s="3">
        <f>IFERROR(VLOOKUP(EN41,'Factory Log'!$J:$O,6,0),0)</f>
        <v>0</v>
      </c>
      <c r="EP41" s="3">
        <f>IFERROR(VLOOKUP(EN41,'Factory Log'!$J:$P,7,0),0)</f>
        <v>0</v>
      </c>
      <c r="EQ41" s="3">
        <f>IFERROR(VLOOKUP(EN41,'Factory Log'!$J:$Q,8,0),0)</f>
        <v>0</v>
      </c>
      <c r="ER41" s="58">
        <f>SUMIFS('Factory Log'!$D:$D,'Factory Log'!$B:$B,Performance!EN$1,'Factory Log'!$J:$J,Performance!EN41,'Factory Log'!$C:$C,"Running")+SUMIFS('Factory Log'!$D:$D,'Factory Log'!$B:$B,Performance!EN$1,'Factory Log'!$J:$J,Performance!EN41,'Factory Log'!$C:$C,"Make Ready")+SUMIFS('Factory Log'!$D:$D,'Factory Log'!$B:$B,Performance!EN$1,'Factory Log'!$J:$J,Performance!EN41,'Factory Log'!$C:$C,"Roll Change")</f>
        <v>0</v>
      </c>
      <c r="ES41" s="3">
        <f>SUMIFS('Factory Log'!$M:$M,'Factory Log'!$B:$B,Performance!EN$1,'Factory Log'!$J:$J,Performance!EN41,'Factory Log'!$C:$C,"Running")</f>
        <v>0</v>
      </c>
      <c r="ET41" s="58" cm="1">
        <f t="array" ref="ET41">IFERROR(INDEX('Factory Log'!$S:$S,MATCH(1,(Performance!EN$1='Factory Log'!$B:$B)*(Performance!EN41='Factory Log'!$A:$A),0)),0)</f>
        <v>0</v>
      </c>
      <c r="EU41" s="3">
        <f>IFERROR(VLOOKUP(EN41,'Factory Log'!$J:$R,9,0),0)</f>
        <v>0</v>
      </c>
      <c r="EV41" s="64">
        <f t="shared" si="26"/>
        <v>0</v>
      </c>
      <c r="EW41" s="58">
        <f t="shared" si="27"/>
        <v>0</v>
      </c>
      <c r="EZ41" s="3">
        <f>IFERROR(VLOOKUP(EY41,'Factory Log'!$J:$O,6,0),0)</f>
        <v>0</v>
      </c>
      <c r="FA41" s="3">
        <f>IFERROR(VLOOKUP(EY41,'Factory Log'!$J:$P,7,0),0)</f>
        <v>0</v>
      </c>
      <c r="FB41" s="3">
        <f>IFERROR(VLOOKUP(EY41,'Factory Log'!$J:$Q,8,0),0)</f>
        <v>0</v>
      </c>
      <c r="FC41" s="58">
        <f>SUMIFS('Factory Log'!$D:$D,'Factory Log'!$B:$B,Performance!EY$1,'Factory Log'!$J:$J,Performance!EY41,'Factory Log'!$C:$C,"Running")+SUMIFS('Factory Log'!$D:$D,'Factory Log'!$B:$B,Performance!EY$1,'Factory Log'!$J:$J,Performance!EY41,'Factory Log'!$C:$C,"Make Ready")+SUMIFS('Factory Log'!$D:$D,'Factory Log'!$B:$B,Performance!EY$1,'Factory Log'!$J:$J,Performance!EY41,'Factory Log'!$C:$C,"Roll Change")</f>
        <v>0</v>
      </c>
      <c r="FD41" s="3">
        <f>SUMIFS('Factory Log'!$M:$M,'Factory Log'!$B:$B,Performance!EY$1,'Factory Log'!$J:$J,Performance!EY41,'Factory Log'!$C:$C,"Running")</f>
        <v>0</v>
      </c>
      <c r="FE41" s="58" cm="1">
        <f t="array" ref="FE41">IFERROR(INDEX('Factory Log'!$S:$S,MATCH(1,(Performance!EY$1='Factory Log'!$B:$B)*(Performance!EY41='Factory Log'!$A:$A),0)),0)</f>
        <v>0</v>
      </c>
      <c r="FF41" s="3">
        <f>IFERROR(VLOOKUP(EY41,'Factory Log'!$J:$R,9,0),0)</f>
        <v>0</v>
      </c>
      <c r="FG41" s="64">
        <f t="shared" si="28"/>
        <v>0</v>
      </c>
      <c r="FH41" s="58">
        <f t="shared" si="29"/>
        <v>0</v>
      </c>
    </row>
    <row r="42" spans="2:164" ht="16" customHeight="1" x14ac:dyDescent="0.2">
      <c r="B42" s="3">
        <f>IFERROR(VLOOKUP(A42,'Factory Log'!$J:$O,6,0),0)</f>
        <v>0</v>
      </c>
      <c r="C42" s="3">
        <f>IFERROR(VLOOKUP(A42,'Factory Log'!$J:$P,7,0),0)</f>
        <v>0</v>
      </c>
      <c r="D42" s="3">
        <f>IFERROR(VLOOKUP(A42,'Factory Log'!$J:$Q,8,0),0)</f>
        <v>0</v>
      </c>
      <c r="E42" s="58">
        <f>SUMIFS('Factory Log'!$D:$D,'Factory Log'!$B:$B,Performance!A$1,'Factory Log'!$J:$J,Performance!A42,'Factory Log'!$C:$C,"Running")+SUMIFS('Factory Log'!$D:$D,'Factory Log'!$B:$B,Performance!A$1,'Factory Log'!$J:$J,Performance!A42,'Factory Log'!$C:$C,"Make Ready")+SUMIFS('Factory Log'!$D:$D,'Factory Log'!$B:$B,Performance!A$1,'Factory Log'!$J:$J,Performance!A42,'Factory Log'!$C:$C,"Roll Change")</f>
        <v>0</v>
      </c>
      <c r="F42" s="3">
        <f>SUMIFS('Factory Log'!$M:$M,'Factory Log'!$B:$B,Performance!A$1,'Factory Log'!$J:$J,Performance!A42,'Factory Log'!$C:$C,"Running")</f>
        <v>0</v>
      </c>
      <c r="G42" s="58" cm="1">
        <f t="array" ref="G42">IFERROR(INDEX('Factory Log'!$S:$S,MATCH(1,(Performance!A$1='Factory Log'!$B:$B)*(Performance!A42='Factory Log'!$A:$A),0)),0)</f>
        <v>0</v>
      </c>
      <c r="H42" s="3">
        <f>IFERROR(VLOOKUP(A42,'Factory Log'!$J:$R,9,0),0)</f>
        <v>0</v>
      </c>
      <c r="I42" s="64">
        <f t="shared" si="1"/>
        <v>0</v>
      </c>
      <c r="J42" s="58">
        <f t="shared" si="30"/>
        <v>0</v>
      </c>
      <c r="M42" s="3">
        <f>IFERROR(VLOOKUP(L42,'Factory Log'!$J:$O,6,0),0)</f>
        <v>0</v>
      </c>
      <c r="N42" s="3">
        <f>IFERROR(VLOOKUP(L42,'Factory Log'!$J:$P,7,0),0)</f>
        <v>0</v>
      </c>
      <c r="O42" s="3">
        <f>IFERROR(VLOOKUP(L42,'Factory Log'!$J:$Q,8,0),0)</f>
        <v>0</v>
      </c>
      <c r="P42" s="58">
        <f>SUMIFS('Factory Log'!$D:$D,'Factory Log'!$B:$B,Performance!L$1,'Factory Log'!$J:$J,Performance!L42,'Factory Log'!$C:$C,"Running")+SUMIFS('Factory Log'!$D:$D,'Factory Log'!$B:$B,Performance!L$1,'Factory Log'!$J:$J,Performance!L42,'Factory Log'!$C:$C,"Make Ready")+SUMIFS('Factory Log'!$D:$D,'Factory Log'!$B:$B,Performance!L$1,'Factory Log'!$J:$J,Performance!L42,'Factory Log'!$C:$C,"Roll Change")</f>
        <v>0</v>
      </c>
      <c r="Q42" s="3">
        <f>SUMIFS('Factory Log'!$M:$M,'Factory Log'!$B:$B,Performance!L$1,'Factory Log'!$J:$J,Performance!L42,'Factory Log'!$C:$C,"Running")</f>
        <v>0</v>
      </c>
      <c r="R42" s="58" cm="1">
        <f t="array" ref="R42">IFERROR(INDEX('Factory Log'!$S:$S,MATCH(1,(Performance!L$1='Factory Log'!$B:$B)*(Performance!L42='Factory Log'!$A:$A),0)),0)</f>
        <v>0</v>
      </c>
      <c r="S42" s="3">
        <f>IFERROR(VLOOKUP(L42,'Factory Log'!$J:$R,9,0),0)</f>
        <v>0</v>
      </c>
      <c r="T42" s="64">
        <f t="shared" si="2"/>
        <v>0</v>
      </c>
      <c r="U42" s="58">
        <f t="shared" si="31"/>
        <v>0</v>
      </c>
      <c r="X42" s="3">
        <f>IFERROR(VLOOKUP(W42,'Factory Log'!$J:$O,6,0),0)</f>
        <v>0</v>
      </c>
      <c r="Y42" s="3">
        <f>IFERROR(VLOOKUP(W42,'Factory Log'!$J:$P,7,0),0)</f>
        <v>0</v>
      </c>
      <c r="Z42" s="3">
        <f>IFERROR(VLOOKUP(W42,'Factory Log'!$J:$Q,8,0),0)</f>
        <v>0</v>
      </c>
      <c r="AA42" s="58">
        <f>SUMIFS('Factory Log'!$D:$D,'Factory Log'!$B:$B,Performance!W$1,'Factory Log'!$J:$J,Performance!W42,'Factory Log'!$C:$C,"Running")+SUMIFS('Factory Log'!$D:$D,'Factory Log'!$B:$B,Performance!W$1,'Factory Log'!$J:$J,Performance!W42,'Factory Log'!$C:$C,"Make Ready")+SUMIFS('Factory Log'!$D:$D,'Factory Log'!$B:$B,Performance!W$1,'Factory Log'!$J:$J,Performance!W42,'Factory Log'!$C:$C,"Roll Change")</f>
        <v>0</v>
      </c>
      <c r="AB42" s="3">
        <f>SUMIFS('Factory Log'!$M:$M,'Factory Log'!$B:$B,Performance!W$1,'Factory Log'!$J:$J,Performance!W42,'Factory Log'!$C:$C,"Running")</f>
        <v>0</v>
      </c>
      <c r="AC42" s="58" cm="1">
        <f t="array" ref="AC42">IFERROR(INDEX('Factory Log'!$S:$S,MATCH(1,(Performance!W$1='Factory Log'!$B:$B)*(Performance!W42='Factory Log'!$A:$A),0)),0)</f>
        <v>0</v>
      </c>
      <c r="AD42" s="3">
        <f>IFERROR(VLOOKUP(W42,'Factory Log'!$J:$R,9,0),0)</f>
        <v>0</v>
      </c>
      <c r="AE42" s="64">
        <f t="shared" si="4"/>
        <v>0</v>
      </c>
      <c r="AF42" s="58">
        <f t="shared" si="33"/>
        <v>0</v>
      </c>
      <c r="AI42" s="3">
        <f>IFERROR(VLOOKUP(AH42,'Factory Log'!$J:$O,6,0),0)</f>
        <v>0</v>
      </c>
      <c r="AJ42" s="3">
        <f>IFERROR(VLOOKUP(AH42,'Factory Log'!$J:$P,7,0),0)</f>
        <v>0</v>
      </c>
      <c r="AK42" s="3">
        <f>IFERROR(VLOOKUP(AH42,'Factory Log'!$J:$Q,8,0),0)</f>
        <v>0</v>
      </c>
      <c r="AL42" s="58">
        <f>SUMIFS('Factory Log'!$D:$D,'Factory Log'!$B:$B,Performance!AH$1,'Factory Log'!$J:$J,Performance!AH42,'Factory Log'!$C:$C,"Running")+SUMIFS('Factory Log'!$D:$D,'Factory Log'!$B:$B,Performance!AH$1,'Factory Log'!$J:$J,Performance!AH42,'Factory Log'!$C:$C,"Make Ready")+SUMIFS('Factory Log'!$D:$D,'Factory Log'!$B:$B,Performance!AH$1,'Factory Log'!$J:$J,Performance!AH42,'Factory Log'!$C:$C,"Roll Change")</f>
        <v>0</v>
      </c>
      <c r="AM42" s="3">
        <f>SUMIFS('Factory Log'!$M:$M,'Factory Log'!$B:$B,Performance!AH$1,'Factory Log'!$J:$J,Performance!AH42,'Factory Log'!$C:$C,"Running")</f>
        <v>0</v>
      </c>
      <c r="AN42" s="58" cm="1">
        <f t="array" ref="AN42">IFERROR(INDEX('Factory Log'!$S:$S,MATCH(1,(Performance!AH$1='Factory Log'!$B:$B)*(Performance!AH42='Factory Log'!$A:$A),0)),0)</f>
        <v>0</v>
      </c>
      <c r="AO42" s="3">
        <f>IFERROR(VLOOKUP(AH42,'Factory Log'!$J:$R,9,0),0)</f>
        <v>0</v>
      </c>
      <c r="AP42" s="64">
        <f t="shared" si="6"/>
        <v>0</v>
      </c>
      <c r="AQ42" s="58">
        <f t="shared" si="7"/>
        <v>0</v>
      </c>
      <c r="AT42" s="3">
        <f>IFERROR(VLOOKUP(AS42,'Factory Log'!$J:$O,6,0),0)</f>
        <v>0</v>
      </c>
      <c r="AU42" s="3">
        <f>IFERROR(VLOOKUP(AS42,'Factory Log'!$J:$P,7,0),0)</f>
        <v>0</v>
      </c>
      <c r="AV42" s="3">
        <f>IFERROR(VLOOKUP(AS42,'Factory Log'!$J:$Q,8,0),0)</f>
        <v>0</v>
      </c>
      <c r="AW42" s="58">
        <f>SUMIFS('Factory Log'!$D:$D,'Factory Log'!$B:$B,Performance!AS$1,'Factory Log'!$J:$J,Performance!AS42,'Factory Log'!$C:$C,"Running")+SUMIFS('Factory Log'!$D:$D,'Factory Log'!$B:$B,Performance!AS$1,'Factory Log'!$J:$J,Performance!AS42,'Factory Log'!$C:$C,"Make Ready")+SUMIFS('Factory Log'!$D:$D,'Factory Log'!$B:$B,Performance!AS$1,'Factory Log'!$J:$J,Performance!AS42,'Factory Log'!$C:$C,"Roll Change")</f>
        <v>0</v>
      </c>
      <c r="AX42" s="3">
        <f>SUMIFS('Factory Log'!$M:$M,'Factory Log'!$B:$B,Performance!AS$1,'Factory Log'!$J:$J,Performance!AS42,'Factory Log'!$C:$C,"Running")</f>
        <v>0</v>
      </c>
      <c r="AY42" s="58" cm="1">
        <f t="array" ref="AY42">IFERROR(INDEX('Factory Log'!$S:$S,MATCH(1,(Performance!AS$1='Factory Log'!$B:$B)*(Performance!AS42='Factory Log'!$A:$A),0)),0)</f>
        <v>0</v>
      </c>
      <c r="AZ42" s="3">
        <f>IFERROR(VLOOKUP(AS42,'Factory Log'!$J:$R,9,0),0)</f>
        <v>0</v>
      </c>
      <c r="BA42" s="64">
        <f t="shared" si="8"/>
        <v>0</v>
      </c>
      <c r="BB42" s="58">
        <f t="shared" si="9"/>
        <v>0</v>
      </c>
      <c r="BE42" s="3">
        <f>IFERROR(VLOOKUP(BD42,'Factory Log'!$J:$O,6,0),0)</f>
        <v>0</v>
      </c>
      <c r="BF42" s="3">
        <f>IFERROR(VLOOKUP(BD42,'Factory Log'!$J:$P,7,0),0)</f>
        <v>0</v>
      </c>
      <c r="BG42" s="3">
        <f>IFERROR(VLOOKUP(BD42,'Factory Log'!$J:$Q,8,0),0)</f>
        <v>0</v>
      </c>
      <c r="BH42" s="58">
        <f>SUMIFS('Factory Log'!$D:$D,'Factory Log'!$B:$B,Performance!BD$1,'Factory Log'!$J:$J,Performance!BD42,'Factory Log'!$C:$C,"Running")+SUMIFS('Factory Log'!$D:$D,'Factory Log'!$B:$B,Performance!BD$1,'Factory Log'!$J:$J,Performance!BD42,'Factory Log'!$C:$C,"Make Ready")+SUMIFS('Factory Log'!$D:$D,'Factory Log'!$B:$B,Performance!BD$1,'Factory Log'!$J:$J,Performance!BD42,'Factory Log'!$C:$C,"Roll Change")</f>
        <v>0</v>
      </c>
      <c r="BI42" s="3">
        <f>SUMIFS('Factory Log'!$M:$M,'Factory Log'!$B:$B,Performance!BD$1,'Factory Log'!$J:$J,Performance!BD42,'Factory Log'!$C:$C,"Running")</f>
        <v>0</v>
      </c>
      <c r="BJ42" s="58" cm="1">
        <f t="array" ref="BJ42">IFERROR(INDEX('Factory Log'!$S:$S,MATCH(1,(Performance!BD$1='Factory Log'!$B:$B)*(Performance!BD42='Factory Log'!$A:$A),0)),0)</f>
        <v>0</v>
      </c>
      <c r="BK42" s="3">
        <f>IFERROR(VLOOKUP(BD42,'Factory Log'!$J:$R,9,0),0)</f>
        <v>0</v>
      </c>
      <c r="BL42" s="64">
        <f t="shared" si="10"/>
        <v>0</v>
      </c>
      <c r="BM42" s="58">
        <f t="shared" si="11"/>
        <v>0</v>
      </c>
      <c r="BP42" s="3">
        <f>IFERROR(VLOOKUP(BO42,'Factory Log'!$J:$O,6,0),0)</f>
        <v>0</v>
      </c>
      <c r="BQ42" s="3">
        <f>IFERROR(VLOOKUP(BO42,'Factory Log'!$J:$P,7,0),0)</f>
        <v>0</v>
      </c>
      <c r="BR42" s="3">
        <f>IFERROR(VLOOKUP(BO42,'Factory Log'!$J:$Q,8,0),0)</f>
        <v>0</v>
      </c>
      <c r="BS42" s="58">
        <f>SUMIFS('Factory Log'!$D:$D,'Factory Log'!$B:$B,Performance!BO$1,'Factory Log'!$J:$J,Performance!BO42,'Factory Log'!$C:$C,"Running")+SUMIFS('Factory Log'!$D:$D,'Factory Log'!$B:$B,Performance!BO$1,'Factory Log'!$J:$J,Performance!BO42,'Factory Log'!$C:$C,"Make Ready")+SUMIFS('Factory Log'!$D:$D,'Factory Log'!$B:$B,Performance!BO$1,'Factory Log'!$J:$J,Performance!BO42,'Factory Log'!$C:$C,"Roll Change")</f>
        <v>0</v>
      </c>
      <c r="BT42" s="3">
        <f>SUMIFS('Factory Log'!$M:$M,'Factory Log'!$B:$B,Performance!BO$1,'Factory Log'!$J:$J,Performance!BO42,'Factory Log'!$C:$C,"Running")</f>
        <v>0</v>
      </c>
      <c r="BU42" s="58" cm="1">
        <f t="array" ref="BU42">IFERROR(INDEX('Factory Log'!$S:$S,MATCH(1,(Performance!BO$1='Factory Log'!$B:$B)*(Performance!BO42='Factory Log'!$A:$A),0)),0)</f>
        <v>0</v>
      </c>
      <c r="BV42" s="3">
        <f>IFERROR(VLOOKUP(BO42,'Factory Log'!$J:$R,9,0),0)</f>
        <v>0</v>
      </c>
      <c r="BW42" s="64">
        <f t="shared" si="12"/>
        <v>0</v>
      </c>
      <c r="BX42" s="58">
        <f t="shared" si="13"/>
        <v>0</v>
      </c>
      <c r="CA42" s="3">
        <f>IFERROR(VLOOKUP(BZ42,'Factory Log'!$J:$O,6,0),0)</f>
        <v>0</v>
      </c>
      <c r="CB42" s="3">
        <f>IFERROR(VLOOKUP(BZ42,'Factory Log'!$J:$P,7,0),0)</f>
        <v>0</v>
      </c>
      <c r="CC42" s="3">
        <f>IFERROR(VLOOKUP(BZ42,'Factory Log'!$J:$Q,8,0),0)</f>
        <v>0</v>
      </c>
      <c r="CD42" s="58">
        <f>SUMIFS('Factory Log'!$D:$D,'Factory Log'!$B:$B,Performance!BZ$1,'Factory Log'!$J:$J,Performance!BZ42,'Factory Log'!$C:$C,"Running")+SUMIFS('Factory Log'!$D:$D,'Factory Log'!$B:$B,Performance!BZ$1,'Factory Log'!$J:$J,Performance!BZ42,'Factory Log'!$C:$C,"Make Ready")+SUMIFS('Factory Log'!$D:$D,'Factory Log'!$B:$B,Performance!BZ$1,'Factory Log'!$J:$J,Performance!BZ42,'Factory Log'!$C:$C,"Roll Change")</f>
        <v>0</v>
      </c>
      <c r="CE42" s="3">
        <f>SUMIFS('Factory Log'!$M:$M,'Factory Log'!$B:$B,Performance!BZ$1,'Factory Log'!$J:$J,Performance!BZ42,'Factory Log'!$C:$C,"Running")</f>
        <v>0</v>
      </c>
      <c r="CF42" s="58" cm="1">
        <f t="array" ref="CF42">IFERROR(INDEX('Factory Log'!$S:$S,MATCH(1,(Performance!BZ$1='Factory Log'!$B:$B)*(Performance!BZ42='Factory Log'!$A:$A),0)),0)</f>
        <v>0</v>
      </c>
      <c r="CG42" s="3">
        <f>IFERROR(VLOOKUP(BZ42,'Factory Log'!$J:$R,9,0),0)</f>
        <v>0</v>
      </c>
      <c r="CH42" s="64">
        <f t="shared" si="14"/>
        <v>0</v>
      </c>
      <c r="CI42" s="58">
        <f t="shared" si="15"/>
        <v>0</v>
      </c>
      <c r="CL42" s="3">
        <f>IFERROR(VLOOKUP(CK42,'Factory Log'!$J:$O,6,0),0)</f>
        <v>0</v>
      </c>
      <c r="CM42" s="3">
        <f>IFERROR(VLOOKUP(CK42,'Factory Log'!$J:$P,7,0),0)</f>
        <v>0</v>
      </c>
      <c r="CN42" s="3">
        <f>IFERROR(VLOOKUP(CK42,'Factory Log'!$J:$Q,8,0),0)</f>
        <v>0</v>
      </c>
      <c r="CO42" s="58">
        <f>SUMIFS('Factory Log'!$D:$D,'Factory Log'!$B:$B,Performance!CK$1,'Factory Log'!$J:$J,Performance!CK42,'Factory Log'!$C:$C,"Running")+SUMIFS('Factory Log'!$D:$D,'Factory Log'!$B:$B,Performance!CK$1,'Factory Log'!$J:$J,Performance!CK42,'Factory Log'!$C:$C,"Make Ready")+SUMIFS('Factory Log'!$D:$D,'Factory Log'!$B:$B,Performance!CK$1,'Factory Log'!$J:$J,Performance!CK42,'Factory Log'!$C:$C,"Roll Change")</f>
        <v>0</v>
      </c>
      <c r="CP42" s="3">
        <f>SUMIFS('Factory Log'!$M:$M,'Factory Log'!$B:$B,Performance!CK$1,'Factory Log'!$J:$J,Performance!CK42,'Factory Log'!$C:$C,"Running")</f>
        <v>0</v>
      </c>
      <c r="CQ42" s="58" cm="1">
        <f t="array" ref="CQ42">IFERROR(INDEX('Factory Log'!$S:$S,MATCH(1,(Performance!CK$1='Factory Log'!$B:$B)*(Performance!CK42='Factory Log'!$A:$A),0)),0)</f>
        <v>0</v>
      </c>
      <c r="CR42" s="3">
        <f>IFERROR(VLOOKUP(CK42,'Factory Log'!$J:$R,9,0),0)</f>
        <v>0</v>
      </c>
      <c r="CS42" s="64">
        <f t="shared" si="16"/>
        <v>0</v>
      </c>
      <c r="CT42" s="58">
        <f t="shared" si="17"/>
        <v>0</v>
      </c>
      <c r="CW42" s="3">
        <f>IFERROR(VLOOKUP(CV42,'Factory Log'!$J:$O,6,0),0)</f>
        <v>0</v>
      </c>
      <c r="CX42" s="3">
        <f>IFERROR(VLOOKUP(CV42,'Factory Log'!$J:$P,7,0),0)</f>
        <v>0</v>
      </c>
      <c r="CY42" s="3">
        <f>IFERROR(VLOOKUP(CV42,'Factory Log'!$J:$Q,8,0),0)</f>
        <v>0</v>
      </c>
      <c r="CZ42" s="58">
        <f>SUMIFS('Factory Log'!$D:$D,'Factory Log'!$B:$B,Performance!CV$1,'Factory Log'!$J:$J,Performance!CV42,'Factory Log'!$C:$C,"Running")+SUMIFS('Factory Log'!$D:$D,'Factory Log'!$B:$B,Performance!CV$1,'Factory Log'!$J:$J,Performance!CV42,'Factory Log'!$C:$C,"Make Ready")+SUMIFS('Factory Log'!$D:$D,'Factory Log'!$B:$B,Performance!CV$1,'Factory Log'!$J:$J,Performance!CV42,'Factory Log'!$C:$C,"Roll Change")</f>
        <v>0</v>
      </c>
      <c r="DA42" s="3">
        <f>SUMIFS('Factory Log'!$M:$M,'Factory Log'!$B:$B,Performance!CV$1,'Factory Log'!$J:$J,Performance!CV42,'Factory Log'!$C:$C,"Running")</f>
        <v>0</v>
      </c>
      <c r="DB42" s="58" cm="1">
        <f t="array" ref="DB42">IFERROR(INDEX('Factory Log'!$S:$S,MATCH(1,(Performance!CV$1='Factory Log'!$B:$B)*(Performance!CV42='Factory Log'!$A:$A),0)),0)</f>
        <v>0</v>
      </c>
      <c r="DC42" s="3">
        <f>IFERROR(VLOOKUP(CV42,'Factory Log'!$J:$R,9,0),0)</f>
        <v>0</v>
      </c>
      <c r="DD42" s="64">
        <f t="shared" si="18"/>
        <v>0</v>
      </c>
      <c r="DE42" s="58">
        <f t="shared" si="19"/>
        <v>0</v>
      </c>
      <c r="DH42" s="3">
        <f>IFERROR(VLOOKUP(DG42,'Factory Log'!$J:$O,6,0),0)</f>
        <v>0</v>
      </c>
      <c r="DI42" s="3">
        <f>IFERROR(VLOOKUP(DG42,'Factory Log'!$J:$P,7,0),0)</f>
        <v>0</v>
      </c>
      <c r="DJ42" s="3">
        <f>IFERROR(VLOOKUP(DG42,'Factory Log'!$J:$Q,8,0),0)</f>
        <v>0</v>
      </c>
      <c r="DK42" s="58">
        <f>SUMIFS('Factory Log'!$D:$D,'Factory Log'!$B:$B,Performance!DG$1,'Factory Log'!$J:$J,Performance!DG42,'Factory Log'!$C:$C,"Running")+SUMIFS('Factory Log'!$D:$D,'Factory Log'!$B:$B,Performance!DG$1,'Factory Log'!$J:$J,Performance!DG42,'Factory Log'!$C:$C,"Make Ready")+SUMIFS('Factory Log'!$D:$D,'Factory Log'!$B:$B,Performance!DG$1,'Factory Log'!$J:$J,Performance!DG42,'Factory Log'!$C:$C,"Roll Change")</f>
        <v>0</v>
      </c>
      <c r="DL42" s="3">
        <f>SUMIFS('Factory Log'!$M:$M,'Factory Log'!$B:$B,Performance!DG$1,'Factory Log'!$J:$J,Performance!DG42,'Factory Log'!$C:$C,"Running")</f>
        <v>0</v>
      </c>
      <c r="DM42" s="58" cm="1">
        <f t="array" ref="DM42">IFERROR(INDEX('Factory Log'!$S:$S,MATCH(1,(Performance!DG$1='Factory Log'!$B:$B)*(Performance!DG42='Factory Log'!$A:$A),0)),0)</f>
        <v>0</v>
      </c>
      <c r="DN42" s="3">
        <f>IFERROR(VLOOKUP(DG42,'Factory Log'!$J:$R,9,0),0)</f>
        <v>0</v>
      </c>
      <c r="DO42" s="64">
        <f t="shared" si="20"/>
        <v>0</v>
      </c>
      <c r="DP42" s="58">
        <f t="shared" si="21"/>
        <v>0</v>
      </c>
      <c r="DS42" s="3">
        <f>IFERROR(VLOOKUP(DR42,'Factory Log'!$J:$O,6,0),0)</f>
        <v>0</v>
      </c>
      <c r="DT42" s="3">
        <f>IFERROR(VLOOKUP(DR42,'Factory Log'!$J:$P,7,0),0)</f>
        <v>0</v>
      </c>
      <c r="DU42" s="3">
        <f>IFERROR(VLOOKUP(DR42,'Factory Log'!$J:$Q,8,0),0)</f>
        <v>0</v>
      </c>
      <c r="DV42" s="58">
        <f>SUMIFS('Factory Log'!$D:$D,'Factory Log'!$B:$B,Performance!DR$1,'Factory Log'!$J:$J,Performance!DR42,'Factory Log'!$C:$C,"Running")+SUMIFS('Factory Log'!$D:$D,'Factory Log'!$B:$B,Performance!DR$1,'Factory Log'!$J:$J,Performance!DR42,'Factory Log'!$C:$C,"Make Ready")+SUMIFS('Factory Log'!$D:$D,'Factory Log'!$B:$B,Performance!DR$1,'Factory Log'!$J:$J,Performance!DR42,'Factory Log'!$C:$C,"Roll Change")</f>
        <v>0</v>
      </c>
      <c r="DW42" s="3">
        <f>SUMIFS('Factory Log'!$M:$M,'Factory Log'!$B:$B,Performance!DR$1,'Factory Log'!$J:$J,Performance!DR42,'Factory Log'!$C:$C,"Running")</f>
        <v>0</v>
      </c>
      <c r="DX42" s="58" cm="1">
        <f t="array" ref="DX42">IFERROR(INDEX('Factory Log'!$S:$S,MATCH(1,(Performance!DR$1='Factory Log'!$B:$B)*(Performance!DR42='Factory Log'!$A:$A),0)),0)</f>
        <v>0</v>
      </c>
      <c r="DY42" s="3">
        <f>IFERROR(VLOOKUP(DR42,'Factory Log'!$J:$R,9,0),0)</f>
        <v>0</v>
      </c>
      <c r="DZ42" s="64">
        <f t="shared" si="22"/>
        <v>0</v>
      </c>
      <c r="EA42" s="58">
        <f t="shared" si="23"/>
        <v>0</v>
      </c>
      <c r="ED42" s="3">
        <f>IFERROR(VLOOKUP(EC42,'Factory Log'!$J:$O,6,0),0)</f>
        <v>0</v>
      </c>
      <c r="EE42" s="3">
        <f>IFERROR(VLOOKUP(EC42,'Factory Log'!$J:$P,7,0),0)</f>
        <v>0</v>
      </c>
      <c r="EF42" s="3">
        <f>IFERROR(VLOOKUP(EC42,'Factory Log'!$J:$Q,8,0),0)</f>
        <v>0</v>
      </c>
      <c r="EG42" s="58">
        <f>SUMIFS('Factory Log'!$D:$D,'Factory Log'!$B:$B,Performance!EC$1,'Factory Log'!$J:$J,Performance!EC42,'Factory Log'!$C:$C,"Running")+SUMIFS('Factory Log'!$D:$D,'Factory Log'!$B:$B,Performance!EC$1,'Factory Log'!$J:$J,Performance!EC42,'Factory Log'!$C:$C,"Make Ready")+SUMIFS('Factory Log'!$D:$D,'Factory Log'!$B:$B,Performance!EC$1,'Factory Log'!$J:$J,Performance!EC42,'Factory Log'!$C:$C,"Roll Change")</f>
        <v>0</v>
      </c>
      <c r="EH42" s="3">
        <f>SUMIFS('Factory Log'!$M:$M,'Factory Log'!$B:$B,Performance!EC$1,'Factory Log'!$J:$J,Performance!EC42,'Factory Log'!$C:$C,"Running")</f>
        <v>0</v>
      </c>
      <c r="EI42" s="58" cm="1">
        <f t="array" ref="EI42">IFERROR(INDEX('Factory Log'!$S:$S,MATCH(1,(Performance!EC$1='Factory Log'!$B:$B)*(Performance!EC42='Factory Log'!$A:$A),0)),0)</f>
        <v>0</v>
      </c>
      <c r="EJ42" s="3">
        <f>IFERROR(VLOOKUP(EC42,'Factory Log'!$J:$R,9,0),0)</f>
        <v>0</v>
      </c>
      <c r="EK42" s="64">
        <f t="shared" si="24"/>
        <v>0</v>
      </c>
      <c r="EL42" s="58">
        <f t="shared" si="25"/>
        <v>0</v>
      </c>
      <c r="EO42" s="3">
        <f>IFERROR(VLOOKUP(EN42,'Factory Log'!$J:$O,6,0),0)</f>
        <v>0</v>
      </c>
      <c r="EP42" s="3">
        <f>IFERROR(VLOOKUP(EN42,'Factory Log'!$J:$P,7,0),0)</f>
        <v>0</v>
      </c>
      <c r="EQ42" s="3">
        <f>IFERROR(VLOOKUP(EN42,'Factory Log'!$J:$Q,8,0),0)</f>
        <v>0</v>
      </c>
      <c r="ER42" s="58">
        <f>SUMIFS('Factory Log'!$D:$D,'Factory Log'!$B:$B,Performance!EN$1,'Factory Log'!$J:$J,Performance!EN42,'Factory Log'!$C:$C,"Running")+SUMIFS('Factory Log'!$D:$D,'Factory Log'!$B:$B,Performance!EN$1,'Factory Log'!$J:$J,Performance!EN42,'Factory Log'!$C:$C,"Make Ready")+SUMIFS('Factory Log'!$D:$D,'Factory Log'!$B:$B,Performance!EN$1,'Factory Log'!$J:$J,Performance!EN42,'Factory Log'!$C:$C,"Roll Change")</f>
        <v>0</v>
      </c>
      <c r="ES42" s="3">
        <f>SUMIFS('Factory Log'!$M:$M,'Factory Log'!$B:$B,Performance!EN$1,'Factory Log'!$J:$J,Performance!EN42,'Factory Log'!$C:$C,"Running")</f>
        <v>0</v>
      </c>
      <c r="ET42" s="58" cm="1">
        <f t="array" ref="ET42">IFERROR(INDEX('Factory Log'!$S:$S,MATCH(1,(Performance!EN$1='Factory Log'!$B:$B)*(Performance!EN42='Factory Log'!$A:$A),0)),0)</f>
        <v>0</v>
      </c>
      <c r="EU42" s="3">
        <f>IFERROR(VLOOKUP(EN42,'Factory Log'!$J:$R,9,0),0)</f>
        <v>0</v>
      </c>
      <c r="EV42" s="64">
        <f t="shared" si="26"/>
        <v>0</v>
      </c>
      <c r="EW42" s="58">
        <f t="shared" si="27"/>
        <v>0</v>
      </c>
      <c r="EZ42" s="3">
        <f>IFERROR(VLOOKUP(EY42,'Factory Log'!$J:$O,6,0),0)</f>
        <v>0</v>
      </c>
      <c r="FA42" s="3">
        <f>IFERROR(VLOOKUP(EY42,'Factory Log'!$J:$P,7,0),0)</f>
        <v>0</v>
      </c>
      <c r="FB42" s="3">
        <f>IFERROR(VLOOKUP(EY42,'Factory Log'!$J:$Q,8,0),0)</f>
        <v>0</v>
      </c>
      <c r="FC42" s="58">
        <f>SUMIFS('Factory Log'!$D:$D,'Factory Log'!$B:$B,Performance!EY$1,'Factory Log'!$J:$J,Performance!EY42,'Factory Log'!$C:$C,"Running")+SUMIFS('Factory Log'!$D:$D,'Factory Log'!$B:$B,Performance!EY$1,'Factory Log'!$J:$J,Performance!EY42,'Factory Log'!$C:$C,"Make Ready")+SUMIFS('Factory Log'!$D:$D,'Factory Log'!$B:$B,Performance!EY$1,'Factory Log'!$J:$J,Performance!EY42,'Factory Log'!$C:$C,"Roll Change")</f>
        <v>0</v>
      </c>
      <c r="FD42" s="3">
        <f>SUMIFS('Factory Log'!$M:$M,'Factory Log'!$B:$B,Performance!EY$1,'Factory Log'!$J:$J,Performance!EY42,'Factory Log'!$C:$C,"Running")</f>
        <v>0</v>
      </c>
      <c r="FE42" s="58" cm="1">
        <f t="array" ref="FE42">IFERROR(INDEX('Factory Log'!$S:$S,MATCH(1,(Performance!EY$1='Factory Log'!$B:$B)*(Performance!EY42='Factory Log'!$A:$A),0)),0)</f>
        <v>0</v>
      </c>
      <c r="FF42" s="3">
        <f>IFERROR(VLOOKUP(EY42,'Factory Log'!$J:$R,9,0),0)</f>
        <v>0</v>
      </c>
      <c r="FG42" s="64">
        <f t="shared" si="28"/>
        <v>0</v>
      </c>
      <c r="FH42" s="58">
        <f t="shared" si="29"/>
        <v>0</v>
      </c>
    </row>
    <row r="43" spans="2:164" ht="16" customHeight="1" x14ac:dyDescent="0.2">
      <c r="B43" s="3">
        <f>IFERROR(VLOOKUP(A43,'Factory Log'!$J:$O,6,0),0)</f>
        <v>0</v>
      </c>
      <c r="C43" s="3">
        <f>IFERROR(VLOOKUP(A43,'Factory Log'!$J:$P,7,0),0)</f>
        <v>0</v>
      </c>
      <c r="D43" s="3">
        <f>IFERROR(VLOOKUP(A43,'Factory Log'!$J:$Q,8,0),0)</f>
        <v>0</v>
      </c>
      <c r="E43" s="58">
        <f>SUMIFS('Factory Log'!$D:$D,'Factory Log'!$B:$B,Performance!A$1,'Factory Log'!$J:$J,Performance!A43,'Factory Log'!$C:$C,"Running")+SUMIFS('Factory Log'!$D:$D,'Factory Log'!$B:$B,Performance!A$1,'Factory Log'!$J:$J,Performance!A43,'Factory Log'!$C:$C,"Make Ready")+SUMIFS('Factory Log'!$D:$D,'Factory Log'!$B:$B,Performance!A$1,'Factory Log'!$J:$J,Performance!A43,'Factory Log'!$C:$C,"Roll Change")</f>
        <v>0</v>
      </c>
      <c r="F43" s="3">
        <f>SUMIFS('Factory Log'!$M:$M,'Factory Log'!$B:$B,Performance!A$1,'Factory Log'!$J:$J,Performance!A43,'Factory Log'!$C:$C,"Running")</f>
        <v>0</v>
      </c>
      <c r="G43" s="58" cm="1">
        <f t="array" ref="G43">IFERROR(INDEX('Factory Log'!$S:$S,MATCH(1,(Performance!A$1='Factory Log'!$B:$B)*(Performance!A43='Factory Log'!$A:$A),0)),0)</f>
        <v>0</v>
      </c>
      <c r="H43" s="3">
        <f>IFERROR(VLOOKUP(A43,'Factory Log'!$J:$R,9,0),0)</f>
        <v>0</v>
      </c>
      <c r="I43" s="64">
        <f t="shared" si="1"/>
        <v>0</v>
      </c>
      <c r="J43" s="58">
        <f t="shared" si="30"/>
        <v>0</v>
      </c>
      <c r="M43" s="3">
        <f>IFERROR(VLOOKUP(L43,'Factory Log'!$J:$O,6,0),0)</f>
        <v>0</v>
      </c>
      <c r="N43" s="3">
        <f>IFERROR(VLOOKUP(L43,'Factory Log'!$J:$P,7,0),0)</f>
        <v>0</v>
      </c>
      <c r="O43" s="3">
        <f>IFERROR(VLOOKUP(L43,'Factory Log'!$J:$Q,8,0),0)</f>
        <v>0</v>
      </c>
      <c r="P43" s="58">
        <f>SUMIFS('Factory Log'!$D:$D,'Factory Log'!$B:$B,Performance!L$1,'Factory Log'!$J:$J,Performance!L43,'Factory Log'!$C:$C,"Running")+SUMIFS('Factory Log'!$D:$D,'Factory Log'!$B:$B,Performance!L$1,'Factory Log'!$J:$J,Performance!L43,'Factory Log'!$C:$C,"Make Ready")+SUMIFS('Factory Log'!$D:$D,'Factory Log'!$B:$B,Performance!L$1,'Factory Log'!$J:$J,Performance!L43,'Factory Log'!$C:$C,"Roll Change")</f>
        <v>0</v>
      </c>
      <c r="Q43" s="3">
        <f>SUMIFS('Factory Log'!$M:$M,'Factory Log'!$B:$B,Performance!L$1,'Factory Log'!$J:$J,Performance!L43,'Factory Log'!$C:$C,"Running")</f>
        <v>0</v>
      </c>
      <c r="R43" s="58" cm="1">
        <f t="array" ref="R43">IFERROR(INDEX('Factory Log'!$S:$S,MATCH(1,(Performance!L$1='Factory Log'!$B:$B)*(Performance!L43='Factory Log'!$A:$A),0)),0)</f>
        <v>0</v>
      </c>
      <c r="S43" s="3">
        <f>IFERROR(VLOOKUP(L43,'Factory Log'!$J:$R,9,0),0)</f>
        <v>0</v>
      </c>
      <c r="T43" s="64">
        <f t="shared" si="2"/>
        <v>0</v>
      </c>
      <c r="U43" s="58">
        <f t="shared" si="31"/>
        <v>0</v>
      </c>
      <c r="X43" s="3">
        <f>IFERROR(VLOOKUP(W43,'Factory Log'!$J:$O,6,0),0)</f>
        <v>0</v>
      </c>
      <c r="Y43" s="3">
        <f>IFERROR(VLOOKUP(W43,'Factory Log'!$J:$P,7,0),0)</f>
        <v>0</v>
      </c>
      <c r="Z43" s="3">
        <f>IFERROR(VLOOKUP(W43,'Factory Log'!$J:$Q,8,0),0)</f>
        <v>0</v>
      </c>
      <c r="AA43" s="58">
        <f>SUMIFS('Factory Log'!$D:$D,'Factory Log'!$B:$B,Performance!W$1,'Factory Log'!$J:$J,Performance!W43,'Factory Log'!$C:$C,"Running")+SUMIFS('Factory Log'!$D:$D,'Factory Log'!$B:$B,Performance!W$1,'Factory Log'!$J:$J,Performance!W43,'Factory Log'!$C:$C,"Make Ready")+SUMIFS('Factory Log'!$D:$D,'Factory Log'!$B:$B,Performance!W$1,'Factory Log'!$J:$J,Performance!W43,'Factory Log'!$C:$C,"Roll Change")</f>
        <v>0</v>
      </c>
      <c r="AB43" s="3">
        <f>SUMIFS('Factory Log'!$M:$M,'Factory Log'!$B:$B,Performance!W$1,'Factory Log'!$J:$J,Performance!W43,'Factory Log'!$C:$C,"Running")</f>
        <v>0</v>
      </c>
      <c r="AC43" s="58" cm="1">
        <f t="array" ref="AC43">IFERROR(INDEX('Factory Log'!$S:$S,MATCH(1,(Performance!W$1='Factory Log'!$B:$B)*(Performance!W43='Factory Log'!$A:$A),0)),0)</f>
        <v>0</v>
      </c>
      <c r="AD43" s="3">
        <f>IFERROR(VLOOKUP(W43,'Factory Log'!$J:$R,9,0),0)</f>
        <v>0</v>
      </c>
      <c r="AE43" s="64">
        <f t="shared" si="4"/>
        <v>0</v>
      </c>
      <c r="AF43" s="58">
        <f t="shared" si="33"/>
        <v>0</v>
      </c>
      <c r="AI43" s="3">
        <f>IFERROR(VLOOKUP(AH43,'Factory Log'!$J:$O,6,0),0)</f>
        <v>0</v>
      </c>
      <c r="AJ43" s="3">
        <f>IFERROR(VLOOKUP(AH43,'Factory Log'!$J:$P,7,0),0)</f>
        <v>0</v>
      </c>
      <c r="AK43" s="3">
        <f>IFERROR(VLOOKUP(AH43,'Factory Log'!$J:$Q,8,0),0)</f>
        <v>0</v>
      </c>
      <c r="AL43" s="58">
        <f>SUMIFS('Factory Log'!$D:$D,'Factory Log'!$B:$B,Performance!AH$1,'Factory Log'!$J:$J,Performance!AH43,'Factory Log'!$C:$C,"Running")+SUMIFS('Factory Log'!$D:$D,'Factory Log'!$B:$B,Performance!AH$1,'Factory Log'!$J:$J,Performance!AH43,'Factory Log'!$C:$C,"Make Ready")+SUMIFS('Factory Log'!$D:$D,'Factory Log'!$B:$B,Performance!AH$1,'Factory Log'!$J:$J,Performance!AH43,'Factory Log'!$C:$C,"Roll Change")</f>
        <v>0</v>
      </c>
      <c r="AM43" s="3">
        <f>SUMIFS('Factory Log'!$M:$M,'Factory Log'!$B:$B,Performance!AH$1,'Factory Log'!$J:$J,Performance!AH43,'Factory Log'!$C:$C,"Running")</f>
        <v>0</v>
      </c>
      <c r="AN43" s="58" cm="1">
        <f t="array" ref="AN43">IFERROR(INDEX('Factory Log'!$S:$S,MATCH(1,(Performance!AH$1='Factory Log'!$B:$B)*(Performance!AH43='Factory Log'!$A:$A),0)),0)</f>
        <v>0</v>
      </c>
      <c r="AO43" s="3">
        <f>IFERROR(VLOOKUP(AH43,'Factory Log'!$J:$R,9,0),0)</f>
        <v>0</v>
      </c>
      <c r="AP43" s="64">
        <f t="shared" si="6"/>
        <v>0</v>
      </c>
      <c r="AQ43" s="58">
        <f t="shared" si="7"/>
        <v>0</v>
      </c>
      <c r="AT43" s="3">
        <f>IFERROR(VLOOKUP(AS43,'Factory Log'!$J:$O,6,0),0)</f>
        <v>0</v>
      </c>
      <c r="AU43" s="3">
        <f>IFERROR(VLOOKUP(AS43,'Factory Log'!$J:$P,7,0),0)</f>
        <v>0</v>
      </c>
      <c r="AV43" s="3">
        <f>IFERROR(VLOOKUP(AS43,'Factory Log'!$J:$Q,8,0),0)</f>
        <v>0</v>
      </c>
      <c r="AW43" s="58">
        <f>SUMIFS('Factory Log'!$D:$D,'Factory Log'!$B:$B,Performance!AS$1,'Factory Log'!$J:$J,Performance!AS43,'Factory Log'!$C:$C,"Running")+SUMIFS('Factory Log'!$D:$D,'Factory Log'!$B:$B,Performance!AS$1,'Factory Log'!$J:$J,Performance!AS43,'Factory Log'!$C:$C,"Make Ready")+SUMIFS('Factory Log'!$D:$D,'Factory Log'!$B:$B,Performance!AS$1,'Factory Log'!$J:$J,Performance!AS43,'Factory Log'!$C:$C,"Roll Change")</f>
        <v>0</v>
      </c>
      <c r="AX43" s="3">
        <f>SUMIFS('Factory Log'!$M:$M,'Factory Log'!$B:$B,Performance!AS$1,'Factory Log'!$J:$J,Performance!AS43,'Factory Log'!$C:$C,"Running")</f>
        <v>0</v>
      </c>
      <c r="AY43" s="58" cm="1">
        <f t="array" ref="AY43">IFERROR(INDEX('Factory Log'!$S:$S,MATCH(1,(Performance!AS$1='Factory Log'!$B:$B)*(Performance!AS43='Factory Log'!$A:$A),0)),0)</f>
        <v>0</v>
      </c>
      <c r="AZ43" s="3">
        <f>IFERROR(VLOOKUP(AS43,'Factory Log'!$J:$R,9,0),0)</f>
        <v>0</v>
      </c>
      <c r="BA43" s="64">
        <f t="shared" si="8"/>
        <v>0</v>
      </c>
      <c r="BB43" s="58">
        <f t="shared" si="9"/>
        <v>0</v>
      </c>
      <c r="BE43" s="3">
        <f>IFERROR(VLOOKUP(BD43,'Factory Log'!$J:$O,6,0),0)</f>
        <v>0</v>
      </c>
      <c r="BF43" s="3">
        <f>IFERROR(VLOOKUP(BD43,'Factory Log'!$J:$P,7,0),0)</f>
        <v>0</v>
      </c>
      <c r="BG43" s="3">
        <f>IFERROR(VLOOKUP(BD43,'Factory Log'!$J:$Q,8,0),0)</f>
        <v>0</v>
      </c>
      <c r="BH43" s="58">
        <f>SUMIFS('Factory Log'!$D:$D,'Factory Log'!$B:$B,Performance!BD$1,'Factory Log'!$J:$J,Performance!BD43,'Factory Log'!$C:$C,"Running")+SUMIFS('Factory Log'!$D:$D,'Factory Log'!$B:$B,Performance!BD$1,'Factory Log'!$J:$J,Performance!BD43,'Factory Log'!$C:$C,"Make Ready")+SUMIFS('Factory Log'!$D:$D,'Factory Log'!$B:$B,Performance!BD$1,'Factory Log'!$J:$J,Performance!BD43,'Factory Log'!$C:$C,"Roll Change")</f>
        <v>0</v>
      </c>
      <c r="BI43" s="3">
        <f>SUMIFS('Factory Log'!$M:$M,'Factory Log'!$B:$B,Performance!BD$1,'Factory Log'!$J:$J,Performance!BD43,'Factory Log'!$C:$C,"Running")</f>
        <v>0</v>
      </c>
      <c r="BJ43" s="58" cm="1">
        <f t="array" ref="BJ43">IFERROR(INDEX('Factory Log'!$S:$S,MATCH(1,(Performance!BD$1='Factory Log'!$B:$B)*(Performance!BD43='Factory Log'!$A:$A),0)),0)</f>
        <v>0</v>
      </c>
      <c r="BK43" s="3">
        <f>IFERROR(VLOOKUP(BD43,'Factory Log'!$J:$R,9,0),0)</f>
        <v>0</v>
      </c>
      <c r="BL43" s="64">
        <f t="shared" si="10"/>
        <v>0</v>
      </c>
      <c r="BM43" s="58">
        <f t="shared" si="11"/>
        <v>0</v>
      </c>
      <c r="BP43" s="3">
        <f>IFERROR(VLOOKUP(BO43,'Factory Log'!$J:$O,6,0),0)</f>
        <v>0</v>
      </c>
      <c r="BQ43" s="3">
        <f>IFERROR(VLOOKUP(BO43,'Factory Log'!$J:$P,7,0),0)</f>
        <v>0</v>
      </c>
      <c r="BR43" s="3">
        <f>IFERROR(VLOOKUP(BO43,'Factory Log'!$J:$Q,8,0),0)</f>
        <v>0</v>
      </c>
      <c r="BS43" s="58">
        <f>SUMIFS('Factory Log'!$D:$D,'Factory Log'!$B:$B,Performance!BO$1,'Factory Log'!$J:$J,Performance!BO43,'Factory Log'!$C:$C,"Running")+SUMIFS('Factory Log'!$D:$D,'Factory Log'!$B:$B,Performance!BO$1,'Factory Log'!$J:$J,Performance!BO43,'Factory Log'!$C:$C,"Make Ready")+SUMIFS('Factory Log'!$D:$D,'Factory Log'!$B:$B,Performance!BO$1,'Factory Log'!$J:$J,Performance!BO43,'Factory Log'!$C:$C,"Roll Change")</f>
        <v>0</v>
      </c>
      <c r="BT43" s="3">
        <f>SUMIFS('Factory Log'!$M:$M,'Factory Log'!$B:$B,Performance!BO$1,'Factory Log'!$J:$J,Performance!BO43,'Factory Log'!$C:$C,"Running")</f>
        <v>0</v>
      </c>
      <c r="BU43" s="58" cm="1">
        <f t="array" ref="BU43">IFERROR(INDEX('Factory Log'!$S:$S,MATCH(1,(Performance!BO$1='Factory Log'!$B:$B)*(Performance!BO43='Factory Log'!$A:$A),0)),0)</f>
        <v>0</v>
      </c>
      <c r="BV43" s="3">
        <f>IFERROR(VLOOKUP(BO43,'Factory Log'!$J:$R,9,0),0)</f>
        <v>0</v>
      </c>
      <c r="BW43" s="64">
        <f t="shared" si="12"/>
        <v>0</v>
      </c>
      <c r="BX43" s="58">
        <f t="shared" si="13"/>
        <v>0</v>
      </c>
      <c r="CA43" s="3">
        <f>IFERROR(VLOOKUP(BZ43,'Factory Log'!$J:$O,6,0),0)</f>
        <v>0</v>
      </c>
      <c r="CB43" s="3">
        <f>IFERROR(VLOOKUP(BZ43,'Factory Log'!$J:$P,7,0),0)</f>
        <v>0</v>
      </c>
      <c r="CC43" s="3">
        <f>IFERROR(VLOOKUP(BZ43,'Factory Log'!$J:$Q,8,0),0)</f>
        <v>0</v>
      </c>
      <c r="CD43" s="58">
        <f>SUMIFS('Factory Log'!$D:$D,'Factory Log'!$B:$B,Performance!BZ$1,'Factory Log'!$J:$J,Performance!BZ43,'Factory Log'!$C:$C,"Running")+SUMIFS('Factory Log'!$D:$D,'Factory Log'!$B:$B,Performance!BZ$1,'Factory Log'!$J:$J,Performance!BZ43,'Factory Log'!$C:$C,"Make Ready")+SUMIFS('Factory Log'!$D:$D,'Factory Log'!$B:$B,Performance!BZ$1,'Factory Log'!$J:$J,Performance!BZ43,'Factory Log'!$C:$C,"Roll Change")</f>
        <v>0</v>
      </c>
      <c r="CE43" s="3">
        <f>SUMIFS('Factory Log'!$M:$M,'Factory Log'!$B:$B,Performance!BZ$1,'Factory Log'!$J:$J,Performance!BZ43,'Factory Log'!$C:$C,"Running")</f>
        <v>0</v>
      </c>
      <c r="CF43" s="58" cm="1">
        <f t="array" ref="CF43">IFERROR(INDEX('Factory Log'!$S:$S,MATCH(1,(Performance!BZ$1='Factory Log'!$B:$B)*(Performance!BZ43='Factory Log'!$A:$A),0)),0)</f>
        <v>0</v>
      </c>
      <c r="CG43" s="3">
        <f>IFERROR(VLOOKUP(BZ43,'Factory Log'!$J:$R,9,0),0)</f>
        <v>0</v>
      </c>
      <c r="CH43" s="64">
        <f t="shared" si="14"/>
        <v>0</v>
      </c>
      <c r="CI43" s="58">
        <f t="shared" si="15"/>
        <v>0</v>
      </c>
      <c r="CL43" s="3">
        <f>IFERROR(VLOOKUP(CK43,'Factory Log'!$J:$O,6,0),0)</f>
        <v>0</v>
      </c>
      <c r="CM43" s="3">
        <f>IFERROR(VLOOKUP(CK43,'Factory Log'!$J:$P,7,0),0)</f>
        <v>0</v>
      </c>
      <c r="CN43" s="3">
        <f>IFERROR(VLOOKUP(CK43,'Factory Log'!$J:$Q,8,0),0)</f>
        <v>0</v>
      </c>
      <c r="CO43" s="58">
        <f>SUMIFS('Factory Log'!$D:$D,'Factory Log'!$B:$B,Performance!CK$1,'Factory Log'!$J:$J,Performance!CK43,'Factory Log'!$C:$C,"Running")+SUMIFS('Factory Log'!$D:$D,'Factory Log'!$B:$B,Performance!CK$1,'Factory Log'!$J:$J,Performance!CK43,'Factory Log'!$C:$C,"Make Ready")+SUMIFS('Factory Log'!$D:$D,'Factory Log'!$B:$B,Performance!CK$1,'Factory Log'!$J:$J,Performance!CK43,'Factory Log'!$C:$C,"Roll Change")</f>
        <v>0</v>
      </c>
      <c r="CP43" s="3">
        <f>SUMIFS('Factory Log'!$M:$M,'Factory Log'!$B:$B,Performance!CK$1,'Factory Log'!$J:$J,Performance!CK43,'Factory Log'!$C:$C,"Running")</f>
        <v>0</v>
      </c>
      <c r="CQ43" s="58" cm="1">
        <f t="array" ref="CQ43">IFERROR(INDEX('Factory Log'!$S:$S,MATCH(1,(Performance!CK$1='Factory Log'!$B:$B)*(Performance!CK43='Factory Log'!$A:$A),0)),0)</f>
        <v>0</v>
      </c>
      <c r="CR43" s="3">
        <f>IFERROR(VLOOKUP(CK43,'Factory Log'!$J:$R,9,0),0)</f>
        <v>0</v>
      </c>
      <c r="CS43" s="64">
        <f t="shared" si="16"/>
        <v>0</v>
      </c>
      <c r="CT43" s="58">
        <f t="shared" si="17"/>
        <v>0</v>
      </c>
      <c r="CW43" s="3">
        <f>IFERROR(VLOOKUP(CV43,'Factory Log'!$J:$O,6,0),0)</f>
        <v>0</v>
      </c>
      <c r="CX43" s="3">
        <f>IFERROR(VLOOKUP(CV43,'Factory Log'!$J:$P,7,0),0)</f>
        <v>0</v>
      </c>
      <c r="CY43" s="3">
        <f>IFERROR(VLOOKUP(CV43,'Factory Log'!$J:$Q,8,0),0)</f>
        <v>0</v>
      </c>
      <c r="CZ43" s="58">
        <f>SUMIFS('Factory Log'!$D:$D,'Factory Log'!$B:$B,Performance!CV$1,'Factory Log'!$J:$J,Performance!CV43,'Factory Log'!$C:$C,"Running")+SUMIFS('Factory Log'!$D:$D,'Factory Log'!$B:$B,Performance!CV$1,'Factory Log'!$J:$J,Performance!CV43,'Factory Log'!$C:$C,"Make Ready")+SUMIFS('Factory Log'!$D:$D,'Factory Log'!$B:$B,Performance!CV$1,'Factory Log'!$J:$J,Performance!CV43,'Factory Log'!$C:$C,"Roll Change")</f>
        <v>0</v>
      </c>
      <c r="DA43" s="3">
        <f>SUMIFS('Factory Log'!$M:$M,'Factory Log'!$B:$B,Performance!CV$1,'Factory Log'!$J:$J,Performance!CV43,'Factory Log'!$C:$C,"Running")</f>
        <v>0</v>
      </c>
      <c r="DB43" s="58" cm="1">
        <f t="array" ref="DB43">IFERROR(INDEX('Factory Log'!$S:$S,MATCH(1,(Performance!CV$1='Factory Log'!$B:$B)*(Performance!CV43='Factory Log'!$A:$A),0)),0)</f>
        <v>0</v>
      </c>
      <c r="DC43" s="3">
        <f>IFERROR(VLOOKUP(CV43,'Factory Log'!$J:$R,9,0),0)</f>
        <v>0</v>
      </c>
      <c r="DD43" s="64">
        <f t="shared" si="18"/>
        <v>0</v>
      </c>
      <c r="DE43" s="58">
        <f t="shared" si="19"/>
        <v>0</v>
      </c>
      <c r="DH43" s="3">
        <f>IFERROR(VLOOKUP(DG43,'Factory Log'!$J:$O,6,0),0)</f>
        <v>0</v>
      </c>
      <c r="DI43" s="3">
        <f>IFERROR(VLOOKUP(DG43,'Factory Log'!$J:$P,7,0),0)</f>
        <v>0</v>
      </c>
      <c r="DJ43" s="3">
        <f>IFERROR(VLOOKUP(DG43,'Factory Log'!$J:$Q,8,0),0)</f>
        <v>0</v>
      </c>
      <c r="DK43" s="58">
        <f>SUMIFS('Factory Log'!$D:$D,'Factory Log'!$B:$B,Performance!DG$1,'Factory Log'!$J:$J,Performance!DG43,'Factory Log'!$C:$C,"Running")+SUMIFS('Factory Log'!$D:$D,'Factory Log'!$B:$B,Performance!DG$1,'Factory Log'!$J:$J,Performance!DG43,'Factory Log'!$C:$C,"Make Ready")+SUMIFS('Factory Log'!$D:$D,'Factory Log'!$B:$B,Performance!DG$1,'Factory Log'!$J:$J,Performance!DG43,'Factory Log'!$C:$C,"Roll Change")</f>
        <v>0</v>
      </c>
      <c r="DL43" s="3">
        <f>SUMIFS('Factory Log'!$M:$M,'Factory Log'!$B:$B,Performance!DG$1,'Factory Log'!$J:$J,Performance!DG43,'Factory Log'!$C:$C,"Running")</f>
        <v>0</v>
      </c>
      <c r="DM43" s="58" cm="1">
        <f t="array" ref="DM43">IFERROR(INDEX('Factory Log'!$S:$S,MATCH(1,(Performance!DG$1='Factory Log'!$B:$B)*(Performance!DG43='Factory Log'!$A:$A),0)),0)</f>
        <v>0</v>
      </c>
      <c r="DN43" s="3">
        <f>IFERROR(VLOOKUP(DG43,'Factory Log'!$J:$R,9,0),0)</f>
        <v>0</v>
      </c>
      <c r="DO43" s="64">
        <f t="shared" si="20"/>
        <v>0</v>
      </c>
      <c r="DP43" s="58">
        <f t="shared" si="21"/>
        <v>0</v>
      </c>
      <c r="DS43" s="3">
        <f>IFERROR(VLOOKUP(DR43,'Factory Log'!$J:$O,6,0),0)</f>
        <v>0</v>
      </c>
      <c r="DT43" s="3">
        <f>IFERROR(VLOOKUP(DR43,'Factory Log'!$J:$P,7,0),0)</f>
        <v>0</v>
      </c>
      <c r="DU43" s="3">
        <f>IFERROR(VLOOKUP(DR43,'Factory Log'!$J:$Q,8,0),0)</f>
        <v>0</v>
      </c>
      <c r="DV43" s="58">
        <f>SUMIFS('Factory Log'!$D:$D,'Factory Log'!$B:$B,Performance!DR$1,'Factory Log'!$J:$J,Performance!DR43,'Factory Log'!$C:$C,"Running")+SUMIFS('Factory Log'!$D:$D,'Factory Log'!$B:$B,Performance!DR$1,'Factory Log'!$J:$J,Performance!DR43,'Factory Log'!$C:$C,"Make Ready")+SUMIFS('Factory Log'!$D:$D,'Factory Log'!$B:$B,Performance!DR$1,'Factory Log'!$J:$J,Performance!DR43,'Factory Log'!$C:$C,"Roll Change")</f>
        <v>0</v>
      </c>
      <c r="DW43" s="3">
        <f>SUMIFS('Factory Log'!$M:$M,'Factory Log'!$B:$B,Performance!DR$1,'Factory Log'!$J:$J,Performance!DR43,'Factory Log'!$C:$C,"Running")</f>
        <v>0</v>
      </c>
      <c r="DX43" s="58" cm="1">
        <f t="array" ref="DX43">IFERROR(INDEX('Factory Log'!$S:$S,MATCH(1,(Performance!DR$1='Factory Log'!$B:$B)*(Performance!DR43='Factory Log'!$A:$A),0)),0)</f>
        <v>0</v>
      </c>
      <c r="DY43" s="3">
        <f>IFERROR(VLOOKUP(DR43,'Factory Log'!$J:$R,9,0),0)</f>
        <v>0</v>
      </c>
      <c r="DZ43" s="64">
        <f t="shared" si="22"/>
        <v>0</v>
      </c>
      <c r="EA43" s="58">
        <f t="shared" si="23"/>
        <v>0</v>
      </c>
      <c r="ED43" s="3">
        <f>IFERROR(VLOOKUP(EC43,'Factory Log'!$J:$O,6,0),0)</f>
        <v>0</v>
      </c>
      <c r="EE43" s="3">
        <f>IFERROR(VLOOKUP(EC43,'Factory Log'!$J:$P,7,0),0)</f>
        <v>0</v>
      </c>
      <c r="EF43" s="3">
        <f>IFERROR(VLOOKUP(EC43,'Factory Log'!$J:$Q,8,0),0)</f>
        <v>0</v>
      </c>
      <c r="EG43" s="58">
        <f>SUMIFS('Factory Log'!$D:$D,'Factory Log'!$B:$B,Performance!EC$1,'Factory Log'!$J:$J,Performance!EC43,'Factory Log'!$C:$C,"Running")+SUMIFS('Factory Log'!$D:$D,'Factory Log'!$B:$B,Performance!EC$1,'Factory Log'!$J:$J,Performance!EC43,'Factory Log'!$C:$C,"Make Ready")+SUMIFS('Factory Log'!$D:$D,'Factory Log'!$B:$B,Performance!EC$1,'Factory Log'!$J:$J,Performance!EC43,'Factory Log'!$C:$C,"Roll Change")</f>
        <v>0</v>
      </c>
      <c r="EH43" s="3">
        <f>SUMIFS('Factory Log'!$M:$M,'Factory Log'!$B:$B,Performance!EC$1,'Factory Log'!$J:$J,Performance!EC43,'Factory Log'!$C:$C,"Running")</f>
        <v>0</v>
      </c>
      <c r="EI43" s="58" cm="1">
        <f t="array" ref="EI43">IFERROR(INDEX('Factory Log'!$S:$S,MATCH(1,(Performance!EC$1='Factory Log'!$B:$B)*(Performance!EC43='Factory Log'!$A:$A),0)),0)</f>
        <v>0</v>
      </c>
      <c r="EJ43" s="3">
        <f>IFERROR(VLOOKUP(EC43,'Factory Log'!$J:$R,9,0),0)</f>
        <v>0</v>
      </c>
      <c r="EK43" s="64">
        <f t="shared" si="24"/>
        <v>0</v>
      </c>
      <c r="EL43" s="58">
        <f t="shared" si="25"/>
        <v>0</v>
      </c>
      <c r="EO43" s="3">
        <f>IFERROR(VLOOKUP(EN43,'Factory Log'!$J:$O,6,0),0)</f>
        <v>0</v>
      </c>
      <c r="EP43" s="3">
        <f>IFERROR(VLOOKUP(EN43,'Factory Log'!$J:$P,7,0),0)</f>
        <v>0</v>
      </c>
      <c r="EQ43" s="3">
        <f>IFERROR(VLOOKUP(EN43,'Factory Log'!$J:$Q,8,0),0)</f>
        <v>0</v>
      </c>
      <c r="ER43" s="58">
        <f>SUMIFS('Factory Log'!$D:$D,'Factory Log'!$B:$B,Performance!EN$1,'Factory Log'!$J:$J,Performance!EN43,'Factory Log'!$C:$C,"Running")+SUMIFS('Factory Log'!$D:$D,'Factory Log'!$B:$B,Performance!EN$1,'Factory Log'!$J:$J,Performance!EN43,'Factory Log'!$C:$C,"Make Ready")+SUMIFS('Factory Log'!$D:$D,'Factory Log'!$B:$B,Performance!EN$1,'Factory Log'!$J:$J,Performance!EN43,'Factory Log'!$C:$C,"Roll Change")</f>
        <v>0</v>
      </c>
      <c r="ES43" s="3">
        <f>SUMIFS('Factory Log'!$M:$M,'Factory Log'!$B:$B,Performance!EN$1,'Factory Log'!$J:$J,Performance!EN43,'Factory Log'!$C:$C,"Running")</f>
        <v>0</v>
      </c>
      <c r="ET43" s="58" cm="1">
        <f t="array" ref="ET43">IFERROR(INDEX('Factory Log'!$S:$S,MATCH(1,(Performance!EN$1='Factory Log'!$B:$B)*(Performance!EN43='Factory Log'!$A:$A),0)),0)</f>
        <v>0</v>
      </c>
      <c r="EU43" s="3">
        <f>IFERROR(VLOOKUP(EN43,'Factory Log'!$J:$R,9,0),0)</f>
        <v>0</v>
      </c>
      <c r="EV43" s="64">
        <f t="shared" si="26"/>
        <v>0</v>
      </c>
      <c r="EW43" s="58">
        <f t="shared" si="27"/>
        <v>0</v>
      </c>
      <c r="EZ43" s="3">
        <f>IFERROR(VLOOKUP(EY43,'Factory Log'!$J:$O,6,0),0)</f>
        <v>0</v>
      </c>
      <c r="FA43" s="3">
        <f>IFERROR(VLOOKUP(EY43,'Factory Log'!$J:$P,7,0),0)</f>
        <v>0</v>
      </c>
      <c r="FB43" s="3">
        <f>IFERROR(VLOOKUP(EY43,'Factory Log'!$J:$Q,8,0),0)</f>
        <v>0</v>
      </c>
      <c r="FC43" s="58">
        <f>SUMIFS('Factory Log'!$D:$D,'Factory Log'!$B:$B,Performance!EY$1,'Factory Log'!$J:$J,Performance!EY43,'Factory Log'!$C:$C,"Running")+SUMIFS('Factory Log'!$D:$D,'Factory Log'!$B:$B,Performance!EY$1,'Factory Log'!$J:$J,Performance!EY43,'Factory Log'!$C:$C,"Make Ready")+SUMIFS('Factory Log'!$D:$D,'Factory Log'!$B:$B,Performance!EY$1,'Factory Log'!$J:$J,Performance!EY43,'Factory Log'!$C:$C,"Roll Change")</f>
        <v>0</v>
      </c>
      <c r="FD43" s="3">
        <f>SUMIFS('Factory Log'!$M:$M,'Factory Log'!$B:$B,Performance!EY$1,'Factory Log'!$J:$J,Performance!EY43,'Factory Log'!$C:$C,"Running")</f>
        <v>0</v>
      </c>
      <c r="FE43" s="58" cm="1">
        <f t="array" ref="FE43">IFERROR(INDEX('Factory Log'!$S:$S,MATCH(1,(Performance!EY$1='Factory Log'!$B:$B)*(Performance!EY43='Factory Log'!$A:$A),0)),0)</f>
        <v>0</v>
      </c>
      <c r="FF43" s="3">
        <f>IFERROR(VLOOKUP(EY43,'Factory Log'!$J:$R,9,0),0)</f>
        <v>0</v>
      </c>
      <c r="FG43" s="64">
        <f t="shared" si="28"/>
        <v>0</v>
      </c>
      <c r="FH43" s="58">
        <f t="shared" si="29"/>
        <v>0</v>
      </c>
    </row>
    <row r="44" spans="2:164" ht="16" customHeight="1" x14ac:dyDescent="0.2">
      <c r="B44" s="3">
        <f>IFERROR(VLOOKUP(A44,'Factory Log'!$J:$O,6,0),0)</f>
        <v>0</v>
      </c>
      <c r="C44" s="3">
        <f>IFERROR(VLOOKUP(A44,'Factory Log'!$J:$P,7,0),0)</f>
        <v>0</v>
      </c>
      <c r="D44" s="3">
        <f>IFERROR(VLOOKUP(A44,'Factory Log'!$J:$Q,8,0),0)</f>
        <v>0</v>
      </c>
      <c r="E44" s="58">
        <f>SUMIFS('Factory Log'!$D:$D,'Factory Log'!$B:$B,Performance!A$1,'Factory Log'!$J:$J,Performance!A44,'Factory Log'!$C:$C,"Running")+SUMIFS('Factory Log'!$D:$D,'Factory Log'!$B:$B,Performance!A$1,'Factory Log'!$J:$J,Performance!A44,'Factory Log'!$C:$C,"Make Ready")+SUMIFS('Factory Log'!$D:$D,'Factory Log'!$B:$B,Performance!A$1,'Factory Log'!$J:$J,Performance!A44,'Factory Log'!$C:$C,"Roll Change")</f>
        <v>0</v>
      </c>
      <c r="F44" s="3">
        <f>SUMIFS('Factory Log'!$M:$M,'Factory Log'!$B:$B,Performance!A$1,'Factory Log'!$J:$J,Performance!A44,'Factory Log'!$C:$C,"Running")</f>
        <v>0</v>
      </c>
      <c r="G44" s="58" cm="1">
        <f t="array" ref="G44">IFERROR(INDEX('Factory Log'!$S:$S,MATCH(1,(Performance!A$1='Factory Log'!$B:$B)*(Performance!A44='Factory Log'!$A:$A),0)),0)</f>
        <v>0</v>
      </c>
      <c r="H44" s="3">
        <f>IFERROR(VLOOKUP(A44,'Factory Log'!$J:$R,9,0),0)</f>
        <v>0</v>
      </c>
      <c r="I44" s="64">
        <f t="shared" si="1"/>
        <v>0</v>
      </c>
      <c r="J44" s="58">
        <f t="shared" si="30"/>
        <v>0</v>
      </c>
      <c r="M44" s="3">
        <f>IFERROR(VLOOKUP(L44,'Factory Log'!$J:$O,6,0),0)</f>
        <v>0</v>
      </c>
      <c r="N44" s="3">
        <f>IFERROR(VLOOKUP(L44,'Factory Log'!$J:$P,7,0),0)</f>
        <v>0</v>
      </c>
      <c r="O44" s="3">
        <f>IFERROR(VLOOKUP(L44,'Factory Log'!$J:$Q,8,0),0)</f>
        <v>0</v>
      </c>
      <c r="P44" s="58">
        <f>SUMIFS('Factory Log'!$D:$D,'Factory Log'!$B:$B,Performance!L$1,'Factory Log'!$J:$J,Performance!L44,'Factory Log'!$C:$C,"Running")+SUMIFS('Factory Log'!$D:$D,'Factory Log'!$B:$B,Performance!L$1,'Factory Log'!$J:$J,Performance!L44,'Factory Log'!$C:$C,"Make Ready")+SUMIFS('Factory Log'!$D:$D,'Factory Log'!$B:$B,Performance!L$1,'Factory Log'!$J:$J,Performance!L44,'Factory Log'!$C:$C,"Roll Change")</f>
        <v>0</v>
      </c>
      <c r="Q44" s="3">
        <f>SUMIFS('Factory Log'!$M:$M,'Factory Log'!$B:$B,Performance!L$1,'Factory Log'!$J:$J,Performance!L44,'Factory Log'!$C:$C,"Running")</f>
        <v>0</v>
      </c>
      <c r="R44" s="58" cm="1">
        <f t="array" ref="R44">IFERROR(INDEX('Factory Log'!$S:$S,MATCH(1,(Performance!L$1='Factory Log'!$B:$B)*(Performance!L44='Factory Log'!$A:$A),0)),0)</f>
        <v>0</v>
      </c>
      <c r="S44" s="3">
        <f>IFERROR(VLOOKUP(L44,'Factory Log'!$J:$R,9,0),0)</f>
        <v>0</v>
      </c>
      <c r="T44" s="64">
        <f t="shared" si="2"/>
        <v>0</v>
      </c>
      <c r="U44" s="58">
        <f t="shared" si="31"/>
        <v>0</v>
      </c>
      <c r="X44" s="3">
        <f>IFERROR(VLOOKUP(W44,'Factory Log'!$J:$O,6,0),0)</f>
        <v>0</v>
      </c>
      <c r="Y44" s="3">
        <f>IFERROR(VLOOKUP(W44,'Factory Log'!$J:$P,7,0),0)</f>
        <v>0</v>
      </c>
      <c r="Z44" s="3">
        <f>IFERROR(VLOOKUP(W44,'Factory Log'!$J:$Q,8,0),0)</f>
        <v>0</v>
      </c>
      <c r="AA44" s="58">
        <f>SUMIFS('Factory Log'!$D:$D,'Factory Log'!$B:$B,Performance!W$1,'Factory Log'!$J:$J,Performance!W44,'Factory Log'!$C:$C,"Running")+SUMIFS('Factory Log'!$D:$D,'Factory Log'!$B:$B,Performance!W$1,'Factory Log'!$J:$J,Performance!W44,'Factory Log'!$C:$C,"Make Ready")+SUMIFS('Factory Log'!$D:$D,'Factory Log'!$B:$B,Performance!W$1,'Factory Log'!$J:$J,Performance!W44,'Factory Log'!$C:$C,"Roll Change")</f>
        <v>0</v>
      </c>
      <c r="AB44" s="3">
        <f>SUMIFS('Factory Log'!$M:$M,'Factory Log'!$B:$B,Performance!W$1,'Factory Log'!$J:$J,Performance!W44,'Factory Log'!$C:$C,"Running")</f>
        <v>0</v>
      </c>
      <c r="AC44" s="58" cm="1">
        <f t="array" ref="AC44">IFERROR(INDEX('Factory Log'!$S:$S,MATCH(1,(Performance!W$1='Factory Log'!$B:$B)*(Performance!W44='Factory Log'!$A:$A),0)),0)</f>
        <v>0</v>
      </c>
      <c r="AD44" s="3">
        <f>IFERROR(VLOOKUP(W44,'Factory Log'!$J:$R,9,0),0)</f>
        <v>0</v>
      </c>
      <c r="AE44" s="64">
        <f t="shared" si="4"/>
        <v>0</v>
      </c>
      <c r="AF44" s="58">
        <f t="shared" si="33"/>
        <v>0</v>
      </c>
      <c r="AI44" s="3">
        <f>IFERROR(VLOOKUP(AH44,'Factory Log'!$J:$O,6,0),0)</f>
        <v>0</v>
      </c>
      <c r="AJ44" s="3">
        <f>IFERROR(VLOOKUP(AH44,'Factory Log'!$J:$P,7,0),0)</f>
        <v>0</v>
      </c>
      <c r="AK44" s="3">
        <f>IFERROR(VLOOKUP(AH44,'Factory Log'!$J:$Q,8,0),0)</f>
        <v>0</v>
      </c>
      <c r="AL44" s="58">
        <f>SUMIFS('Factory Log'!$D:$D,'Factory Log'!$B:$B,Performance!AH$1,'Factory Log'!$J:$J,Performance!AH44,'Factory Log'!$C:$C,"Running")+SUMIFS('Factory Log'!$D:$D,'Factory Log'!$B:$B,Performance!AH$1,'Factory Log'!$J:$J,Performance!AH44,'Factory Log'!$C:$C,"Make Ready")+SUMIFS('Factory Log'!$D:$D,'Factory Log'!$B:$B,Performance!AH$1,'Factory Log'!$J:$J,Performance!AH44,'Factory Log'!$C:$C,"Roll Change")</f>
        <v>0</v>
      </c>
      <c r="AM44" s="3">
        <f>SUMIFS('Factory Log'!$M:$M,'Factory Log'!$B:$B,Performance!AH$1,'Factory Log'!$J:$J,Performance!AH44,'Factory Log'!$C:$C,"Running")</f>
        <v>0</v>
      </c>
      <c r="AN44" s="58" cm="1">
        <f t="array" ref="AN44">IFERROR(INDEX('Factory Log'!$S:$S,MATCH(1,(Performance!AH$1='Factory Log'!$B:$B)*(Performance!AH44='Factory Log'!$A:$A),0)),0)</f>
        <v>0</v>
      </c>
      <c r="AO44" s="3">
        <f>IFERROR(VLOOKUP(AH44,'Factory Log'!$J:$R,9,0),0)</f>
        <v>0</v>
      </c>
      <c r="AP44" s="64">
        <f t="shared" si="6"/>
        <v>0</v>
      </c>
      <c r="AQ44" s="58">
        <f t="shared" si="7"/>
        <v>0</v>
      </c>
      <c r="AT44" s="3">
        <f>IFERROR(VLOOKUP(AS44,'Factory Log'!$J:$O,6,0),0)</f>
        <v>0</v>
      </c>
      <c r="AU44" s="3">
        <f>IFERROR(VLOOKUP(AS44,'Factory Log'!$J:$P,7,0),0)</f>
        <v>0</v>
      </c>
      <c r="AV44" s="3">
        <f>IFERROR(VLOOKUP(AS44,'Factory Log'!$J:$Q,8,0),0)</f>
        <v>0</v>
      </c>
      <c r="AW44" s="58">
        <f>SUMIFS('Factory Log'!$D:$D,'Factory Log'!$B:$B,Performance!AS$1,'Factory Log'!$J:$J,Performance!AS44,'Factory Log'!$C:$C,"Running")+SUMIFS('Factory Log'!$D:$D,'Factory Log'!$B:$B,Performance!AS$1,'Factory Log'!$J:$J,Performance!AS44,'Factory Log'!$C:$C,"Make Ready")+SUMIFS('Factory Log'!$D:$D,'Factory Log'!$B:$B,Performance!AS$1,'Factory Log'!$J:$J,Performance!AS44,'Factory Log'!$C:$C,"Roll Change")</f>
        <v>0</v>
      </c>
      <c r="AX44" s="3">
        <f>SUMIFS('Factory Log'!$M:$M,'Factory Log'!$B:$B,Performance!AS$1,'Factory Log'!$J:$J,Performance!AS44,'Factory Log'!$C:$C,"Running")</f>
        <v>0</v>
      </c>
      <c r="AY44" s="58" cm="1">
        <f t="array" ref="AY44">IFERROR(INDEX('Factory Log'!$S:$S,MATCH(1,(Performance!AS$1='Factory Log'!$B:$B)*(Performance!AS44='Factory Log'!$A:$A),0)),0)</f>
        <v>0</v>
      </c>
      <c r="AZ44" s="3">
        <f>IFERROR(VLOOKUP(AS44,'Factory Log'!$J:$R,9,0),0)</f>
        <v>0</v>
      </c>
      <c r="BA44" s="64">
        <f t="shared" si="8"/>
        <v>0</v>
      </c>
      <c r="BB44" s="58">
        <f t="shared" si="9"/>
        <v>0</v>
      </c>
      <c r="BE44" s="3">
        <f>IFERROR(VLOOKUP(BD44,'Factory Log'!$J:$O,6,0),0)</f>
        <v>0</v>
      </c>
      <c r="BF44" s="3">
        <f>IFERROR(VLOOKUP(BD44,'Factory Log'!$J:$P,7,0),0)</f>
        <v>0</v>
      </c>
      <c r="BG44" s="3">
        <f>IFERROR(VLOOKUP(BD44,'Factory Log'!$J:$Q,8,0),0)</f>
        <v>0</v>
      </c>
      <c r="BH44" s="58">
        <f>SUMIFS('Factory Log'!$D:$D,'Factory Log'!$B:$B,Performance!BD$1,'Factory Log'!$J:$J,Performance!BD44,'Factory Log'!$C:$C,"Running")+SUMIFS('Factory Log'!$D:$D,'Factory Log'!$B:$B,Performance!BD$1,'Factory Log'!$J:$J,Performance!BD44,'Factory Log'!$C:$C,"Make Ready")+SUMIFS('Factory Log'!$D:$D,'Factory Log'!$B:$B,Performance!BD$1,'Factory Log'!$J:$J,Performance!BD44,'Factory Log'!$C:$C,"Roll Change")</f>
        <v>0</v>
      </c>
      <c r="BI44" s="3">
        <f>SUMIFS('Factory Log'!$M:$M,'Factory Log'!$B:$B,Performance!BD$1,'Factory Log'!$J:$J,Performance!BD44,'Factory Log'!$C:$C,"Running")</f>
        <v>0</v>
      </c>
      <c r="BJ44" s="58" cm="1">
        <f t="array" ref="BJ44">IFERROR(INDEX('Factory Log'!$S:$S,MATCH(1,(Performance!BD$1='Factory Log'!$B:$B)*(Performance!BD44='Factory Log'!$A:$A),0)),0)</f>
        <v>0</v>
      </c>
      <c r="BK44" s="3">
        <f>IFERROR(VLOOKUP(BD44,'Factory Log'!$J:$R,9,0),0)</f>
        <v>0</v>
      </c>
      <c r="BL44" s="64">
        <f t="shared" si="10"/>
        <v>0</v>
      </c>
      <c r="BM44" s="58">
        <f t="shared" si="11"/>
        <v>0</v>
      </c>
      <c r="BP44" s="3">
        <f>IFERROR(VLOOKUP(BO44,'Factory Log'!$J:$O,6,0),0)</f>
        <v>0</v>
      </c>
      <c r="BQ44" s="3">
        <f>IFERROR(VLOOKUP(BO44,'Factory Log'!$J:$P,7,0),0)</f>
        <v>0</v>
      </c>
      <c r="BR44" s="3">
        <f>IFERROR(VLOOKUP(BO44,'Factory Log'!$J:$Q,8,0),0)</f>
        <v>0</v>
      </c>
      <c r="BS44" s="58">
        <f>SUMIFS('Factory Log'!$D:$D,'Factory Log'!$B:$B,Performance!BO$1,'Factory Log'!$J:$J,Performance!BO44,'Factory Log'!$C:$C,"Running")+SUMIFS('Factory Log'!$D:$D,'Factory Log'!$B:$B,Performance!BO$1,'Factory Log'!$J:$J,Performance!BO44,'Factory Log'!$C:$C,"Make Ready")+SUMIFS('Factory Log'!$D:$D,'Factory Log'!$B:$B,Performance!BO$1,'Factory Log'!$J:$J,Performance!BO44,'Factory Log'!$C:$C,"Roll Change")</f>
        <v>0</v>
      </c>
      <c r="BT44" s="3">
        <f>SUMIFS('Factory Log'!$M:$M,'Factory Log'!$B:$B,Performance!BO$1,'Factory Log'!$J:$J,Performance!BO44,'Factory Log'!$C:$C,"Running")</f>
        <v>0</v>
      </c>
      <c r="BU44" s="58" cm="1">
        <f t="array" ref="BU44">IFERROR(INDEX('Factory Log'!$S:$S,MATCH(1,(Performance!BO$1='Factory Log'!$B:$B)*(Performance!BO44='Factory Log'!$A:$A),0)),0)</f>
        <v>0</v>
      </c>
      <c r="BV44" s="3">
        <f>IFERROR(VLOOKUP(BO44,'Factory Log'!$J:$R,9,0),0)</f>
        <v>0</v>
      </c>
      <c r="BW44" s="64">
        <f t="shared" si="12"/>
        <v>0</v>
      </c>
      <c r="BX44" s="58">
        <f t="shared" si="13"/>
        <v>0</v>
      </c>
      <c r="CA44" s="3">
        <f>IFERROR(VLOOKUP(BZ44,'Factory Log'!$J:$O,6,0),0)</f>
        <v>0</v>
      </c>
      <c r="CB44" s="3">
        <f>IFERROR(VLOOKUP(BZ44,'Factory Log'!$J:$P,7,0),0)</f>
        <v>0</v>
      </c>
      <c r="CC44" s="3">
        <f>IFERROR(VLOOKUP(BZ44,'Factory Log'!$J:$Q,8,0),0)</f>
        <v>0</v>
      </c>
      <c r="CD44" s="58">
        <f>SUMIFS('Factory Log'!$D:$D,'Factory Log'!$B:$B,Performance!BZ$1,'Factory Log'!$J:$J,Performance!BZ44,'Factory Log'!$C:$C,"Running")+SUMIFS('Factory Log'!$D:$D,'Factory Log'!$B:$B,Performance!BZ$1,'Factory Log'!$J:$J,Performance!BZ44,'Factory Log'!$C:$C,"Make Ready")+SUMIFS('Factory Log'!$D:$D,'Factory Log'!$B:$B,Performance!BZ$1,'Factory Log'!$J:$J,Performance!BZ44,'Factory Log'!$C:$C,"Roll Change")</f>
        <v>0</v>
      </c>
      <c r="CE44" s="3">
        <f>SUMIFS('Factory Log'!$M:$M,'Factory Log'!$B:$B,Performance!BZ$1,'Factory Log'!$J:$J,Performance!BZ44,'Factory Log'!$C:$C,"Running")</f>
        <v>0</v>
      </c>
      <c r="CF44" s="58" cm="1">
        <f t="array" ref="CF44">IFERROR(INDEX('Factory Log'!$S:$S,MATCH(1,(Performance!BZ$1='Factory Log'!$B:$B)*(Performance!BZ44='Factory Log'!$A:$A),0)),0)</f>
        <v>0</v>
      </c>
      <c r="CG44" s="3">
        <f>IFERROR(VLOOKUP(BZ44,'Factory Log'!$J:$R,9,0),0)</f>
        <v>0</v>
      </c>
      <c r="CH44" s="64">
        <f t="shared" si="14"/>
        <v>0</v>
      </c>
      <c r="CI44" s="58">
        <f t="shared" si="15"/>
        <v>0</v>
      </c>
      <c r="CL44" s="3">
        <f>IFERROR(VLOOKUP(CK44,'Factory Log'!$J:$O,6,0),0)</f>
        <v>0</v>
      </c>
      <c r="CM44" s="3">
        <f>IFERROR(VLOOKUP(CK44,'Factory Log'!$J:$P,7,0),0)</f>
        <v>0</v>
      </c>
      <c r="CN44" s="3">
        <f>IFERROR(VLOOKUP(CK44,'Factory Log'!$J:$Q,8,0),0)</f>
        <v>0</v>
      </c>
      <c r="CO44" s="58">
        <f>SUMIFS('Factory Log'!$D:$D,'Factory Log'!$B:$B,Performance!CK$1,'Factory Log'!$J:$J,Performance!CK44,'Factory Log'!$C:$C,"Running")+SUMIFS('Factory Log'!$D:$D,'Factory Log'!$B:$B,Performance!CK$1,'Factory Log'!$J:$J,Performance!CK44,'Factory Log'!$C:$C,"Make Ready")+SUMIFS('Factory Log'!$D:$D,'Factory Log'!$B:$B,Performance!CK$1,'Factory Log'!$J:$J,Performance!CK44,'Factory Log'!$C:$C,"Roll Change")</f>
        <v>0</v>
      </c>
      <c r="CP44" s="3">
        <f>SUMIFS('Factory Log'!$M:$M,'Factory Log'!$B:$B,Performance!CK$1,'Factory Log'!$J:$J,Performance!CK44,'Factory Log'!$C:$C,"Running")</f>
        <v>0</v>
      </c>
      <c r="CQ44" s="58" cm="1">
        <f t="array" ref="CQ44">IFERROR(INDEX('Factory Log'!$S:$S,MATCH(1,(Performance!CK$1='Factory Log'!$B:$B)*(Performance!CK44='Factory Log'!$A:$A),0)),0)</f>
        <v>0</v>
      </c>
      <c r="CR44" s="3">
        <f>IFERROR(VLOOKUP(CK44,'Factory Log'!$J:$R,9,0),0)</f>
        <v>0</v>
      </c>
      <c r="CS44" s="64">
        <f t="shared" si="16"/>
        <v>0</v>
      </c>
      <c r="CT44" s="58">
        <f t="shared" si="17"/>
        <v>0</v>
      </c>
      <c r="CW44" s="3">
        <f>IFERROR(VLOOKUP(CV44,'Factory Log'!$J:$O,6,0),0)</f>
        <v>0</v>
      </c>
      <c r="CX44" s="3">
        <f>IFERROR(VLOOKUP(CV44,'Factory Log'!$J:$P,7,0),0)</f>
        <v>0</v>
      </c>
      <c r="CY44" s="3">
        <f>IFERROR(VLOOKUP(CV44,'Factory Log'!$J:$Q,8,0),0)</f>
        <v>0</v>
      </c>
      <c r="CZ44" s="58">
        <f>SUMIFS('Factory Log'!$D:$D,'Factory Log'!$B:$B,Performance!CV$1,'Factory Log'!$J:$J,Performance!CV44,'Factory Log'!$C:$C,"Running")+SUMIFS('Factory Log'!$D:$D,'Factory Log'!$B:$B,Performance!CV$1,'Factory Log'!$J:$J,Performance!CV44,'Factory Log'!$C:$C,"Make Ready")+SUMIFS('Factory Log'!$D:$D,'Factory Log'!$B:$B,Performance!CV$1,'Factory Log'!$J:$J,Performance!CV44,'Factory Log'!$C:$C,"Roll Change")</f>
        <v>0</v>
      </c>
      <c r="DA44" s="3">
        <f>SUMIFS('Factory Log'!$M:$M,'Factory Log'!$B:$B,Performance!CV$1,'Factory Log'!$J:$J,Performance!CV44,'Factory Log'!$C:$C,"Running")</f>
        <v>0</v>
      </c>
      <c r="DB44" s="58" cm="1">
        <f t="array" ref="DB44">IFERROR(INDEX('Factory Log'!$S:$S,MATCH(1,(Performance!CV$1='Factory Log'!$B:$B)*(Performance!CV44='Factory Log'!$A:$A),0)),0)</f>
        <v>0</v>
      </c>
      <c r="DC44" s="3">
        <f>IFERROR(VLOOKUP(CV44,'Factory Log'!$J:$R,9,0),0)</f>
        <v>0</v>
      </c>
      <c r="DD44" s="64">
        <f t="shared" si="18"/>
        <v>0</v>
      </c>
      <c r="DE44" s="58">
        <f t="shared" si="19"/>
        <v>0</v>
      </c>
      <c r="DH44" s="3">
        <f>IFERROR(VLOOKUP(DG44,'Factory Log'!$J:$O,6,0),0)</f>
        <v>0</v>
      </c>
      <c r="DI44" s="3">
        <f>IFERROR(VLOOKUP(DG44,'Factory Log'!$J:$P,7,0),0)</f>
        <v>0</v>
      </c>
      <c r="DJ44" s="3">
        <f>IFERROR(VLOOKUP(DG44,'Factory Log'!$J:$Q,8,0),0)</f>
        <v>0</v>
      </c>
      <c r="DK44" s="58">
        <f>SUMIFS('Factory Log'!$D:$D,'Factory Log'!$B:$B,Performance!DG$1,'Factory Log'!$J:$J,Performance!DG44,'Factory Log'!$C:$C,"Running")+SUMIFS('Factory Log'!$D:$D,'Factory Log'!$B:$B,Performance!DG$1,'Factory Log'!$J:$J,Performance!DG44,'Factory Log'!$C:$C,"Make Ready")+SUMIFS('Factory Log'!$D:$D,'Factory Log'!$B:$B,Performance!DG$1,'Factory Log'!$J:$J,Performance!DG44,'Factory Log'!$C:$C,"Roll Change")</f>
        <v>0</v>
      </c>
      <c r="DL44" s="3">
        <f>SUMIFS('Factory Log'!$M:$M,'Factory Log'!$B:$B,Performance!DG$1,'Factory Log'!$J:$J,Performance!DG44,'Factory Log'!$C:$C,"Running")</f>
        <v>0</v>
      </c>
      <c r="DM44" s="58" cm="1">
        <f t="array" ref="DM44">IFERROR(INDEX('Factory Log'!$S:$S,MATCH(1,(Performance!DG$1='Factory Log'!$B:$B)*(Performance!DG44='Factory Log'!$A:$A),0)),0)</f>
        <v>0</v>
      </c>
      <c r="DN44" s="3">
        <f>IFERROR(VLOOKUP(DG44,'Factory Log'!$J:$R,9,0),0)</f>
        <v>0</v>
      </c>
      <c r="DO44" s="64">
        <f t="shared" si="20"/>
        <v>0</v>
      </c>
      <c r="DP44" s="58">
        <f t="shared" si="21"/>
        <v>0</v>
      </c>
      <c r="DS44" s="3">
        <f>IFERROR(VLOOKUP(DR44,'Factory Log'!$J:$O,6,0),0)</f>
        <v>0</v>
      </c>
      <c r="DT44" s="3">
        <f>IFERROR(VLOOKUP(DR44,'Factory Log'!$J:$P,7,0),0)</f>
        <v>0</v>
      </c>
      <c r="DU44" s="3">
        <f>IFERROR(VLOOKUP(DR44,'Factory Log'!$J:$Q,8,0),0)</f>
        <v>0</v>
      </c>
      <c r="DV44" s="58">
        <f>SUMIFS('Factory Log'!$D:$D,'Factory Log'!$B:$B,Performance!DR$1,'Factory Log'!$J:$J,Performance!DR44,'Factory Log'!$C:$C,"Running")+SUMIFS('Factory Log'!$D:$D,'Factory Log'!$B:$B,Performance!DR$1,'Factory Log'!$J:$J,Performance!DR44,'Factory Log'!$C:$C,"Make Ready")+SUMIFS('Factory Log'!$D:$D,'Factory Log'!$B:$B,Performance!DR$1,'Factory Log'!$J:$J,Performance!DR44,'Factory Log'!$C:$C,"Roll Change")</f>
        <v>0</v>
      </c>
      <c r="DW44" s="3">
        <f>SUMIFS('Factory Log'!$M:$M,'Factory Log'!$B:$B,Performance!DR$1,'Factory Log'!$J:$J,Performance!DR44,'Factory Log'!$C:$C,"Running")</f>
        <v>0</v>
      </c>
      <c r="DX44" s="58" cm="1">
        <f t="array" ref="DX44">IFERROR(INDEX('Factory Log'!$S:$S,MATCH(1,(Performance!DR$1='Factory Log'!$B:$B)*(Performance!DR44='Factory Log'!$A:$A),0)),0)</f>
        <v>0</v>
      </c>
      <c r="DY44" s="3">
        <f>IFERROR(VLOOKUP(DR44,'Factory Log'!$J:$R,9,0),0)</f>
        <v>0</v>
      </c>
      <c r="DZ44" s="64">
        <f t="shared" si="22"/>
        <v>0</v>
      </c>
      <c r="EA44" s="58">
        <f t="shared" si="23"/>
        <v>0</v>
      </c>
      <c r="ED44" s="3">
        <f>IFERROR(VLOOKUP(EC44,'Factory Log'!$J:$O,6,0),0)</f>
        <v>0</v>
      </c>
      <c r="EE44" s="3">
        <f>IFERROR(VLOOKUP(EC44,'Factory Log'!$J:$P,7,0),0)</f>
        <v>0</v>
      </c>
      <c r="EF44" s="3">
        <f>IFERROR(VLOOKUP(EC44,'Factory Log'!$J:$Q,8,0),0)</f>
        <v>0</v>
      </c>
      <c r="EG44" s="58">
        <f>SUMIFS('Factory Log'!$D:$D,'Factory Log'!$B:$B,Performance!EC$1,'Factory Log'!$J:$J,Performance!EC44,'Factory Log'!$C:$C,"Running")+SUMIFS('Factory Log'!$D:$D,'Factory Log'!$B:$B,Performance!EC$1,'Factory Log'!$J:$J,Performance!EC44,'Factory Log'!$C:$C,"Make Ready")+SUMIFS('Factory Log'!$D:$D,'Factory Log'!$B:$B,Performance!EC$1,'Factory Log'!$J:$J,Performance!EC44,'Factory Log'!$C:$C,"Roll Change")</f>
        <v>0</v>
      </c>
      <c r="EH44" s="3">
        <f>SUMIFS('Factory Log'!$M:$M,'Factory Log'!$B:$B,Performance!EC$1,'Factory Log'!$J:$J,Performance!EC44,'Factory Log'!$C:$C,"Running")</f>
        <v>0</v>
      </c>
      <c r="EI44" s="58" cm="1">
        <f t="array" ref="EI44">IFERROR(INDEX('Factory Log'!$S:$S,MATCH(1,(Performance!EC$1='Factory Log'!$B:$B)*(Performance!EC44='Factory Log'!$A:$A),0)),0)</f>
        <v>0</v>
      </c>
      <c r="EJ44" s="3">
        <f>IFERROR(VLOOKUP(EC44,'Factory Log'!$J:$R,9,0),0)</f>
        <v>0</v>
      </c>
      <c r="EK44" s="64">
        <f t="shared" si="24"/>
        <v>0</v>
      </c>
      <c r="EL44" s="58">
        <f t="shared" si="25"/>
        <v>0</v>
      </c>
      <c r="EO44" s="3">
        <f>IFERROR(VLOOKUP(EN44,'Factory Log'!$J:$O,6,0),0)</f>
        <v>0</v>
      </c>
      <c r="EP44" s="3">
        <f>IFERROR(VLOOKUP(EN44,'Factory Log'!$J:$P,7,0),0)</f>
        <v>0</v>
      </c>
      <c r="EQ44" s="3">
        <f>IFERROR(VLOOKUP(EN44,'Factory Log'!$J:$Q,8,0),0)</f>
        <v>0</v>
      </c>
      <c r="ER44" s="58">
        <f>SUMIFS('Factory Log'!$D:$D,'Factory Log'!$B:$B,Performance!EN$1,'Factory Log'!$J:$J,Performance!EN44,'Factory Log'!$C:$C,"Running")+SUMIFS('Factory Log'!$D:$D,'Factory Log'!$B:$B,Performance!EN$1,'Factory Log'!$J:$J,Performance!EN44,'Factory Log'!$C:$C,"Make Ready")+SUMIFS('Factory Log'!$D:$D,'Factory Log'!$B:$B,Performance!EN$1,'Factory Log'!$J:$J,Performance!EN44,'Factory Log'!$C:$C,"Roll Change")</f>
        <v>0</v>
      </c>
      <c r="ES44" s="3">
        <f>SUMIFS('Factory Log'!$M:$M,'Factory Log'!$B:$B,Performance!EN$1,'Factory Log'!$J:$J,Performance!EN44,'Factory Log'!$C:$C,"Running")</f>
        <v>0</v>
      </c>
      <c r="ET44" s="58" cm="1">
        <f t="array" ref="ET44">IFERROR(INDEX('Factory Log'!$S:$S,MATCH(1,(Performance!EN$1='Factory Log'!$B:$B)*(Performance!EN44='Factory Log'!$A:$A),0)),0)</f>
        <v>0</v>
      </c>
      <c r="EU44" s="3">
        <f>IFERROR(VLOOKUP(EN44,'Factory Log'!$J:$R,9,0),0)</f>
        <v>0</v>
      </c>
      <c r="EV44" s="64">
        <f t="shared" si="26"/>
        <v>0</v>
      </c>
      <c r="EW44" s="58">
        <f t="shared" si="27"/>
        <v>0</v>
      </c>
      <c r="EZ44" s="3">
        <f>IFERROR(VLOOKUP(EY44,'Factory Log'!$J:$O,6,0),0)</f>
        <v>0</v>
      </c>
      <c r="FA44" s="3">
        <f>IFERROR(VLOOKUP(EY44,'Factory Log'!$J:$P,7,0),0)</f>
        <v>0</v>
      </c>
      <c r="FB44" s="3">
        <f>IFERROR(VLOOKUP(EY44,'Factory Log'!$J:$Q,8,0),0)</f>
        <v>0</v>
      </c>
      <c r="FC44" s="58">
        <f>SUMIFS('Factory Log'!$D:$D,'Factory Log'!$B:$B,Performance!EY$1,'Factory Log'!$J:$J,Performance!EY44,'Factory Log'!$C:$C,"Running")+SUMIFS('Factory Log'!$D:$D,'Factory Log'!$B:$B,Performance!EY$1,'Factory Log'!$J:$J,Performance!EY44,'Factory Log'!$C:$C,"Make Ready")+SUMIFS('Factory Log'!$D:$D,'Factory Log'!$B:$B,Performance!EY$1,'Factory Log'!$J:$J,Performance!EY44,'Factory Log'!$C:$C,"Roll Change")</f>
        <v>0</v>
      </c>
      <c r="FD44" s="3">
        <f>SUMIFS('Factory Log'!$M:$M,'Factory Log'!$B:$B,Performance!EY$1,'Factory Log'!$J:$J,Performance!EY44,'Factory Log'!$C:$C,"Running")</f>
        <v>0</v>
      </c>
      <c r="FE44" s="58" cm="1">
        <f t="array" ref="FE44">IFERROR(INDEX('Factory Log'!$S:$S,MATCH(1,(Performance!EY$1='Factory Log'!$B:$B)*(Performance!EY44='Factory Log'!$A:$A),0)),0)</f>
        <v>0</v>
      </c>
      <c r="FF44" s="3">
        <f>IFERROR(VLOOKUP(EY44,'Factory Log'!$J:$R,9,0),0)</f>
        <v>0</v>
      </c>
      <c r="FG44" s="64">
        <f t="shared" si="28"/>
        <v>0</v>
      </c>
      <c r="FH44" s="58">
        <f t="shared" si="29"/>
        <v>0</v>
      </c>
    </row>
    <row r="45" spans="2:164" ht="16" customHeight="1" x14ac:dyDescent="0.2">
      <c r="CL45" s="3">
        <f>IFERROR(VLOOKUP(CK45,'Factory Log'!$J:$O,6,0),0)</f>
        <v>0</v>
      </c>
      <c r="CM45" s="3">
        <f>IFERROR(VLOOKUP(CK45,'Factory Log'!$J:$P,7,0),0)</f>
        <v>0</v>
      </c>
      <c r="CN45" s="3">
        <f>IFERROR(VLOOKUP(CK45,'Factory Log'!$J:$Q,8,0),0)</f>
        <v>0</v>
      </c>
      <c r="CO45" s="58">
        <f>SUMIFS('Factory Log'!$D:$D,'Factory Log'!$B:$B,Performance!CK$1,'Factory Log'!$J:$J,Performance!CK45,'Factory Log'!$C:$C,"Running")+SUMIFS('Factory Log'!$D:$D,'Factory Log'!$B:$B,Performance!CK$1,'Factory Log'!$J:$J,Performance!CK45,'Factory Log'!$C:$C,"Make Ready")+SUMIFS('Factory Log'!$D:$D,'Factory Log'!$B:$B,Performance!CK$1,'Factory Log'!$J:$J,Performance!CK45,'Factory Log'!$C:$C,"Roll Change")</f>
        <v>0</v>
      </c>
      <c r="CP45" s="3">
        <f>SUMIFS('Factory Log'!$M:$M,'Factory Log'!$B:$B,Performance!CK$1,'Factory Log'!$J:$J,Performance!CK45,'Factory Log'!$C:$C,"Running")</f>
        <v>0</v>
      </c>
      <c r="CQ45" s="58" cm="1">
        <f t="array" ref="CQ45">IFERROR(INDEX('Factory Log'!$S:$S,MATCH(1,(Performance!CK$1='Factory Log'!$B:$B)*(Performance!CK45='Factory Log'!$A:$A),0)),0)</f>
        <v>0</v>
      </c>
      <c r="CR45" s="3">
        <f>IFERROR(VLOOKUP(CK45,'Factory Log'!$J:$R,9,0),0)</f>
        <v>0</v>
      </c>
      <c r="CS45" s="64">
        <f t="shared" ref="CS45:CS48" si="34">IFERROR(MIN(CP45/CR45,1),0)</f>
        <v>0</v>
      </c>
      <c r="CT45" s="58">
        <f t="shared" ref="CT45:CT48" si="35">IFERROR(CQ45*CS45,0)</f>
        <v>0</v>
      </c>
    </row>
    <row r="46" spans="2:164" ht="16" customHeight="1" x14ac:dyDescent="0.2">
      <c r="CL46" s="3">
        <f>IFERROR(VLOOKUP(CK46,'Factory Log'!$J:$O,6,0),0)</f>
        <v>0</v>
      </c>
      <c r="CM46" s="3">
        <f>IFERROR(VLOOKUP(CK46,'Factory Log'!$J:$P,7,0),0)</f>
        <v>0</v>
      </c>
      <c r="CN46" s="3">
        <f>IFERROR(VLOOKUP(CK46,'Factory Log'!$J:$Q,8,0),0)</f>
        <v>0</v>
      </c>
      <c r="CO46" s="58">
        <f>SUMIFS('Factory Log'!$D:$D,'Factory Log'!$B:$B,Performance!CK$1,'Factory Log'!$J:$J,Performance!CK46,'Factory Log'!$C:$C,"Running")+SUMIFS('Factory Log'!$D:$D,'Factory Log'!$B:$B,Performance!CK$1,'Factory Log'!$J:$J,Performance!CK46,'Factory Log'!$C:$C,"Make Ready")+SUMIFS('Factory Log'!$D:$D,'Factory Log'!$B:$B,Performance!CK$1,'Factory Log'!$J:$J,Performance!CK46,'Factory Log'!$C:$C,"Roll Change")</f>
        <v>0</v>
      </c>
      <c r="CP46" s="3">
        <f>SUMIFS('Factory Log'!$M:$M,'Factory Log'!$B:$B,Performance!CK$1,'Factory Log'!$J:$J,Performance!CK46,'Factory Log'!$C:$C,"Running")</f>
        <v>0</v>
      </c>
      <c r="CQ46" s="58" cm="1">
        <f t="array" ref="CQ46">IFERROR(INDEX('Factory Log'!$S:$S,MATCH(1,(Performance!CK$1='Factory Log'!$B:$B)*(Performance!CK46='Factory Log'!$A:$A),0)),0)</f>
        <v>0</v>
      </c>
      <c r="CR46" s="3">
        <f>IFERROR(VLOOKUP(CK46,'Factory Log'!$J:$R,9,0),0)</f>
        <v>0</v>
      </c>
      <c r="CS46" s="64">
        <f t="shared" si="34"/>
        <v>0</v>
      </c>
      <c r="CT46" s="58">
        <f t="shared" si="35"/>
        <v>0</v>
      </c>
    </row>
    <row r="47" spans="2:164" ht="16" customHeight="1" x14ac:dyDescent="0.2">
      <c r="CL47" s="3">
        <f>IFERROR(VLOOKUP(CK47,'Factory Log'!$J:$O,6,0),0)</f>
        <v>0</v>
      </c>
      <c r="CM47" s="3">
        <f>IFERROR(VLOOKUP(CK47,'Factory Log'!$J:$P,7,0),0)</f>
        <v>0</v>
      </c>
      <c r="CN47" s="3">
        <f>IFERROR(VLOOKUP(CK47,'Factory Log'!$J:$Q,8,0),0)</f>
        <v>0</v>
      </c>
      <c r="CO47" s="58">
        <f>SUMIFS('Factory Log'!$D:$D,'Factory Log'!$B:$B,Performance!CK$1,'Factory Log'!$J:$J,Performance!CK47,'Factory Log'!$C:$C,"Running")+SUMIFS('Factory Log'!$D:$D,'Factory Log'!$B:$B,Performance!CK$1,'Factory Log'!$J:$J,Performance!CK47,'Factory Log'!$C:$C,"Make Ready")+SUMIFS('Factory Log'!$D:$D,'Factory Log'!$B:$B,Performance!CK$1,'Factory Log'!$J:$J,Performance!CK47,'Factory Log'!$C:$C,"Roll Change")</f>
        <v>0</v>
      </c>
      <c r="CP47" s="3">
        <f>SUMIFS('Factory Log'!$M:$M,'Factory Log'!$B:$B,Performance!CK$1,'Factory Log'!$J:$J,Performance!CK47,'Factory Log'!$C:$C,"Running")</f>
        <v>0</v>
      </c>
      <c r="CQ47" s="58" cm="1">
        <f t="array" ref="CQ47">IFERROR(INDEX('Factory Log'!$S:$S,MATCH(1,(Performance!CK$1='Factory Log'!$B:$B)*(Performance!CK47='Factory Log'!$A:$A),0)),0)</f>
        <v>0</v>
      </c>
      <c r="CR47" s="3">
        <f>IFERROR(VLOOKUP(CK47,'Factory Log'!$J:$R,9,0),0)</f>
        <v>0</v>
      </c>
      <c r="CS47" s="64">
        <f t="shared" si="34"/>
        <v>0</v>
      </c>
      <c r="CT47" s="58">
        <f t="shared" si="35"/>
        <v>0</v>
      </c>
    </row>
    <row r="48" spans="2:164" ht="16" customHeight="1" x14ac:dyDescent="0.2">
      <c r="CL48" s="3">
        <f>IFERROR(VLOOKUP(CK48,'Factory Log'!$J:$O,6,0),0)</f>
        <v>0</v>
      </c>
      <c r="CM48" s="3">
        <f>IFERROR(VLOOKUP(CK48,'Factory Log'!$J:$P,7,0),0)</f>
        <v>0</v>
      </c>
      <c r="CN48" s="3">
        <f>IFERROR(VLOOKUP(CK48,'Factory Log'!$J:$Q,8,0),0)</f>
        <v>0</v>
      </c>
      <c r="CO48" s="58">
        <f>SUMIFS('Factory Log'!$D:$D,'Factory Log'!$B:$B,Performance!CK$1,'Factory Log'!$J:$J,Performance!CK48,'Factory Log'!$C:$C,"Running")+SUMIFS('Factory Log'!$D:$D,'Factory Log'!$B:$B,Performance!CK$1,'Factory Log'!$J:$J,Performance!CK48,'Factory Log'!$C:$C,"Make Ready")+SUMIFS('Factory Log'!$D:$D,'Factory Log'!$B:$B,Performance!CK$1,'Factory Log'!$J:$J,Performance!CK48,'Factory Log'!$C:$C,"Roll Change")</f>
        <v>0</v>
      </c>
      <c r="CP48" s="3">
        <f>SUMIFS('Factory Log'!$M:$M,'Factory Log'!$B:$B,Performance!CK$1,'Factory Log'!$J:$J,Performance!CK48,'Factory Log'!$C:$C,"Running")</f>
        <v>0</v>
      </c>
      <c r="CQ48" s="58" cm="1">
        <f t="array" ref="CQ48">IFERROR(INDEX('Factory Log'!$S:$S,MATCH(1,(Performance!CK$1='Factory Log'!$B:$B)*(Performance!CK48='Factory Log'!$A:$A),0)),0)</f>
        <v>0</v>
      </c>
      <c r="CR48" s="3">
        <f>IFERROR(VLOOKUP(CK48,'Factory Log'!$J:$R,9,0),0)</f>
        <v>0</v>
      </c>
      <c r="CS48" s="64">
        <f t="shared" si="34"/>
        <v>0</v>
      </c>
      <c r="CT48" s="58">
        <f t="shared" si="35"/>
        <v>0</v>
      </c>
    </row>
  </sheetData>
  <autoFilter ref="A3:FH44" xr:uid="{9063C329-6B36-E743-84BB-1C284EF86BB8}"/>
  <conditionalFormatting sqref="A1:XFD1048576">
    <cfRule type="cellIs" dxfId="60" priority="1" operator="equal">
      <formula>0</formula>
    </cfRule>
    <cfRule type="cellIs" dxfId="59" priority="2" operator="equal">
      <formula>0</formula>
    </cfRule>
  </conditionalFormatting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6B4D-6C80-4C4A-A41E-EBDF0B3F6344}">
  <dimension ref="A1:M106"/>
  <sheetViews>
    <sheetView zoomScaleNormal="100" workbookViewId="0">
      <pane ySplit="2" topLeftCell="A3" activePane="bottomLeft" state="frozen"/>
      <selection activeCell="K6" sqref="K6"/>
      <selection pane="bottomLeft" activeCell="K3" sqref="K3:K46"/>
    </sheetView>
  </sheetViews>
  <sheetFormatPr baseColWidth="10" defaultRowHeight="15" x14ac:dyDescent="0.2"/>
  <cols>
    <col min="1" max="2" width="16" style="35" customWidth="1"/>
    <col min="3" max="3" width="22" style="35" customWidth="1"/>
    <col min="4" max="4" width="17.3984375" style="35" customWidth="1"/>
    <col min="5" max="10" width="16" style="35" customWidth="1"/>
    <col min="11" max="12" width="22" style="35" customWidth="1"/>
    <col min="13" max="13" width="24.59765625" style="266" customWidth="1"/>
    <col min="14" max="16384" width="11" style="35"/>
  </cols>
  <sheetData>
    <row r="1" spans="1:13" ht="36" customHeight="1" x14ac:dyDescent="0.2">
      <c r="D1" s="270" t="s">
        <v>204</v>
      </c>
    </row>
    <row r="2" spans="1:13" s="45" customFormat="1" x14ac:dyDescent="0.2">
      <c r="A2" s="45" t="s">
        <v>48</v>
      </c>
      <c r="B2" s="45" t="s">
        <v>49</v>
      </c>
      <c r="C2" s="45" t="s">
        <v>11</v>
      </c>
      <c r="D2" s="45" t="s">
        <v>203</v>
      </c>
      <c r="E2" s="45" t="s">
        <v>50</v>
      </c>
      <c r="F2" s="45" t="s">
        <v>51</v>
      </c>
      <c r="G2" s="45" t="s">
        <v>52</v>
      </c>
      <c r="H2" s="45" t="s">
        <v>79</v>
      </c>
      <c r="I2" s="45" t="s">
        <v>80</v>
      </c>
      <c r="J2" s="45" t="s">
        <v>53</v>
      </c>
      <c r="K2" s="45" t="s">
        <v>99</v>
      </c>
      <c r="L2" s="45" t="s">
        <v>151</v>
      </c>
      <c r="M2" s="267" t="s">
        <v>98</v>
      </c>
    </row>
    <row r="3" spans="1:13" x14ac:dyDescent="0.2">
      <c r="A3" s="35">
        <v>1083886</v>
      </c>
      <c r="B3" s="35">
        <v>6</v>
      </c>
      <c r="D3" s="35">
        <v>30</v>
      </c>
      <c r="E3" s="269">
        <v>349125</v>
      </c>
      <c r="F3" s="35">
        <v>2100</v>
      </c>
      <c r="G3" s="35">
        <v>113</v>
      </c>
      <c r="H3" s="35" t="s">
        <v>205</v>
      </c>
      <c r="I3" s="35" t="s">
        <v>206</v>
      </c>
      <c r="J3" s="35" t="s">
        <v>207</v>
      </c>
      <c r="K3" s="35" t="s">
        <v>25</v>
      </c>
      <c r="L3" s="35" t="s">
        <v>209</v>
      </c>
      <c r="M3" s="266" t="s">
        <v>210</v>
      </c>
    </row>
    <row r="4" spans="1:13" x14ac:dyDescent="0.2">
      <c r="A4" s="35">
        <v>1085358</v>
      </c>
      <c r="B4" s="35">
        <v>6</v>
      </c>
      <c r="D4" s="35">
        <v>30</v>
      </c>
      <c r="E4" s="269">
        <v>349125</v>
      </c>
      <c r="F4" s="35">
        <v>2000</v>
      </c>
      <c r="G4" s="35">
        <v>110.28740000000001</v>
      </c>
      <c r="H4" s="35" t="s">
        <v>205</v>
      </c>
      <c r="I4" s="35" t="s">
        <v>211</v>
      </c>
      <c r="J4" s="35" t="s">
        <v>212</v>
      </c>
      <c r="K4" s="35" t="s">
        <v>25</v>
      </c>
      <c r="L4" s="35" t="s">
        <v>209</v>
      </c>
      <c r="M4" s="266" t="s">
        <v>210</v>
      </c>
    </row>
    <row r="5" spans="1:13" x14ac:dyDescent="0.2">
      <c r="A5" s="35">
        <v>1085703</v>
      </c>
      <c r="B5" s="35">
        <v>6</v>
      </c>
      <c r="D5" s="35">
        <v>30</v>
      </c>
      <c r="E5" s="269">
        <v>349286</v>
      </c>
      <c r="F5" s="35">
        <v>150</v>
      </c>
      <c r="G5" s="35">
        <v>157.77780000000001</v>
      </c>
      <c r="H5" s="35" t="s">
        <v>205</v>
      </c>
      <c r="I5" s="35" t="s">
        <v>213</v>
      </c>
      <c r="J5" s="35" t="s">
        <v>214</v>
      </c>
      <c r="K5" s="35" t="s">
        <v>215</v>
      </c>
      <c r="L5" s="35" t="s">
        <v>216</v>
      </c>
      <c r="M5" s="266" t="s">
        <v>210</v>
      </c>
    </row>
    <row r="6" spans="1:13" x14ac:dyDescent="0.2">
      <c r="A6" s="35">
        <v>1085769</v>
      </c>
      <c r="B6" s="35">
        <v>6</v>
      </c>
      <c r="D6" s="35">
        <v>30</v>
      </c>
      <c r="E6" s="269">
        <v>349297</v>
      </c>
      <c r="F6" s="35">
        <v>955</v>
      </c>
      <c r="G6" s="35">
        <v>46.8</v>
      </c>
      <c r="H6" s="35" t="s">
        <v>205</v>
      </c>
      <c r="I6" s="35" t="s">
        <v>217</v>
      </c>
      <c r="J6" s="35" t="s">
        <v>218</v>
      </c>
      <c r="K6" s="35" t="s">
        <v>24</v>
      </c>
      <c r="L6" s="35" t="s">
        <v>219</v>
      </c>
      <c r="M6" s="266" t="s">
        <v>210</v>
      </c>
    </row>
    <row r="7" spans="1:13" x14ac:dyDescent="0.2">
      <c r="A7" s="35">
        <v>1086519</v>
      </c>
      <c r="B7" s="35">
        <v>6</v>
      </c>
      <c r="D7" s="35">
        <v>30</v>
      </c>
      <c r="E7" s="269">
        <v>349393.02</v>
      </c>
      <c r="F7" s="35">
        <v>730</v>
      </c>
      <c r="G7" s="35">
        <v>46.8</v>
      </c>
      <c r="H7" s="35" t="s">
        <v>205</v>
      </c>
      <c r="I7" s="35" t="s">
        <v>217</v>
      </c>
      <c r="J7" s="35" t="s">
        <v>218</v>
      </c>
      <c r="K7" s="35" t="s">
        <v>58</v>
      </c>
      <c r="L7" s="35" t="s">
        <v>216</v>
      </c>
      <c r="M7" s="266" t="s">
        <v>210</v>
      </c>
    </row>
    <row r="8" spans="1:13" x14ac:dyDescent="0.2">
      <c r="A8" s="35">
        <v>1086654</v>
      </c>
      <c r="B8" s="35">
        <v>5</v>
      </c>
      <c r="C8" s="35" t="s">
        <v>220</v>
      </c>
      <c r="D8" s="35">
        <v>20</v>
      </c>
      <c r="E8" s="269">
        <v>349410.01</v>
      </c>
      <c r="F8" s="35">
        <v>8</v>
      </c>
      <c r="G8" s="35">
        <v>215</v>
      </c>
      <c r="H8" s="35" t="s">
        <v>205</v>
      </c>
      <c r="I8" s="35" t="s">
        <v>221</v>
      </c>
      <c r="J8" s="35" t="s">
        <v>222</v>
      </c>
      <c r="K8" s="35" t="s">
        <v>208</v>
      </c>
      <c r="L8" s="35" t="s">
        <v>223</v>
      </c>
      <c r="M8" s="266" t="s">
        <v>210</v>
      </c>
    </row>
    <row r="9" spans="1:13" x14ac:dyDescent="0.2">
      <c r="A9" s="35">
        <v>1087034</v>
      </c>
      <c r="B9" s="35">
        <v>5</v>
      </c>
      <c r="C9" s="35" t="s">
        <v>224</v>
      </c>
      <c r="D9" s="35">
        <v>20</v>
      </c>
      <c r="E9" s="269">
        <v>349423.03</v>
      </c>
      <c r="F9" s="35">
        <v>30</v>
      </c>
      <c r="G9" s="35">
        <v>275</v>
      </c>
      <c r="H9" s="35" t="s">
        <v>205</v>
      </c>
      <c r="I9" s="35" t="s">
        <v>225</v>
      </c>
      <c r="J9" s="35" t="s">
        <v>214</v>
      </c>
      <c r="K9" s="35" t="s">
        <v>59</v>
      </c>
      <c r="L9" s="35" t="s">
        <v>226</v>
      </c>
      <c r="M9" s="266" t="s">
        <v>210</v>
      </c>
    </row>
    <row r="10" spans="1:13" x14ac:dyDescent="0.2">
      <c r="A10" s="35">
        <v>1087106</v>
      </c>
      <c r="B10" s="35">
        <v>6</v>
      </c>
      <c r="D10" s="35">
        <v>30</v>
      </c>
      <c r="E10" s="269">
        <v>349424</v>
      </c>
      <c r="F10" s="35">
        <v>37</v>
      </c>
      <c r="G10" s="35">
        <v>190</v>
      </c>
      <c r="H10" s="35" t="s">
        <v>205</v>
      </c>
      <c r="I10" s="35" t="s">
        <v>227</v>
      </c>
      <c r="J10" s="35" t="s">
        <v>228</v>
      </c>
      <c r="K10" s="35" t="s">
        <v>121</v>
      </c>
      <c r="L10" s="35" t="s">
        <v>229</v>
      </c>
      <c r="M10" s="266" t="s">
        <v>210</v>
      </c>
    </row>
    <row r="11" spans="1:13" x14ac:dyDescent="0.2">
      <c r="A11" s="35">
        <v>1064679</v>
      </c>
      <c r="B11" s="35">
        <v>6</v>
      </c>
      <c r="D11" s="35">
        <v>30</v>
      </c>
      <c r="E11" s="269">
        <v>347876.01</v>
      </c>
      <c r="F11" s="35">
        <v>40</v>
      </c>
      <c r="G11" s="35">
        <v>155</v>
      </c>
      <c r="H11" s="35" t="s">
        <v>205</v>
      </c>
      <c r="I11" s="35" t="s">
        <v>230</v>
      </c>
      <c r="J11" s="35" t="s">
        <v>231</v>
      </c>
      <c r="K11" s="35" t="s">
        <v>57</v>
      </c>
      <c r="L11" s="35" t="s">
        <v>216</v>
      </c>
      <c r="M11" s="266" t="s">
        <v>210</v>
      </c>
    </row>
    <row r="12" spans="1:13" x14ac:dyDescent="0.2">
      <c r="A12" s="35">
        <v>1078915</v>
      </c>
      <c r="B12" s="35">
        <v>5</v>
      </c>
      <c r="C12" s="35" t="s">
        <v>232</v>
      </c>
      <c r="D12" s="35">
        <v>20</v>
      </c>
      <c r="E12" s="269">
        <v>349125</v>
      </c>
      <c r="F12" s="35">
        <v>1955</v>
      </c>
      <c r="G12" s="35">
        <v>150</v>
      </c>
      <c r="H12" s="35" t="s">
        <v>205</v>
      </c>
      <c r="I12" s="35" t="s">
        <v>211</v>
      </c>
      <c r="J12" s="35" t="s">
        <v>212</v>
      </c>
      <c r="K12" s="35" t="s">
        <v>25</v>
      </c>
      <c r="L12" s="35" t="s">
        <v>209</v>
      </c>
      <c r="M12" s="266" t="s">
        <v>210</v>
      </c>
    </row>
    <row r="13" spans="1:13" x14ac:dyDescent="0.2">
      <c r="A13" s="35">
        <v>1085701</v>
      </c>
      <c r="B13" s="35">
        <v>6</v>
      </c>
      <c r="D13" s="35">
        <v>30</v>
      </c>
      <c r="E13" s="269">
        <v>349286</v>
      </c>
      <c r="F13" s="35">
        <v>150</v>
      </c>
      <c r="G13" s="35">
        <v>142.96299999999999</v>
      </c>
      <c r="H13" s="35" t="s">
        <v>205</v>
      </c>
      <c r="I13" s="35" t="s">
        <v>213</v>
      </c>
      <c r="J13" s="35" t="s">
        <v>214</v>
      </c>
      <c r="K13" s="35" t="s">
        <v>215</v>
      </c>
      <c r="L13" s="35" t="s">
        <v>216</v>
      </c>
      <c r="M13" s="266" t="s">
        <v>210</v>
      </c>
    </row>
    <row r="14" spans="1:13" x14ac:dyDescent="0.2">
      <c r="A14" s="35">
        <v>1085958</v>
      </c>
      <c r="B14" s="35">
        <v>5</v>
      </c>
      <c r="C14" s="35" t="s">
        <v>233</v>
      </c>
      <c r="D14" s="35">
        <v>20</v>
      </c>
      <c r="E14" s="269">
        <v>349389</v>
      </c>
      <c r="F14" s="35">
        <v>413</v>
      </c>
      <c r="G14" s="35">
        <v>46.8</v>
      </c>
      <c r="H14" s="35" t="s">
        <v>205</v>
      </c>
      <c r="I14" s="35" t="s">
        <v>217</v>
      </c>
      <c r="J14" s="35" t="s">
        <v>218</v>
      </c>
      <c r="K14" s="35" t="s">
        <v>234</v>
      </c>
      <c r="L14" s="35" t="s">
        <v>226</v>
      </c>
      <c r="M14" s="266" t="s">
        <v>210</v>
      </c>
    </row>
    <row r="15" spans="1:13" x14ac:dyDescent="0.2">
      <c r="A15" s="35">
        <v>1085961</v>
      </c>
      <c r="B15" s="35">
        <v>6</v>
      </c>
      <c r="D15" s="35">
        <v>30</v>
      </c>
      <c r="E15" s="269">
        <v>349389</v>
      </c>
      <c r="F15" s="35">
        <v>400</v>
      </c>
      <c r="G15" s="35">
        <v>46.8</v>
      </c>
      <c r="H15" s="35" t="s">
        <v>205</v>
      </c>
      <c r="I15" s="35" t="s">
        <v>217</v>
      </c>
      <c r="J15" s="35" t="s">
        <v>218</v>
      </c>
      <c r="K15" s="35" t="s">
        <v>234</v>
      </c>
      <c r="L15" s="35" t="s">
        <v>226</v>
      </c>
      <c r="M15" s="266" t="s">
        <v>210</v>
      </c>
    </row>
    <row r="16" spans="1:13" x14ac:dyDescent="0.2">
      <c r="A16" s="35">
        <v>1086398</v>
      </c>
      <c r="B16" s="35">
        <v>5</v>
      </c>
      <c r="C16" s="35" t="s">
        <v>235</v>
      </c>
      <c r="D16" s="35">
        <v>20</v>
      </c>
      <c r="E16" s="269">
        <v>349393.02</v>
      </c>
      <c r="F16" s="35">
        <v>779</v>
      </c>
      <c r="G16" s="35">
        <v>46.8</v>
      </c>
      <c r="H16" s="35" t="s">
        <v>205</v>
      </c>
      <c r="I16" s="35" t="s">
        <v>217</v>
      </c>
      <c r="J16" s="35" t="s">
        <v>218</v>
      </c>
      <c r="K16" s="35" t="s">
        <v>58</v>
      </c>
      <c r="L16" s="35" t="s">
        <v>216</v>
      </c>
      <c r="M16" s="266" t="s">
        <v>210</v>
      </c>
    </row>
    <row r="17" spans="1:13" x14ac:dyDescent="0.2">
      <c r="A17" s="35">
        <v>1086726</v>
      </c>
      <c r="B17" s="35">
        <v>5</v>
      </c>
      <c r="C17" s="35" t="s">
        <v>236</v>
      </c>
      <c r="D17" s="35">
        <v>20</v>
      </c>
      <c r="E17" s="269">
        <v>348974.01</v>
      </c>
      <c r="F17" s="35">
        <v>31</v>
      </c>
      <c r="G17" s="35">
        <v>181.96809999999999</v>
      </c>
      <c r="H17" s="35" t="s">
        <v>205</v>
      </c>
      <c r="I17" s="35" t="s">
        <v>237</v>
      </c>
      <c r="J17" s="35" t="s">
        <v>238</v>
      </c>
      <c r="K17" s="35" t="s">
        <v>239</v>
      </c>
      <c r="L17" s="35" t="s">
        <v>240</v>
      </c>
      <c r="M17" s="266" t="s">
        <v>210</v>
      </c>
    </row>
    <row r="18" spans="1:13" x14ac:dyDescent="0.2">
      <c r="A18" s="35">
        <v>1087054</v>
      </c>
      <c r="B18" s="35">
        <v>5</v>
      </c>
      <c r="C18" s="35" t="s">
        <v>241</v>
      </c>
      <c r="D18" s="35">
        <v>20</v>
      </c>
      <c r="E18" s="269">
        <v>349441</v>
      </c>
      <c r="F18" s="35">
        <v>9</v>
      </c>
      <c r="G18" s="35">
        <v>181.96809999999999</v>
      </c>
      <c r="H18" s="35" t="s">
        <v>205</v>
      </c>
      <c r="I18" s="35" t="s">
        <v>237</v>
      </c>
      <c r="J18" s="35" t="s">
        <v>238</v>
      </c>
      <c r="K18" s="35" t="s">
        <v>121</v>
      </c>
      <c r="L18" s="35" t="s">
        <v>223</v>
      </c>
      <c r="M18" s="266" t="s">
        <v>210</v>
      </c>
    </row>
    <row r="19" spans="1:13" x14ac:dyDescent="0.2">
      <c r="A19" s="35">
        <v>1087113</v>
      </c>
      <c r="B19" s="35">
        <v>5</v>
      </c>
      <c r="C19" s="35" t="s">
        <v>242</v>
      </c>
      <c r="D19" s="35">
        <v>20</v>
      </c>
      <c r="E19" s="269">
        <v>349401.05</v>
      </c>
      <c r="F19" s="35">
        <v>15</v>
      </c>
      <c r="G19" s="35">
        <v>61</v>
      </c>
      <c r="H19" s="35" t="s">
        <v>205</v>
      </c>
      <c r="I19" s="35" t="s">
        <v>243</v>
      </c>
      <c r="J19" s="35" t="s">
        <v>214</v>
      </c>
      <c r="K19" s="35" t="s">
        <v>123</v>
      </c>
      <c r="L19" s="35" t="s">
        <v>229</v>
      </c>
      <c r="M19" s="266" t="s">
        <v>210</v>
      </c>
    </row>
    <row r="20" spans="1:13" x14ac:dyDescent="0.2">
      <c r="A20" s="35">
        <v>1087766</v>
      </c>
      <c r="B20" s="35">
        <v>6</v>
      </c>
      <c r="D20" s="35">
        <v>30</v>
      </c>
      <c r="E20" s="269">
        <v>349401.05</v>
      </c>
      <c r="F20" s="35">
        <v>8</v>
      </c>
      <c r="G20" s="35">
        <v>61</v>
      </c>
      <c r="H20" s="35" t="s">
        <v>205</v>
      </c>
      <c r="I20" s="35" t="s">
        <v>243</v>
      </c>
      <c r="J20" s="35" t="s">
        <v>214</v>
      </c>
      <c r="K20" s="35" t="s">
        <v>123</v>
      </c>
      <c r="L20" s="35" t="s">
        <v>229</v>
      </c>
      <c r="M20" s="266" t="s">
        <v>210</v>
      </c>
    </row>
    <row r="21" spans="1:13" x14ac:dyDescent="0.2">
      <c r="A21" s="35">
        <v>1087843</v>
      </c>
      <c r="B21" s="35">
        <v>6</v>
      </c>
      <c r="D21" s="35">
        <v>30</v>
      </c>
      <c r="E21" s="269">
        <v>349431.02</v>
      </c>
      <c r="F21" s="35">
        <v>14</v>
      </c>
      <c r="G21" s="35">
        <v>82</v>
      </c>
      <c r="H21" s="35" t="s">
        <v>205</v>
      </c>
      <c r="I21" s="35" t="s">
        <v>244</v>
      </c>
      <c r="J21" s="35" t="s">
        <v>222</v>
      </c>
      <c r="K21" s="35" t="s">
        <v>57</v>
      </c>
      <c r="L21" s="35" t="s">
        <v>245</v>
      </c>
      <c r="M21" s="266" t="s">
        <v>210</v>
      </c>
    </row>
    <row r="22" spans="1:13" x14ac:dyDescent="0.2">
      <c r="A22" s="35">
        <v>1054851</v>
      </c>
      <c r="B22" s="35">
        <v>6</v>
      </c>
      <c r="D22" s="35">
        <v>30</v>
      </c>
      <c r="E22" s="269">
        <v>347876.01</v>
      </c>
      <c r="F22" s="35">
        <v>650</v>
      </c>
      <c r="G22" s="35">
        <v>155</v>
      </c>
      <c r="H22" s="35" t="s">
        <v>205</v>
      </c>
      <c r="I22" s="35" t="s">
        <v>230</v>
      </c>
      <c r="J22" s="35" t="s">
        <v>231</v>
      </c>
      <c r="K22" s="35" t="s">
        <v>57</v>
      </c>
      <c r="L22" s="35" t="s">
        <v>216</v>
      </c>
      <c r="M22" s="266" t="s">
        <v>210</v>
      </c>
    </row>
    <row r="23" spans="1:13" x14ac:dyDescent="0.2">
      <c r="A23" s="35">
        <v>1058524</v>
      </c>
      <c r="B23" s="35">
        <v>6</v>
      </c>
      <c r="D23" s="35">
        <v>30</v>
      </c>
      <c r="E23" s="269">
        <v>347876.01</v>
      </c>
      <c r="F23" s="35">
        <v>619</v>
      </c>
      <c r="G23" s="35">
        <v>160</v>
      </c>
      <c r="H23" s="35" t="s">
        <v>205</v>
      </c>
      <c r="I23" s="35" t="s">
        <v>246</v>
      </c>
      <c r="J23" s="35" t="s">
        <v>231</v>
      </c>
      <c r="K23" s="35" t="s">
        <v>57</v>
      </c>
      <c r="L23" s="35" t="s">
        <v>216</v>
      </c>
      <c r="M23" s="266" t="s">
        <v>210</v>
      </c>
    </row>
    <row r="24" spans="1:13" x14ac:dyDescent="0.2">
      <c r="A24" s="35">
        <v>1070040</v>
      </c>
      <c r="B24" s="35">
        <v>5</v>
      </c>
      <c r="C24" s="35" t="s">
        <v>247</v>
      </c>
      <c r="D24" s="35">
        <v>30</v>
      </c>
      <c r="E24" s="269">
        <v>347876</v>
      </c>
      <c r="F24" s="35">
        <v>110</v>
      </c>
      <c r="G24" s="35">
        <v>0</v>
      </c>
      <c r="H24" s="35" t="s">
        <v>205</v>
      </c>
      <c r="I24" s="35" t="s">
        <v>248</v>
      </c>
      <c r="J24" s="35" t="s">
        <v>214</v>
      </c>
      <c r="K24" s="35" t="s">
        <v>57</v>
      </c>
      <c r="L24" s="35" t="s">
        <v>216</v>
      </c>
      <c r="M24" s="266" t="s">
        <v>210</v>
      </c>
    </row>
    <row r="25" spans="1:13" x14ac:dyDescent="0.2">
      <c r="A25" s="35">
        <v>1084542</v>
      </c>
      <c r="B25" s="35">
        <v>5</v>
      </c>
      <c r="C25" s="35" t="s">
        <v>249</v>
      </c>
      <c r="D25" s="35">
        <v>20</v>
      </c>
      <c r="E25" s="269">
        <v>349312.01</v>
      </c>
      <c r="F25" s="35">
        <v>15</v>
      </c>
      <c r="G25" s="35">
        <v>37.9009</v>
      </c>
      <c r="H25" s="35" t="s">
        <v>205</v>
      </c>
      <c r="I25" s="35" t="s">
        <v>250</v>
      </c>
      <c r="J25" s="35" t="s">
        <v>251</v>
      </c>
      <c r="K25" s="35" t="s">
        <v>24</v>
      </c>
      <c r="L25" s="35" t="s">
        <v>219</v>
      </c>
      <c r="M25" s="266" t="s">
        <v>210</v>
      </c>
    </row>
    <row r="26" spans="1:13" x14ac:dyDescent="0.2">
      <c r="A26" s="35">
        <v>1085388</v>
      </c>
      <c r="B26" s="35">
        <v>6</v>
      </c>
      <c r="D26" s="35">
        <v>30</v>
      </c>
      <c r="E26" s="269">
        <v>349312.01</v>
      </c>
      <c r="F26" s="35">
        <v>15</v>
      </c>
      <c r="G26" s="35">
        <v>37.9009</v>
      </c>
      <c r="H26" s="35" t="s">
        <v>205</v>
      </c>
      <c r="I26" s="35" t="s">
        <v>250</v>
      </c>
      <c r="J26" s="35" t="s">
        <v>251</v>
      </c>
      <c r="K26" s="35" t="s">
        <v>24</v>
      </c>
      <c r="L26" s="35" t="s">
        <v>219</v>
      </c>
      <c r="M26" s="266" t="s">
        <v>210</v>
      </c>
    </row>
    <row r="27" spans="1:13" x14ac:dyDescent="0.2">
      <c r="A27" s="35">
        <v>1085390</v>
      </c>
      <c r="B27" s="35">
        <v>6</v>
      </c>
      <c r="D27" s="35">
        <v>30</v>
      </c>
      <c r="E27" s="269">
        <v>349312.03</v>
      </c>
      <c r="F27" s="35">
        <v>536</v>
      </c>
      <c r="G27" s="35">
        <v>37.9009</v>
      </c>
      <c r="H27" s="35" t="s">
        <v>205</v>
      </c>
      <c r="I27" s="35" t="s">
        <v>250</v>
      </c>
      <c r="J27" s="35" t="s">
        <v>251</v>
      </c>
      <c r="K27" s="35" t="s">
        <v>24</v>
      </c>
      <c r="L27" s="35" t="s">
        <v>219</v>
      </c>
      <c r="M27" s="266" t="s">
        <v>210</v>
      </c>
    </row>
    <row r="28" spans="1:13" x14ac:dyDescent="0.2">
      <c r="A28" s="35">
        <v>1085770</v>
      </c>
      <c r="B28" s="35">
        <v>6</v>
      </c>
      <c r="D28" s="35">
        <v>30</v>
      </c>
      <c r="E28" s="269">
        <v>349297</v>
      </c>
      <c r="F28" s="35">
        <v>529</v>
      </c>
      <c r="G28" s="35">
        <v>46.8</v>
      </c>
      <c r="H28" s="35" t="s">
        <v>205</v>
      </c>
      <c r="I28" s="35" t="s">
        <v>217</v>
      </c>
      <c r="J28" s="35" t="s">
        <v>218</v>
      </c>
      <c r="K28" s="35" t="s">
        <v>24</v>
      </c>
      <c r="L28" s="35" t="s">
        <v>219</v>
      </c>
      <c r="M28" s="266" t="s">
        <v>210</v>
      </c>
    </row>
    <row r="29" spans="1:13" x14ac:dyDescent="0.2">
      <c r="A29" s="35">
        <v>1086670</v>
      </c>
      <c r="B29" s="35">
        <v>5</v>
      </c>
      <c r="C29" s="35" t="s">
        <v>252</v>
      </c>
      <c r="D29" s="35">
        <v>20</v>
      </c>
      <c r="E29" s="269">
        <v>349410.03</v>
      </c>
      <c r="F29" s="35">
        <v>9</v>
      </c>
      <c r="G29" s="35">
        <v>215</v>
      </c>
      <c r="H29" s="35" t="s">
        <v>205</v>
      </c>
      <c r="I29" s="35" t="s">
        <v>221</v>
      </c>
      <c r="J29" s="35" t="s">
        <v>222</v>
      </c>
      <c r="K29" s="35" t="s">
        <v>208</v>
      </c>
      <c r="L29" s="35" t="s">
        <v>223</v>
      </c>
      <c r="M29" s="266" t="s">
        <v>210</v>
      </c>
    </row>
    <row r="30" spans="1:13" x14ac:dyDescent="0.2">
      <c r="A30" s="35">
        <v>1086704</v>
      </c>
      <c r="B30" s="35">
        <v>5</v>
      </c>
      <c r="C30" s="35" t="s">
        <v>253</v>
      </c>
      <c r="D30" s="35">
        <v>20</v>
      </c>
      <c r="E30" s="269">
        <v>349424</v>
      </c>
      <c r="F30" s="35">
        <v>37</v>
      </c>
      <c r="G30" s="35">
        <v>190</v>
      </c>
      <c r="H30" s="35" t="s">
        <v>205</v>
      </c>
      <c r="I30" s="35" t="s">
        <v>227</v>
      </c>
      <c r="J30" s="35" t="s">
        <v>228</v>
      </c>
      <c r="K30" s="35" t="s">
        <v>121</v>
      </c>
      <c r="L30" s="35" t="s">
        <v>229</v>
      </c>
      <c r="M30" s="266" t="s">
        <v>210</v>
      </c>
    </row>
    <row r="31" spans="1:13" x14ac:dyDescent="0.2">
      <c r="A31" s="35">
        <v>1086714</v>
      </c>
      <c r="B31" s="35">
        <v>5</v>
      </c>
      <c r="C31" s="35" t="s">
        <v>254</v>
      </c>
      <c r="D31" s="35">
        <v>20</v>
      </c>
      <c r="E31" s="269">
        <v>349423.01</v>
      </c>
      <c r="F31" s="35">
        <v>112</v>
      </c>
      <c r="G31" s="35">
        <v>73</v>
      </c>
      <c r="H31" s="35" t="s">
        <v>205</v>
      </c>
      <c r="I31" s="35" t="s">
        <v>255</v>
      </c>
      <c r="J31" s="35" t="s">
        <v>214</v>
      </c>
      <c r="K31" s="35" t="s">
        <v>59</v>
      </c>
      <c r="L31" s="35" t="s">
        <v>226</v>
      </c>
      <c r="M31" s="266" t="s">
        <v>210</v>
      </c>
    </row>
    <row r="32" spans="1:13" x14ac:dyDescent="0.2">
      <c r="A32" s="35">
        <v>1086803</v>
      </c>
      <c r="B32" s="35">
        <v>6</v>
      </c>
      <c r="D32" s="35">
        <v>30</v>
      </c>
      <c r="E32" s="269">
        <v>348974.01</v>
      </c>
      <c r="F32" s="35">
        <v>7</v>
      </c>
      <c r="G32" s="35">
        <v>182.1388</v>
      </c>
      <c r="H32" s="35" t="s">
        <v>205</v>
      </c>
      <c r="I32" s="35" t="s">
        <v>237</v>
      </c>
      <c r="J32" s="35" t="s">
        <v>238</v>
      </c>
      <c r="K32" s="35" t="s">
        <v>239</v>
      </c>
      <c r="L32" s="35" t="s">
        <v>240</v>
      </c>
      <c r="M32" s="266" t="s">
        <v>210</v>
      </c>
    </row>
    <row r="33" spans="1:13" x14ac:dyDescent="0.2">
      <c r="A33" s="35">
        <v>1051209</v>
      </c>
      <c r="B33" s="35">
        <v>5</v>
      </c>
      <c r="C33" s="35" t="s">
        <v>256</v>
      </c>
      <c r="D33" s="35">
        <v>20</v>
      </c>
      <c r="E33" s="269">
        <v>347876</v>
      </c>
      <c r="F33" s="35">
        <v>1235</v>
      </c>
      <c r="G33" s="35">
        <v>120</v>
      </c>
      <c r="H33" s="35" t="s">
        <v>205</v>
      </c>
      <c r="I33" s="35" t="s">
        <v>248</v>
      </c>
      <c r="J33" s="35" t="s">
        <v>214</v>
      </c>
      <c r="K33" s="35" t="s">
        <v>57</v>
      </c>
      <c r="L33" s="35" t="s">
        <v>216</v>
      </c>
      <c r="M33" s="266" t="s">
        <v>210</v>
      </c>
    </row>
    <row r="34" spans="1:13" x14ac:dyDescent="0.2">
      <c r="A34" s="35">
        <v>1083693</v>
      </c>
      <c r="B34" s="35">
        <v>5</v>
      </c>
      <c r="C34" s="35" t="s">
        <v>257</v>
      </c>
      <c r="D34" s="35">
        <v>20</v>
      </c>
      <c r="E34" s="269">
        <v>349286</v>
      </c>
      <c r="F34" s="35">
        <v>150</v>
      </c>
      <c r="G34" s="35">
        <v>157.77780000000001</v>
      </c>
      <c r="H34" s="35" t="s">
        <v>205</v>
      </c>
      <c r="I34" s="35" t="s">
        <v>213</v>
      </c>
      <c r="J34" s="35" t="s">
        <v>214</v>
      </c>
      <c r="K34" s="35" t="s">
        <v>215</v>
      </c>
      <c r="L34" s="35" t="s">
        <v>216</v>
      </c>
      <c r="M34" s="266" t="s">
        <v>210</v>
      </c>
    </row>
    <row r="35" spans="1:13" x14ac:dyDescent="0.2">
      <c r="A35" s="35">
        <v>1084481</v>
      </c>
      <c r="B35" s="35">
        <v>5</v>
      </c>
      <c r="C35" s="35" t="s">
        <v>258</v>
      </c>
      <c r="D35" s="35">
        <v>20</v>
      </c>
      <c r="E35" s="269">
        <v>349337</v>
      </c>
      <c r="F35" s="35">
        <v>150</v>
      </c>
      <c r="G35" s="35">
        <v>73</v>
      </c>
      <c r="H35" s="35" t="s">
        <v>205</v>
      </c>
      <c r="I35" s="35" t="s">
        <v>255</v>
      </c>
      <c r="J35" s="35" t="s">
        <v>214</v>
      </c>
      <c r="K35" s="35" t="s">
        <v>24</v>
      </c>
      <c r="L35" s="35" t="s">
        <v>259</v>
      </c>
      <c r="M35" s="266" t="s">
        <v>210</v>
      </c>
    </row>
    <row r="36" spans="1:13" x14ac:dyDescent="0.2">
      <c r="A36" s="35">
        <v>1085389</v>
      </c>
      <c r="B36" s="35">
        <v>6</v>
      </c>
      <c r="D36" s="35">
        <v>30</v>
      </c>
      <c r="E36" s="269">
        <v>349312.02</v>
      </c>
      <c r="F36" s="35">
        <v>21</v>
      </c>
      <c r="G36" s="35">
        <v>37.9009</v>
      </c>
      <c r="H36" s="35" t="s">
        <v>205</v>
      </c>
      <c r="I36" s="35" t="s">
        <v>250</v>
      </c>
      <c r="J36" s="35" t="s">
        <v>251</v>
      </c>
      <c r="K36" s="35" t="s">
        <v>24</v>
      </c>
      <c r="L36" s="35" t="s">
        <v>219</v>
      </c>
      <c r="M36" s="266" t="s">
        <v>210</v>
      </c>
    </row>
    <row r="37" spans="1:13" x14ac:dyDescent="0.2">
      <c r="A37" s="35">
        <v>1085768</v>
      </c>
      <c r="B37" s="35">
        <v>6</v>
      </c>
      <c r="D37" s="35">
        <v>30</v>
      </c>
      <c r="E37" s="269">
        <v>349350.01</v>
      </c>
      <c r="F37" s="35">
        <v>765</v>
      </c>
      <c r="G37" s="35">
        <v>46.8</v>
      </c>
      <c r="H37" s="35" t="s">
        <v>205</v>
      </c>
      <c r="I37" s="35" t="s">
        <v>217</v>
      </c>
      <c r="J37" s="35" t="s">
        <v>218</v>
      </c>
      <c r="K37" s="35" t="s">
        <v>260</v>
      </c>
      <c r="L37" s="35" t="s">
        <v>226</v>
      </c>
      <c r="M37" s="266" t="s">
        <v>210</v>
      </c>
    </row>
    <row r="38" spans="1:13" x14ac:dyDescent="0.2">
      <c r="A38" s="35">
        <v>1086517</v>
      </c>
      <c r="B38" s="35">
        <v>6</v>
      </c>
      <c r="D38" s="35">
        <v>30</v>
      </c>
      <c r="E38" s="269">
        <v>349393.01</v>
      </c>
      <c r="F38" s="35">
        <v>170</v>
      </c>
      <c r="G38" s="35">
        <v>46.8</v>
      </c>
      <c r="H38" s="35" t="s">
        <v>205</v>
      </c>
      <c r="I38" s="35" t="s">
        <v>261</v>
      </c>
      <c r="J38" s="35" t="s">
        <v>218</v>
      </c>
      <c r="K38" s="35" t="s">
        <v>58</v>
      </c>
      <c r="L38" s="35" t="s">
        <v>216</v>
      </c>
      <c r="M38" s="266" t="s">
        <v>210</v>
      </c>
    </row>
    <row r="39" spans="1:13" x14ac:dyDescent="0.2">
      <c r="A39" s="35">
        <v>1086891</v>
      </c>
      <c r="B39" s="35">
        <v>5</v>
      </c>
      <c r="C39" s="35" t="s">
        <v>262</v>
      </c>
      <c r="D39" s="35">
        <v>20</v>
      </c>
      <c r="E39" s="269">
        <v>347876.01</v>
      </c>
      <c r="F39" s="35">
        <v>82</v>
      </c>
      <c r="G39" s="35">
        <v>0</v>
      </c>
      <c r="H39" s="35" t="s">
        <v>205</v>
      </c>
      <c r="I39" s="35" t="s">
        <v>230</v>
      </c>
      <c r="J39" s="35" t="s">
        <v>231</v>
      </c>
      <c r="K39" s="35" t="s">
        <v>57</v>
      </c>
      <c r="L39" s="35" t="s">
        <v>216</v>
      </c>
      <c r="M39" s="266" t="s">
        <v>210</v>
      </c>
    </row>
    <row r="40" spans="1:13" x14ac:dyDescent="0.2">
      <c r="A40" s="35">
        <v>1087068</v>
      </c>
      <c r="B40" s="35">
        <v>6</v>
      </c>
      <c r="D40" s="35">
        <v>30</v>
      </c>
      <c r="E40" s="269">
        <v>349423.04</v>
      </c>
      <c r="F40" s="35">
        <v>15</v>
      </c>
      <c r="G40" s="35">
        <v>275</v>
      </c>
      <c r="H40" s="35" t="s">
        <v>205</v>
      </c>
      <c r="I40" s="35" t="s">
        <v>225</v>
      </c>
      <c r="J40" s="35" t="s">
        <v>214</v>
      </c>
      <c r="K40" s="35" t="s">
        <v>59</v>
      </c>
      <c r="L40" s="35" t="s">
        <v>226</v>
      </c>
      <c r="M40" s="266" t="s">
        <v>210</v>
      </c>
    </row>
    <row r="41" spans="1:13" x14ac:dyDescent="0.2">
      <c r="A41" s="35">
        <v>1087074</v>
      </c>
      <c r="B41" s="35">
        <v>6</v>
      </c>
      <c r="D41" s="35">
        <v>30</v>
      </c>
      <c r="E41" s="269">
        <v>347876</v>
      </c>
      <c r="F41" s="35">
        <v>65</v>
      </c>
      <c r="G41" s="35">
        <v>120</v>
      </c>
      <c r="H41" s="35" t="s">
        <v>205</v>
      </c>
      <c r="I41" s="35" t="s">
        <v>248</v>
      </c>
      <c r="J41" s="35" t="s">
        <v>214</v>
      </c>
      <c r="K41" s="35" t="s">
        <v>57</v>
      </c>
      <c r="L41" s="35" t="s">
        <v>216</v>
      </c>
      <c r="M41" s="266" t="s">
        <v>210</v>
      </c>
    </row>
    <row r="42" spans="1:13" x14ac:dyDescent="0.2">
      <c r="A42" s="35">
        <v>1087469</v>
      </c>
      <c r="B42" s="35">
        <v>5</v>
      </c>
      <c r="C42" s="35" t="s">
        <v>263</v>
      </c>
      <c r="D42" s="35">
        <v>20</v>
      </c>
      <c r="E42" s="269">
        <v>349445.02</v>
      </c>
      <c r="F42" s="35">
        <v>11</v>
      </c>
      <c r="G42" s="35">
        <v>68</v>
      </c>
      <c r="H42" s="35" t="s">
        <v>205</v>
      </c>
      <c r="I42" s="35" t="s">
        <v>264</v>
      </c>
      <c r="J42" s="35" t="s">
        <v>214</v>
      </c>
      <c r="K42" s="35" t="s">
        <v>123</v>
      </c>
      <c r="L42" s="35" t="s">
        <v>229</v>
      </c>
      <c r="M42" s="266" t="s">
        <v>210</v>
      </c>
    </row>
    <row r="43" spans="1:13" x14ac:dyDescent="0.2">
      <c r="A43" s="35">
        <v>1087765</v>
      </c>
      <c r="B43" s="35">
        <v>6</v>
      </c>
      <c r="D43" s="35">
        <v>30</v>
      </c>
      <c r="E43" s="269">
        <v>349401.05</v>
      </c>
      <c r="F43" s="35">
        <v>7</v>
      </c>
      <c r="G43" s="35">
        <v>61</v>
      </c>
      <c r="H43" s="35" t="s">
        <v>205</v>
      </c>
      <c r="I43" s="35" t="s">
        <v>243</v>
      </c>
      <c r="J43" s="35" t="s">
        <v>214</v>
      </c>
      <c r="K43" s="35" t="s">
        <v>123</v>
      </c>
      <c r="L43" s="35" t="s">
        <v>229</v>
      </c>
      <c r="M43" s="266" t="s">
        <v>210</v>
      </c>
    </row>
    <row r="44" spans="1:13" x14ac:dyDescent="0.2">
      <c r="A44" s="35">
        <v>1051360</v>
      </c>
      <c r="B44" s="35">
        <v>5</v>
      </c>
      <c r="C44" s="35" t="s">
        <v>232</v>
      </c>
      <c r="D44" s="35">
        <v>20</v>
      </c>
      <c r="E44" s="269">
        <v>347876.01</v>
      </c>
      <c r="F44" s="35">
        <v>619</v>
      </c>
      <c r="G44" s="35">
        <v>160</v>
      </c>
      <c r="H44" s="35" t="s">
        <v>205</v>
      </c>
      <c r="I44" s="35" t="s">
        <v>246</v>
      </c>
      <c r="J44" s="35" t="s">
        <v>231</v>
      </c>
      <c r="K44" s="35" t="s">
        <v>57</v>
      </c>
      <c r="L44" s="35" t="s">
        <v>216</v>
      </c>
      <c r="M44" s="266" t="s">
        <v>210</v>
      </c>
    </row>
    <row r="45" spans="1:13" x14ac:dyDescent="0.2">
      <c r="A45" s="35">
        <v>1070042</v>
      </c>
      <c r="B45" s="35">
        <v>6</v>
      </c>
      <c r="D45" s="35">
        <v>30</v>
      </c>
      <c r="E45" s="269">
        <v>347876</v>
      </c>
      <c r="F45" s="35">
        <v>110</v>
      </c>
      <c r="G45" s="35">
        <v>120</v>
      </c>
      <c r="H45" s="35" t="s">
        <v>205</v>
      </c>
      <c r="I45" s="35" t="s">
        <v>248</v>
      </c>
      <c r="J45" s="35" t="s">
        <v>214</v>
      </c>
      <c r="K45" s="35" t="s">
        <v>57</v>
      </c>
      <c r="L45" s="35" t="s">
        <v>216</v>
      </c>
      <c r="M45" s="266" t="s">
        <v>210</v>
      </c>
    </row>
    <row r="46" spans="1:13" x14ac:dyDescent="0.2">
      <c r="A46" s="35">
        <v>1078914</v>
      </c>
      <c r="B46" s="35">
        <v>5</v>
      </c>
      <c r="C46" s="35" t="s">
        <v>265</v>
      </c>
      <c r="D46" s="35">
        <v>20</v>
      </c>
      <c r="E46" s="269">
        <v>349125</v>
      </c>
      <c r="F46" s="35">
        <v>2067</v>
      </c>
      <c r="G46" s="35">
        <v>107</v>
      </c>
      <c r="H46" s="35" t="s">
        <v>205</v>
      </c>
      <c r="I46" s="35" t="s">
        <v>206</v>
      </c>
      <c r="J46" s="35" t="s">
        <v>207</v>
      </c>
      <c r="K46" s="35" t="s">
        <v>25</v>
      </c>
      <c r="L46" s="35" t="s">
        <v>209</v>
      </c>
      <c r="M46" s="266" t="s">
        <v>210</v>
      </c>
    </row>
    <row r="47" spans="1:13" x14ac:dyDescent="0.2">
      <c r="A47" s="35">
        <v>1085767</v>
      </c>
      <c r="B47" s="35">
        <v>6</v>
      </c>
      <c r="D47" s="35">
        <v>30</v>
      </c>
      <c r="E47" s="269">
        <v>349350.01</v>
      </c>
      <c r="F47" s="35">
        <v>64</v>
      </c>
      <c r="G47" s="35">
        <v>46.8</v>
      </c>
      <c r="H47" s="35" t="s">
        <v>205</v>
      </c>
      <c r="I47" s="35" t="s">
        <v>217</v>
      </c>
      <c r="J47" s="35" t="s">
        <v>218</v>
      </c>
      <c r="K47" s="35" t="s">
        <v>260</v>
      </c>
      <c r="L47" s="35" t="s">
        <v>226</v>
      </c>
      <c r="M47" s="266" t="s">
        <v>210</v>
      </c>
    </row>
    <row r="48" spans="1:13" x14ac:dyDescent="0.2">
      <c r="A48" s="35">
        <v>1086434</v>
      </c>
      <c r="B48" s="35">
        <v>5</v>
      </c>
      <c r="C48" s="35" t="s">
        <v>266</v>
      </c>
      <c r="D48" s="35">
        <v>20</v>
      </c>
      <c r="E48" s="269">
        <v>349401.03</v>
      </c>
      <c r="F48" s="35">
        <v>20</v>
      </c>
      <c r="G48" s="35">
        <v>145.95189999999999</v>
      </c>
      <c r="H48" s="35" t="s">
        <v>205</v>
      </c>
      <c r="I48" s="35" t="s">
        <v>267</v>
      </c>
      <c r="J48" s="35" t="s">
        <v>238</v>
      </c>
      <c r="K48" s="35" t="s">
        <v>121</v>
      </c>
      <c r="L48" s="35" t="s">
        <v>229</v>
      </c>
      <c r="M48" s="266" t="s">
        <v>210</v>
      </c>
    </row>
    <row r="49" spans="1:13" x14ac:dyDescent="0.2">
      <c r="A49" s="35">
        <v>1086727</v>
      </c>
      <c r="B49" s="35">
        <v>5</v>
      </c>
      <c r="C49" s="35" t="s">
        <v>268</v>
      </c>
      <c r="D49" s="35">
        <v>20</v>
      </c>
      <c r="E49" s="269">
        <v>348974.03</v>
      </c>
      <c r="F49" s="35">
        <v>68</v>
      </c>
      <c r="G49" s="35">
        <v>145.95189999999999</v>
      </c>
      <c r="H49" s="35" t="s">
        <v>205</v>
      </c>
      <c r="I49" s="35" t="s">
        <v>267</v>
      </c>
      <c r="J49" s="35" t="s">
        <v>238</v>
      </c>
      <c r="K49" s="35" t="s">
        <v>122</v>
      </c>
      <c r="L49" s="35" t="s">
        <v>240</v>
      </c>
      <c r="M49" s="266" t="s">
        <v>210</v>
      </c>
    </row>
    <row r="50" spans="1:13" x14ac:dyDescent="0.2">
      <c r="A50" s="35">
        <v>1086802</v>
      </c>
      <c r="B50" s="35">
        <v>6</v>
      </c>
      <c r="D50" s="35">
        <v>30</v>
      </c>
      <c r="E50" s="269">
        <v>348974.01</v>
      </c>
      <c r="F50" s="35">
        <v>24</v>
      </c>
      <c r="G50" s="35">
        <v>182.1388</v>
      </c>
      <c r="H50" s="35" t="s">
        <v>205</v>
      </c>
      <c r="I50" s="35" t="s">
        <v>237</v>
      </c>
      <c r="J50" s="35" t="s">
        <v>238</v>
      </c>
      <c r="K50" s="35" t="s">
        <v>239</v>
      </c>
      <c r="L50" s="35" t="s">
        <v>240</v>
      </c>
      <c r="M50" s="266" t="s">
        <v>210</v>
      </c>
    </row>
    <row r="51" spans="1:13" x14ac:dyDescent="0.2">
      <c r="A51" s="35">
        <v>1086869</v>
      </c>
      <c r="B51" s="35">
        <v>6</v>
      </c>
      <c r="D51" s="35">
        <v>30</v>
      </c>
      <c r="E51" s="269">
        <v>349423.01</v>
      </c>
      <c r="F51" s="35">
        <v>112</v>
      </c>
      <c r="G51" s="35">
        <v>73</v>
      </c>
      <c r="H51" s="35" t="s">
        <v>205</v>
      </c>
      <c r="I51" s="35" t="s">
        <v>255</v>
      </c>
      <c r="J51" s="35" t="s">
        <v>214</v>
      </c>
      <c r="K51" s="35" t="s">
        <v>59</v>
      </c>
      <c r="L51" s="35" t="s">
        <v>226</v>
      </c>
      <c r="M51" s="266" t="s">
        <v>210</v>
      </c>
    </row>
    <row r="52" spans="1:13" x14ac:dyDescent="0.2">
      <c r="A52" s="35">
        <v>1086980</v>
      </c>
      <c r="B52" s="35">
        <v>5</v>
      </c>
      <c r="C52" s="35" t="s">
        <v>269</v>
      </c>
      <c r="D52" s="35">
        <v>20</v>
      </c>
      <c r="E52" s="269">
        <v>349435</v>
      </c>
      <c r="F52" s="35">
        <v>18</v>
      </c>
      <c r="G52" s="35">
        <v>46.8</v>
      </c>
      <c r="H52" s="35" t="s">
        <v>205</v>
      </c>
      <c r="I52" s="35" t="s">
        <v>261</v>
      </c>
      <c r="J52" s="35" t="s">
        <v>218</v>
      </c>
      <c r="K52" s="35" t="s">
        <v>123</v>
      </c>
      <c r="L52" s="35" t="s">
        <v>226</v>
      </c>
      <c r="M52" s="266" t="s">
        <v>210</v>
      </c>
    </row>
    <row r="53" spans="1:13" x14ac:dyDescent="0.2">
      <c r="A53" s="35">
        <v>1086994</v>
      </c>
      <c r="B53" s="35">
        <v>5</v>
      </c>
      <c r="C53" s="35" t="s">
        <v>232</v>
      </c>
      <c r="D53" s="35">
        <v>20</v>
      </c>
      <c r="E53" s="269">
        <v>349431.02</v>
      </c>
      <c r="F53" s="35">
        <v>14</v>
      </c>
      <c r="G53" s="35">
        <v>82</v>
      </c>
      <c r="H53" s="35" t="s">
        <v>205</v>
      </c>
      <c r="I53" s="35" t="s">
        <v>244</v>
      </c>
      <c r="J53" s="35" t="s">
        <v>222</v>
      </c>
      <c r="K53" s="35" t="s">
        <v>57</v>
      </c>
      <c r="L53" s="35" t="s">
        <v>245</v>
      </c>
      <c r="M53" s="266" t="s">
        <v>210</v>
      </c>
    </row>
    <row r="54" spans="1:13" x14ac:dyDescent="0.2">
      <c r="A54" s="35">
        <v>1087066</v>
      </c>
      <c r="B54" s="35">
        <v>6</v>
      </c>
      <c r="D54" s="35">
        <v>30</v>
      </c>
      <c r="E54" s="269">
        <v>349423.03</v>
      </c>
      <c r="F54" s="35">
        <v>30</v>
      </c>
      <c r="G54" s="35">
        <v>259.60000000000002</v>
      </c>
      <c r="H54" s="35" t="s">
        <v>205</v>
      </c>
      <c r="I54" s="35" t="s">
        <v>225</v>
      </c>
      <c r="J54" s="35" t="s">
        <v>214</v>
      </c>
      <c r="K54" s="35" t="s">
        <v>59</v>
      </c>
      <c r="L54" s="35" t="s">
        <v>226</v>
      </c>
      <c r="M54" s="266" t="s">
        <v>210</v>
      </c>
    </row>
    <row r="55" spans="1:13" x14ac:dyDescent="0.2">
      <c r="A55" s="35">
        <v>1087067</v>
      </c>
      <c r="B55" s="35">
        <v>6</v>
      </c>
      <c r="D55" s="35">
        <v>30</v>
      </c>
      <c r="E55" s="269">
        <v>349423.04</v>
      </c>
      <c r="F55" s="35">
        <v>20</v>
      </c>
      <c r="G55" s="35">
        <v>259.60000000000002</v>
      </c>
      <c r="H55" s="35" t="s">
        <v>205</v>
      </c>
      <c r="I55" s="35" t="s">
        <v>225</v>
      </c>
      <c r="J55" s="35" t="s">
        <v>214</v>
      </c>
      <c r="K55" s="35" t="s">
        <v>59</v>
      </c>
      <c r="L55" s="35" t="s">
        <v>226</v>
      </c>
      <c r="M55" s="266" t="s">
        <v>210</v>
      </c>
    </row>
    <row r="56" spans="1:13" x14ac:dyDescent="0.2">
      <c r="A56" s="35">
        <v>1087080</v>
      </c>
      <c r="B56" s="35">
        <v>6</v>
      </c>
      <c r="D56" s="35">
        <v>30</v>
      </c>
      <c r="E56" s="269">
        <v>347876.01</v>
      </c>
      <c r="F56" s="35">
        <v>130</v>
      </c>
      <c r="G56" s="35">
        <v>155</v>
      </c>
      <c r="H56" s="35" t="s">
        <v>205</v>
      </c>
      <c r="I56" s="35" t="s">
        <v>230</v>
      </c>
      <c r="J56" s="35" t="s">
        <v>231</v>
      </c>
      <c r="K56" s="35" t="s">
        <v>57</v>
      </c>
      <c r="L56" s="35" t="s">
        <v>216</v>
      </c>
      <c r="M56" s="266" t="s">
        <v>210</v>
      </c>
    </row>
    <row r="57" spans="1:13" x14ac:dyDescent="0.2">
      <c r="A57" s="35">
        <v>1087470</v>
      </c>
      <c r="B57" s="35">
        <v>5</v>
      </c>
      <c r="C57" s="35" t="s">
        <v>270</v>
      </c>
      <c r="D57" s="35">
        <v>20</v>
      </c>
      <c r="E57" s="269">
        <v>349445.01</v>
      </c>
      <c r="F57" s="35">
        <v>8</v>
      </c>
      <c r="G57" s="35">
        <v>68</v>
      </c>
      <c r="H57" s="35" t="s">
        <v>205</v>
      </c>
      <c r="I57" s="35" t="s">
        <v>264</v>
      </c>
      <c r="J57" s="35" t="s">
        <v>214</v>
      </c>
      <c r="K57" s="35" t="s">
        <v>123</v>
      </c>
      <c r="L57" s="35" t="s">
        <v>229</v>
      </c>
      <c r="M57" s="266" t="s">
        <v>210</v>
      </c>
    </row>
    <row r="58" spans="1:13" x14ac:dyDescent="0.2">
      <c r="A58" s="35">
        <v>1087851</v>
      </c>
      <c r="B58" s="35">
        <v>5</v>
      </c>
      <c r="C58" s="35" t="s">
        <v>271</v>
      </c>
      <c r="D58" s="35">
        <v>20</v>
      </c>
      <c r="E58" s="269">
        <v>349431.02</v>
      </c>
      <c r="F58" s="35">
        <v>10</v>
      </c>
      <c r="G58" s="35">
        <v>0</v>
      </c>
      <c r="H58" s="35" t="s">
        <v>205</v>
      </c>
      <c r="I58" s="35" t="s">
        <v>244</v>
      </c>
      <c r="J58" s="35" t="s">
        <v>222</v>
      </c>
      <c r="K58" s="35" t="s">
        <v>57</v>
      </c>
      <c r="L58" s="35" t="s">
        <v>245</v>
      </c>
      <c r="M58" s="266" t="s">
        <v>210</v>
      </c>
    </row>
    <row r="59" spans="1:13" x14ac:dyDescent="0.2">
      <c r="A59" s="35">
        <v>1051334</v>
      </c>
      <c r="B59" s="35">
        <v>6</v>
      </c>
      <c r="D59" s="35">
        <v>31</v>
      </c>
      <c r="E59" s="269">
        <v>347876</v>
      </c>
      <c r="F59" s="35">
        <v>195</v>
      </c>
      <c r="G59" s="35">
        <v>134</v>
      </c>
      <c r="H59" s="35" t="s">
        <v>205</v>
      </c>
      <c r="I59" s="35" t="s">
        <v>248</v>
      </c>
      <c r="J59" s="35" t="s">
        <v>214</v>
      </c>
      <c r="K59" s="35" t="s">
        <v>57</v>
      </c>
      <c r="L59" s="35" t="s">
        <v>216</v>
      </c>
      <c r="M59" s="266" t="s">
        <v>210</v>
      </c>
    </row>
    <row r="60" spans="1:13" x14ac:dyDescent="0.2">
      <c r="A60" s="35">
        <v>1051335</v>
      </c>
      <c r="B60" s="35">
        <v>6</v>
      </c>
      <c r="D60" s="35">
        <v>31</v>
      </c>
      <c r="E60" s="269">
        <v>347876</v>
      </c>
      <c r="F60" s="35">
        <v>1040</v>
      </c>
      <c r="G60" s="35">
        <v>120</v>
      </c>
      <c r="H60" s="35" t="s">
        <v>205</v>
      </c>
      <c r="I60" s="35" t="s">
        <v>248</v>
      </c>
      <c r="J60" s="35" t="s">
        <v>214</v>
      </c>
      <c r="K60" s="35" t="s">
        <v>57</v>
      </c>
      <c r="L60" s="35" t="s">
        <v>216</v>
      </c>
      <c r="M60" s="266" t="s">
        <v>210</v>
      </c>
    </row>
    <row r="61" spans="1:13" x14ac:dyDescent="0.2">
      <c r="A61" s="35">
        <v>1051361</v>
      </c>
      <c r="B61" s="35">
        <v>5</v>
      </c>
      <c r="C61" s="35" t="s">
        <v>272</v>
      </c>
      <c r="D61" s="35">
        <v>20</v>
      </c>
      <c r="E61" s="269">
        <v>347876.01</v>
      </c>
      <c r="F61" s="35">
        <v>481</v>
      </c>
      <c r="G61" s="35">
        <v>160</v>
      </c>
      <c r="H61" s="35" t="s">
        <v>205</v>
      </c>
      <c r="I61" s="35" t="s">
        <v>246</v>
      </c>
      <c r="J61" s="35" t="s">
        <v>231</v>
      </c>
      <c r="K61" s="35" t="s">
        <v>57</v>
      </c>
      <c r="L61" s="35" t="s">
        <v>216</v>
      </c>
      <c r="M61" s="266" t="s">
        <v>210</v>
      </c>
    </row>
    <row r="62" spans="1:13" x14ac:dyDescent="0.2">
      <c r="A62" s="35">
        <v>1052789</v>
      </c>
      <c r="B62" s="35">
        <v>6</v>
      </c>
      <c r="D62" s="35">
        <v>31</v>
      </c>
      <c r="E62" s="269">
        <v>347876.01</v>
      </c>
      <c r="F62" s="35">
        <v>455</v>
      </c>
      <c r="G62" s="35">
        <v>160</v>
      </c>
      <c r="H62" s="35" t="s">
        <v>205</v>
      </c>
      <c r="I62" s="35" t="s">
        <v>246</v>
      </c>
      <c r="J62" s="35" t="s">
        <v>231</v>
      </c>
      <c r="K62" s="35" t="s">
        <v>57</v>
      </c>
      <c r="L62" s="35" t="s">
        <v>216</v>
      </c>
      <c r="M62" s="266" t="s">
        <v>210</v>
      </c>
    </row>
    <row r="63" spans="1:13" x14ac:dyDescent="0.2">
      <c r="A63" s="35">
        <v>1084046</v>
      </c>
      <c r="B63" s="35">
        <v>5</v>
      </c>
      <c r="C63" s="35" t="s">
        <v>273</v>
      </c>
      <c r="D63" s="35">
        <v>20</v>
      </c>
      <c r="E63" s="269">
        <v>349199.06</v>
      </c>
      <c r="F63" s="35">
        <v>18</v>
      </c>
      <c r="G63" s="35">
        <v>195</v>
      </c>
      <c r="H63" s="35" t="s">
        <v>205</v>
      </c>
      <c r="I63" s="35" t="s">
        <v>274</v>
      </c>
      <c r="J63" s="35" t="s">
        <v>222</v>
      </c>
      <c r="K63" s="35" t="s">
        <v>208</v>
      </c>
      <c r="L63" s="35" t="s">
        <v>223</v>
      </c>
      <c r="M63" s="266" t="s">
        <v>210</v>
      </c>
    </row>
    <row r="64" spans="1:13" x14ac:dyDescent="0.2">
      <c r="A64" s="35">
        <v>1084540</v>
      </c>
      <c r="B64" s="35">
        <v>5</v>
      </c>
      <c r="C64" s="35" t="s">
        <v>275</v>
      </c>
      <c r="D64" s="35">
        <v>20</v>
      </c>
      <c r="E64" s="269">
        <v>349312.03</v>
      </c>
      <c r="F64" s="35">
        <v>536</v>
      </c>
      <c r="G64" s="35">
        <v>37.9009</v>
      </c>
      <c r="H64" s="35" t="s">
        <v>205</v>
      </c>
      <c r="I64" s="35" t="s">
        <v>250</v>
      </c>
      <c r="J64" s="35" t="s">
        <v>251</v>
      </c>
      <c r="K64" s="35" t="s">
        <v>24</v>
      </c>
      <c r="L64" s="35" t="s">
        <v>219</v>
      </c>
      <c r="M64" s="266" t="s">
        <v>210</v>
      </c>
    </row>
    <row r="65" spans="1:13" x14ac:dyDescent="0.2">
      <c r="A65" s="35">
        <v>1085348</v>
      </c>
      <c r="B65" s="35">
        <v>5</v>
      </c>
      <c r="C65" s="35" t="s">
        <v>276</v>
      </c>
      <c r="D65" s="35">
        <v>20</v>
      </c>
      <c r="E65" s="269">
        <v>349297</v>
      </c>
      <c r="F65" s="35">
        <v>1484</v>
      </c>
      <c r="G65" s="35">
        <v>46.8</v>
      </c>
      <c r="H65" s="35" t="s">
        <v>205</v>
      </c>
      <c r="I65" s="35" t="s">
        <v>217</v>
      </c>
      <c r="J65" s="35" t="s">
        <v>218</v>
      </c>
      <c r="K65" s="35" t="s">
        <v>24</v>
      </c>
      <c r="L65" s="35" t="s">
        <v>219</v>
      </c>
      <c r="M65" s="266" t="s">
        <v>210</v>
      </c>
    </row>
    <row r="66" spans="1:13" x14ac:dyDescent="0.2">
      <c r="A66" s="35">
        <v>1085427</v>
      </c>
      <c r="B66" s="35">
        <v>5</v>
      </c>
      <c r="C66" s="35" t="s">
        <v>277</v>
      </c>
      <c r="D66" s="35">
        <v>20</v>
      </c>
      <c r="E66" s="269">
        <v>349358.01</v>
      </c>
      <c r="F66" s="35">
        <v>10</v>
      </c>
      <c r="G66" s="35">
        <v>215</v>
      </c>
      <c r="H66" s="35" t="s">
        <v>205</v>
      </c>
      <c r="I66" s="35" t="s">
        <v>278</v>
      </c>
      <c r="J66" s="35" t="s">
        <v>222</v>
      </c>
      <c r="K66" s="35" t="s">
        <v>208</v>
      </c>
      <c r="L66" s="35" t="s">
        <v>223</v>
      </c>
      <c r="M66" s="266" t="s">
        <v>210</v>
      </c>
    </row>
    <row r="67" spans="1:13" x14ac:dyDescent="0.2">
      <c r="A67" s="35">
        <v>1085702</v>
      </c>
      <c r="B67" s="35">
        <v>6</v>
      </c>
      <c r="D67" s="35">
        <v>30</v>
      </c>
      <c r="E67" s="269">
        <v>349286</v>
      </c>
      <c r="F67" s="35">
        <v>100</v>
      </c>
      <c r="G67" s="35">
        <v>157.77780000000001</v>
      </c>
      <c r="H67" s="35" t="s">
        <v>205</v>
      </c>
      <c r="I67" s="35" t="s">
        <v>213</v>
      </c>
      <c r="J67" s="35" t="s">
        <v>214</v>
      </c>
      <c r="K67" s="35" t="s">
        <v>215</v>
      </c>
      <c r="L67" s="35" t="s">
        <v>216</v>
      </c>
      <c r="M67" s="266" t="s">
        <v>210</v>
      </c>
    </row>
    <row r="68" spans="1:13" x14ac:dyDescent="0.2">
      <c r="A68" s="35">
        <v>1086387</v>
      </c>
      <c r="B68" s="35">
        <v>8</v>
      </c>
      <c r="C68" s="35" t="s">
        <v>271</v>
      </c>
      <c r="D68" s="35">
        <v>20</v>
      </c>
      <c r="E68" s="269">
        <v>349393.01</v>
      </c>
      <c r="F68" s="35">
        <v>85</v>
      </c>
      <c r="G68" s="35">
        <v>0</v>
      </c>
      <c r="H68" s="35" t="s">
        <v>205</v>
      </c>
      <c r="I68" s="35" t="s">
        <v>279</v>
      </c>
      <c r="J68" s="35" t="s">
        <v>218</v>
      </c>
      <c r="K68" s="35" t="s">
        <v>58</v>
      </c>
      <c r="L68" s="35" t="s">
        <v>216</v>
      </c>
      <c r="M68" s="266" t="s">
        <v>210</v>
      </c>
    </row>
    <row r="69" spans="1:13" x14ac:dyDescent="0.2">
      <c r="A69" s="35">
        <v>1086393</v>
      </c>
      <c r="B69" s="35">
        <v>5</v>
      </c>
      <c r="C69" s="35" t="s">
        <v>271</v>
      </c>
      <c r="D69" s="35">
        <v>20</v>
      </c>
      <c r="E69" s="269">
        <v>349393.01</v>
      </c>
      <c r="F69" s="35">
        <v>170</v>
      </c>
      <c r="G69" s="35">
        <v>0</v>
      </c>
      <c r="H69" s="35" t="s">
        <v>205</v>
      </c>
      <c r="I69" s="35" t="s">
        <v>261</v>
      </c>
      <c r="J69" s="35" t="s">
        <v>218</v>
      </c>
      <c r="K69" s="35" t="s">
        <v>58</v>
      </c>
      <c r="L69" s="35" t="s">
        <v>216</v>
      </c>
      <c r="M69" s="266" t="s">
        <v>210</v>
      </c>
    </row>
    <row r="70" spans="1:13" x14ac:dyDescent="0.2">
      <c r="A70" s="35">
        <v>1086518</v>
      </c>
      <c r="B70" s="35">
        <v>6</v>
      </c>
      <c r="D70" s="35">
        <v>30</v>
      </c>
      <c r="E70" s="269">
        <v>349393.02</v>
      </c>
      <c r="F70" s="35">
        <v>70</v>
      </c>
      <c r="G70" s="35">
        <v>46.8</v>
      </c>
      <c r="H70" s="35" t="s">
        <v>205</v>
      </c>
      <c r="I70" s="35" t="s">
        <v>217</v>
      </c>
      <c r="J70" s="35" t="s">
        <v>218</v>
      </c>
      <c r="K70" s="35" t="s">
        <v>58</v>
      </c>
      <c r="L70" s="35" t="s">
        <v>216</v>
      </c>
      <c r="M70" s="266" t="s">
        <v>210</v>
      </c>
    </row>
    <row r="71" spans="1:13" x14ac:dyDescent="0.2">
      <c r="A71" s="35">
        <v>1086671</v>
      </c>
      <c r="B71" s="35">
        <v>5</v>
      </c>
      <c r="C71" s="35" t="s">
        <v>280</v>
      </c>
      <c r="D71" s="35">
        <v>20</v>
      </c>
      <c r="E71" s="269">
        <v>349410.02</v>
      </c>
      <c r="F71" s="35">
        <v>9</v>
      </c>
      <c r="G71" s="35">
        <v>215</v>
      </c>
      <c r="H71" s="35" t="s">
        <v>205</v>
      </c>
      <c r="I71" s="35" t="s">
        <v>221</v>
      </c>
      <c r="J71" s="35" t="s">
        <v>222</v>
      </c>
      <c r="K71" s="35" t="s">
        <v>208</v>
      </c>
      <c r="L71" s="35" t="s">
        <v>223</v>
      </c>
      <c r="M71" s="266" t="s">
        <v>210</v>
      </c>
    </row>
    <row r="72" spans="1:13" x14ac:dyDescent="0.2">
      <c r="A72" s="35">
        <v>1086804</v>
      </c>
      <c r="B72" s="35">
        <v>6</v>
      </c>
      <c r="D72" s="35">
        <v>30</v>
      </c>
      <c r="E72" s="269">
        <v>348974.03</v>
      </c>
      <c r="F72" s="35">
        <v>18</v>
      </c>
      <c r="G72" s="35">
        <v>145.95189999999999</v>
      </c>
      <c r="H72" s="35" t="s">
        <v>205</v>
      </c>
      <c r="I72" s="35" t="s">
        <v>267</v>
      </c>
      <c r="J72" s="35" t="s">
        <v>238</v>
      </c>
      <c r="K72" s="35" t="s">
        <v>122</v>
      </c>
      <c r="L72" s="35" t="s">
        <v>240</v>
      </c>
      <c r="M72" s="266" t="s">
        <v>210</v>
      </c>
    </row>
    <row r="73" spans="1:13" x14ac:dyDescent="0.2">
      <c r="A73" s="35">
        <v>1086995</v>
      </c>
      <c r="B73" s="35">
        <v>5</v>
      </c>
      <c r="C73" s="35" t="s">
        <v>281</v>
      </c>
      <c r="D73" s="35">
        <v>20</v>
      </c>
      <c r="E73" s="269">
        <v>349431.02</v>
      </c>
      <c r="F73" s="35">
        <v>80</v>
      </c>
      <c r="G73" s="35">
        <v>82</v>
      </c>
      <c r="H73" s="35" t="s">
        <v>205</v>
      </c>
      <c r="I73" s="35" t="s">
        <v>244</v>
      </c>
      <c r="J73" s="35" t="s">
        <v>222</v>
      </c>
      <c r="K73" s="35" t="s">
        <v>57</v>
      </c>
      <c r="L73" s="35" t="s">
        <v>245</v>
      </c>
      <c r="M73" s="266" t="s">
        <v>210</v>
      </c>
    </row>
    <row r="74" spans="1:13" x14ac:dyDescent="0.2">
      <c r="A74" s="35">
        <v>1087280</v>
      </c>
      <c r="B74" s="35">
        <v>5</v>
      </c>
      <c r="C74" s="35" t="s">
        <v>282</v>
      </c>
      <c r="D74" s="35">
        <v>20</v>
      </c>
      <c r="E74" s="269">
        <v>349458</v>
      </c>
      <c r="F74" s="35">
        <v>7</v>
      </c>
      <c r="G74" s="35">
        <v>340</v>
      </c>
      <c r="H74" s="35" t="s">
        <v>205</v>
      </c>
      <c r="I74" s="35" t="s">
        <v>283</v>
      </c>
      <c r="J74" s="35" t="s">
        <v>214</v>
      </c>
      <c r="K74" s="35" t="s">
        <v>24</v>
      </c>
      <c r="L74" s="35" t="s">
        <v>226</v>
      </c>
      <c r="M74" s="266" t="s">
        <v>210</v>
      </c>
    </row>
    <row r="75" spans="1:13" x14ac:dyDescent="0.2">
      <c r="A75" s="35">
        <v>1087389</v>
      </c>
      <c r="B75" s="35">
        <v>5</v>
      </c>
      <c r="C75" s="35" t="s">
        <v>284</v>
      </c>
      <c r="D75" s="35">
        <v>20</v>
      </c>
      <c r="E75" s="269">
        <v>349449</v>
      </c>
      <c r="F75" s="35">
        <v>17</v>
      </c>
      <c r="G75" s="35">
        <v>145.95189999999999</v>
      </c>
      <c r="H75" s="35" t="s">
        <v>205</v>
      </c>
      <c r="I75" s="35" t="s">
        <v>267</v>
      </c>
      <c r="J75" s="35" t="s">
        <v>238</v>
      </c>
      <c r="K75" s="35" t="s">
        <v>122</v>
      </c>
      <c r="L75" s="35" t="s">
        <v>223</v>
      </c>
      <c r="M75" s="266" t="s">
        <v>210</v>
      </c>
    </row>
    <row r="76" spans="1:13" x14ac:dyDescent="0.2">
      <c r="A76" s="35">
        <v>1051362</v>
      </c>
      <c r="B76" s="35">
        <v>5</v>
      </c>
      <c r="C76" s="35" t="s">
        <v>285</v>
      </c>
      <c r="D76" s="35">
        <v>20</v>
      </c>
      <c r="E76" s="269">
        <v>347876.01</v>
      </c>
      <c r="F76" s="35">
        <v>1380</v>
      </c>
      <c r="G76" s="35">
        <v>155</v>
      </c>
      <c r="H76" s="35" t="s">
        <v>205</v>
      </c>
      <c r="I76" s="35" t="s">
        <v>230</v>
      </c>
      <c r="J76" s="35" t="s">
        <v>231</v>
      </c>
      <c r="K76" s="35" t="s">
        <v>57</v>
      </c>
      <c r="L76" s="35" t="s">
        <v>216</v>
      </c>
      <c r="M76" s="266" t="s">
        <v>210</v>
      </c>
    </row>
    <row r="77" spans="1:13" x14ac:dyDescent="0.2">
      <c r="A77" s="35">
        <v>1070143</v>
      </c>
      <c r="B77" s="35">
        <v>6</v>
      </c>
      <c r="D77" s="35">
        <v>30</v>
      </c>
      <c r="E77" s="269">
        <v>347876.01</v>
      </c>
      <c r="F77" s="35">
        <v>120</v>
      </c>
      <c r="G77" s="35">
        <v>155</v>
      </c>
      <c r="H77" s="35" t="s">
        <v>205</v>
      </c>
      <c r="I77" s="35" t="s">
        <v>230</v>
      </c>
      <c r="J77" s="35" t="s">
        <v>231</v>
      </c>
      <c r="K77" s="35" t="s">
        <v>57</v>
      </c>
      <c r="L77" s="35" t="s">
        <v>216</v>
      </c>
      <c r="M77" s="266" t="s">
        <v>210</v>
      </c>
    </row>
    <row r="78" spans="1:13" x14ac:dyDescent="0.2">
      <c r="A78" s="35">
        <v>1070144</v>
      </c>
      <c r="B78" s="35">
        <v>6</v>
      </c>
      <c r="D78" s="35">
        <v>30</v>
      </c>
      <c r="E78" s="269">
        <v>347876.01</v>
      </c>
      <c r="F78" s="35">
        <v>65</v>
      </c>
      <c r="G78" s="35">
        <v>143.07689999999999</v>
      </c>
      <c r="H78" s="35" t="s">
        <v>205</v>
      </c>
      <c r="I78" s="35" t="s">
        <v>230</v>
      </c>
      <c r="J78" s="35" t="s">
        <v>231</v>
      </c>
      <c r="K78" s="35" t="s">
        <v>57</v>
      </c>
      <c r="L78" s="35" t="s">
        <v>216</v>
      </c>
      <c r="M78" s="266" t="s">
        <v>210</v>
      </c>
    </row>
    <row r="79" spans="1:13" x14ac:dyDescent="0.2">
      <c r="A79" s="35">
        <v>1083692</v>
      </c>
      <c r="B79" s="35">
        <v>5</v>
      </c>
      <c r="C79" s="35" t="s">
        <v>232</v>
      </c>
      <c r="D79" s="35">
        <v>20</v>
      </c>
      <c r="E79" s="269">
        <v>349286</v>
      </c>
      <c r="F79" s="35">
        <v>250</v>
      </c>
      <c r="G79" s="35">
        <v>157.77780000000001</v>
      </c>
      <c r="H79" s="35" t="s">
        <v>205</v>
      </c>
      <c r="I79" s="35" t="s">
        <v>213</v>
      </c>
      <c r="J79" s="35" t="s">
        <v>214</v>
      </c>
      <c r="K79" s="35" t="s">
        <v>215</v>
      </c>
      <c r="L79" s="35" t="s">
        <v>216</v>
      </c>
      <c r="M79" s="266" t="s">
        <v>210</v>
      </c>
    </row>
    <row r="80" spans="1:13" x14ac:dyDescent="0.2">
      <c r="A80" s="35">
        <v>1083695</v>
      </c>
      <c r="B80" s="35">
        <v>5</v>
      </c>
      <c r="C80" s="35" t="s">
        <v>286</v>
      </c>
      <c r="D80" s="35">
        <v>20</v>
      </c>
      <c r="E80" s="269">
        <v>349286</v>
      </c>
      <c r="F80" s="35">
        <v>759</v>
      </c>
      <c r="G80" s="35">
        <v>73</v>
      </c>
      <c r="H80" s="35" t="s">
        <v>205</v>
      </c>
      <c r="I80" s="35" t="s">
        <v>287</v>
      </c>
      <c r="J80" s="35" t="s">
        <v>214</v>
      </c>
      <c r="K80" s="35" t="s">
        <v>215</v>
      </c>
      <c r="L80" s="35" t="s">
        <v>216</v>
      </c>
      <c r="M80" s="266" t="s">
        <v>210</v>
      </c>
    </row>
    <row r="81" spans="1:13" x14ac:dyDescent="0.2">
      <c r="A81" s="35">
        <v>1083740</v>
      </c>
      <c r="B81" s="35">
        <v>6</v>
      </c>
      <c r="D81" s="35">
        <v>30</v>
      </c>
      <c r="E81" s="269">
        <v>349286</v>
      </c>
      <c r="F81" s="35">
        <v>800</v>
      </c>
      <c r="G81" s="35">
        <v>73</v>
      </c>
      <c r="H81" s="35" t="s">
        <v>205</v>
      </c>
      <c r="I81" s="35" t="s">
        <v>287</v>
      </c>
      <c r="J81" s="35" t="s">
        <v>214</v>
      </c>
      <c r="K81" s="35" t="s">
        <v>215</v>
      </c>
      <c r="L81" s="35" t="s">
        <v>216</v>
      </c>
      <c r="M81" s="266" t="s">
        <v>210</v>
      </c>
    </row>
    <row r="82" spans="1:13" x14ac:dyDescent="0.2">
      <c r="A82" s="35">
        <v>1084539</v>
      </c>
      <c r="B82" s="35">
        <v>5</v>
      </c>
      <c r="C82" s="35" t="s">
        <v>288</v>
      </c>
      <c r="D82" s="35">
        <v>20</v>
      </c>
      <c r="E82" s="269">
        <v>349312.04</v>
      </c>
      <c r="F82" s="35">
        <v>86</v>
      </c>
      <c r="G82" s="35">
        <v>37.9009</v>
      </c>
      <c r="H82" s="35" t="s">
        <v>205</v>
      </c>
      <c r="I82" s="35" t="s">
        <v>250</v>
      </c>
      <c r="J82" s="35" t="s">
        <v>251</v>
      </c>
      <c r="K82" s="35" t="s">
        <v>24</v>
      </c>
      <c r="L82" s="35" t="s">
        <v>219</v>
      </c>
      <c r="M82" s="266" t="s">
        <v>210</v>
      </c>
    </row>
    <row r="83" spans="1:13" x14ac:dyDescent="0.2">
      <c r="A83" s="35">
        <v>1084541</v>
      </c>
      <c r="B83" s="35">
        <v>5</v>
      </c>
      <c r="C83" s="35" t="s">
        <v>289</v>
      </c>
      <c r="D83" s="35">
        <v>20</v>
      </c>
      <c r="E83" s="269">
        <v>349312.02</v>
      </c>
      <c r="F83" s="35">
        <v>21</v>
      </c>
      <c r="G83" s="35">
        <v>37.9009</v>
      </c>
      <c r="H83" s="35" t="s">
        <v>205</v>
      </c>
      <c r="I83" s="35" t="s">
        <v>250</v>
      </c>
      <c r="J83" s="35" t="s">
        <v>251</v>
      </c>
      <c r="K83" s="35" t="s">
        <v>24</v>
      </c>
      <c r="L83" s="35" t="s">
        <v>219</v>
      </c>
      <c r="M83" s="266" t="s">
        <v>210</v>
      </c>
    </row>
    <row r="84" spans="1:13" x14ac:dyDescent="0.2">
      <c r="A84" s="35">
        <v>1085465</v>
      </c>
      <c r="B84" s="35">
        <v>5</v>
      </c>
      <c r="C84" s="35" t="s">
        <v>290</v>
      </c>
      <c r="D84" s="35">
        <v>20</v>
      </c>
      <c r="E84" s="269">
        <v>349373</v>
      </c>
      <c r="F84" s="35">
        <v>25</v>
      </c>
      <c r="G84" s="35">
        <v>327.8</v>
      </c>
      <c r="H84" s="35" t="s">
        <v>205</v>
      </c>
      <c r="I84" s="35" t="s">
        <v>291</v>
      </c>
      <c r="J84" s="35" t="s">
        <v>214</v>
      </c>
      <c r="K84" s="35" t="s">
        <v>292</v>
      </c>
      <c r="L84" s="35" t="s">
        <v>226</v>
      </c>
      <c r="M84" s="266" t="s">
        <v>210</v>
      </c>
    </row>
    <row r="85" spans="1:13" x14ac:dyDescent="0.2">
      <c r="A85" s="35">
        <v>1085850</v>
      </c>
      <c r="B85" s="35">
        <v>6</v>
      </c>
      <c r="D85" s="35">
        <v>30</v>
      </c>
      <c r="E85" s="269">
        <v>349337</v>
      </c>
      <c r="F85" s="35">
        <v>80</v>
      </c>
      <c r="G85" s="35">
        <v>73</v>
      </c>
      <c r="H85" s="35" t="s">
        <v>205</v>
      </c>
      <c r="I85" s="35" t="s">
        <v>255</v>
      </c>
      <c r="J85" s="35" t="s">
        <v>214</v>
      </c>
      <c r="K85" s="35" t="s">
        <v>24</v>
      </c>
      <c r="L85" s="35" t="s">
        <v>259</v>
      </c>
      <c r="M85" s="266" t="s">
        <v>210</v>
      </c>
    </row>
    <row r="86" spans="1:13" x14ac:dyDescent="0.2">
      <c r="A86" s="35">
        <v>1085960</v>
      </c>
      <c r="B86" s="35">
        <v>6</v>
      </c>
      <c r="D86" s="35">
        <v>30</v>
      </c>
      <c r="E86" s="269">
        <v>349389</v>
      </c>
      <c r="F86" s="35">
        <v>13</v>
      </c>
      <c r="G86" s="35">
        <v>46.8</v>
      </c>
      <c r="H86" s="35" t="s">
        <v>205</v>
      </c>
      <c r="I86" s="35" t="s">
        <v>217</v>
      </c>
      <c r="J86" s="35" t="s">
        <v>218</v>
      </c>
      <c r="K86" s="35" t="s">
        <v>234</v>
      </c>
      <c r="L86" s="35" t="s">
        <v>226</v>
      </c>
      <c r="M86" s="266" t="s">
        <v>210</v>
      </c>
    </row>
    <row r="87" spans="1:13" x14ac:dyDescent="0.2">
      <c r="A87" s="35">
        <v>1086455</v>
      </c>
      <c r="B87" s="35">
        <v>5</v>
      </c>
      <c r="C87" s="35" t="s">
        <v>293</v>
      </c>
      <c r="D87" s="35">
        <v>20</v>
      </c>
      <c r="E87" s="269">
        <v>349401.06</v>
      </c>
      <c r="F87" s="35">
        <v>22</v>
      </c>
      <c r="G87" s="35">
        <v>61</v>
      </c>
      <c r="H87" s="35" t="s">
        <v>205</v>
      </c>
      <c r="I87" s="35" t="s">
        <v>243</v>
      </c>
      <c r="J87" s="35" t="s">
        <v>214</v>
      </c>
      <c r="K87" s="35" t="s">
        <v>123</v>
      </c>
      <c r="L87" s="35" t="s">
        <v>229</v>
      </c>
      <c r="M87" s="266" t="s">
        <v>210</v>
      </c>
    </row>
    <row r="88" spans="1:13" x14ac:dyDescent="0.2">
      <c r="A88" s="35">
        <v>1086825</v>
      </c>
      <c r="B88" s="35">
        <v>5</v>
      </c>
      <c r="C88" s="35" t="s">
        <v>294</v>
      </c>
      <c r="D88" s="35">
        <v>20</v>
      </c>
      <c r="E88" s="269">
        <v>349428</v>
      </c>
      <c r="F88" s="35">
        <v>10</v>
      </c>
      <c r="G88" s="35">
        <v>46.8</v>
      </c>
      <c r="H88" s="35" t="s">
        <v>205</v>
      </c>
      <c r="I88" s="35" t="s">
        <v>261</v>
      </c>
      <c r="J88" s="35" t="s">
        <v>218</v>
      </c>
      <c r="K88" s="35" t="s">
        <v>123</v>
      </c>
      <c r="L88" s="35" t="s">
        <v>229</v>
      </c>
      <c r="M88" s="266" t="s">
        <v>210</v>
      </c>
    </row>
    <row r="89" spans="1:13" x14ac:dyDescent="0.2">
      <c r="A89" s="35">
        <v>1086889</v>
      </c>
      <c r="B89" s="35">
        <v>5</v>
      </c>
      <c r="C89" s="35" t="s">
        <v>262</v>
      </c>
      <c r="D89" s="35">
        <v>20</v>
      </c>
      <c r="E89" s="269">
        <v>347876</v>
      </c>
      <c r="F89" s="35">
        <v>130</v>
      </c>
      <c r="G89" s="35">
        <v>0</v>
      </c>
      <c r="H89" s="35" t="s">
        <v>205</v>
      </c>
      <c r="I89" s="35" t="s">
        <v>248</v>
      </c>
      <c r="J89" s="35" t="s">
        <v>214</v>
      </c>
      <c r="K89" s="35" t="s">
        <v>57</v>
      </c>
      <c r="L89" s="35" t="s">
        <v>216</v>
      </c>
      <c r="M89" s="266" t="s">
        <v>210</v>
      </c>
    </row>
    <row r="90" spans="1:13" x14ac:dyDescent="0.2">
      <c r="A90" s="35">
        <v>1087033</v>
      </c>
      <c r="B90" s="35">
        <v>5</v>
      </c>
      <c r="C90" s="35" t="s">
        <v>295</v>
      </c>
      <c r="D90" s="35">
        <v>20</v>
      </c>
      <c r="E90" s="269">
        <v>349423.04</v>
      </c>
      <c r="F90" s="35">
        <v>29</v>
      </c>
      <c r="G90" s="35">
        <v>275</v>
      </c>
      <c r="H90" s="35" t="s">
        <v>205</v>
      </c>
      <c r="I90" s="35" t="s">
        <v>225</v>
      </c>
      <c r="J90" s="35" t="s">
        <v>214</v>
      </c>
      <c r="K90" s="35" t="s">
        <v>59</v>
      </c>
      <c r="L90" s="35" t="s">
        <v>226</v>
      </c>
      <c r="M90" s="266" t="s">
        <v>210</v>
      </c>
    </row>
    <row r="91" spans="1:13" x14ac:dyDescent="0.2">
      <c r="A91" s="35">
        <v>1087075</v>
      </c>
      <c r="B91" s="35">
        <v>6</v>
      </c>
      <c r="D91" s="35">
        <v>30</v>
      </c>
      <c r="E91" s="269">
        <v>347876</v>
      </c>
      <c r="F91" s="35">
        <v>65</v>
      </c>
      <c r="G91" s="35">
        <v>120</v>
      </c>
      <c r="H91" s="35" t="s">
        <v>205</v>
      </c>
      <c r="I91" s="35" t="s">
        <v>248</v>
      </c>
      <c r="J91" s="35" t="s">
        <v>214</v>
      </c>
      <c r="K91" s="35" t="s">
        <v>57</v>
      </c>
      <c r="L91" s="35" t="s">
        <v>216</v>
      </c>
      <c r="M91" s="266" t="s">
        <v>210</v>
      </c>
    </row>
    <row r="92" spans="1:13" x14ac:dyDescent="0.2">
      <c r="A92" s="35">
        <v>1087248</v>
      </c>
      <c r="B92" s="35">
        <v>5</v>
      </c>
      <c r="C92" s="35" t="s">
        <v>296</v>
      </c>
      <c r="D92" s="35">
        <v>20</v>
      </c>
      <c r="E92" s="269">
        <v>349447.06</v>
      </c>
      <c r="F92" s="35">
        <v>84</v>
      </c>
      <c r="G92" s="35">
        <v>47.445799999999998</v>
      </c>
      <c r="H92" s="35" t="s">
        <v>205</v>
      </c>
      <c r="I92" s="35" t="s">
        <v>297</v>
      </c>
      <c r="J92" s="35" t="s">
        <v>298</v>
      </c>
      <c r="K92" s="35" t="s">
        <v>60</v>
      </c>
      <c r="L92" s="35" t="s">
        <v>226</v>
      </c>
      <c r="M92" s="266" t="s">
        <v>210</v>
      </c>
    </row>
    <row r="93" spans="1:13" x14ac:dyDescent="0.2">
      <c r="A93" s="35">
        <v>1087764</v>
      </c>
      <c r="B93" s="35">
        <v>6</v>
      </c>
      <c r="D93" s="35">
        <v>30</v>
      </c>
      <c r="E93" s="35">
        <v>349401.06</v>
      </c>
      <c r="F93" s="35">
        <v>22</v>
      </c>
      <c r="G93" s="35">
        <v>61</v>
      </c>
      <c r="H93" s="35" t="s">
        <v>205</v>
      </c>
      <c r="I93" s="35" t="s">
        <v>243</v>
      </c>
      <c r="J93" s="35" t="s">
        <v>214</v>
      </c>
      <c r="K93" s="35" t="s">
        <v>123</v>
      </c>
      <c r="L93" s="35" t="s">
        <v>229</v>
      </c>
      <c r="M93" s="35" t="s">
        <v>210</v>
      </c>
    </row>
    <row r="94" spans="1:13" x14ac:dyDescent="0.2">
      <c r="A94" s="35">
        <v>1055943</v>
      </c>
      <c r="B94" s="35">
        <v>6</v>
      </c>
      <c r="D94" s="35">
        <v>30</v>
      </c>
      <c r="E94" s="35">
        <v>347876.01</v>
      </c>
      <c r="F94" s="35">
        <v>550</v>
      </c>
      <c r="G94" s="35">
        <v>155</v>
      </c>
      <c r="H94" s="35" t="s">
        <v>205</v>
      </c>
      <c r="I94" s="35" t="s">
        <v>230</v>
      </c>
      <c r="J94" s="35" t="s">
        <v>231</v>
      </c>
      <c r="K94" s="35" t="s">
        <v>57</v>
      </c>
      <c r="L94" s="35" t="s">
        <v>216</v>
      </c>
      <c r="M94" s="35" t="s">
        <v>210</v>
      </c>
    </row>
    <row r="95" spans="1:13" x14ac:dyDescent="0.2">
      <c r="A95" s="35">
        <v>1058525</v>
      </c>
      <c r="B95" s="35">
        <v>6</v>
      </c>
      <c r="D95" s="35">
        <v>30</v>
      </c>
      <c r="E95" s="35">
        <v>347876.01</v>
      </c>
      <c r="F95" s="35">
        <v>31</v>
      </c>
      <c r="G95" s="35">
        <v>160</v>
      </c>
      <c r="H95" s="35" t="s">
        <v>205</v>
      </c>
      <c r="I95" s="35" t="s">
        <v>246</v>
      </c>
      <c r="J95" s="35" t="s">
        <v>231</v>
      </c>
      <c r="K95" s="35" t="s">
        <v>57</v>
      </c>
      <c r="L95" s="35" t="s">
        <v>216</v>
      </c>
      <c r="M95" s="35" t="s">
        <v>210</v>
      </c>
    </row>
    <row r="96" spans="1:13" x14ac:dyDescent="0.2">
      <c r="A96" s="35">
        <v>1085340</v>
      </c>
      <c r="B96" s="35">
        <v>5</v>
      </c>
      <c r="C96" s="35" t="s">
        <v>299</v>
      </c>
      <c r="D96" s="35">
        <v>20</v>
      </c>
      <c r="E96" s="35">
        <v>349350.01</v>
      </c>
      <c r="F96" s="35">
        <v>829</v>
      </c>
      <c r="G96" s="35">
        <v>46.8</v>
      </c>
      <c r="H96" s="35" t="s">
        <v>205</v>
      </c>
      <c r="I96" s="35" t="s">
        <v>217</v>
      </c>
      <c r="J96" s="35" t="s">
        <v>218</v>
      </c>
      <c r="K96" s="35" t="s">
        <v>260</v>
      </c>
      <c r="L96" s="35" t="s">
        <v>226</v>
      </c>
      <c r="M96" s="266" t="s">
        <v>210</v>
      </c>
    </row>
    <row r="97" spans="1:13" x14ac:dyDescent="0.2">
      <c r="A97" s="35">
        <v>1085391</v>
      </c>
      <c r="B97" s="35">
        <v>6</v>
      </c>
      <c r="D97" s="35">
        <v>30</v>
      </c>
      <c r="E97" s="35">
        <v>349312.04</v>
      </c>
      <c r="F97" s="35">
        <v>86</v>
      </c>
      <c r="G97" s="35">
        <v>37.9009</v>
      </c>
      <c r="H97" s="35" t="s">
        <v>205</v>
      </c>
      <c r="I97" s="35" t="s">
        <v>250</v>
      </c>
      <c r="J97" s="35" t="s">
        <v>251</v>
      </c>
      <c r="K97" s="35" t="s">
        <v>24</v>
      </c>
      <c r="L97" s="35" t="s">
        <v>219</v>
      </c>
      <c r="M97" s="266" t="s">
        <v>210</v>
      </c>
    </row>
    <row r="98" spans="1:13" x14ac:dyDescent="0.2">
      <c r="A98" s="35">
        <v>1085847</v>
      </c>
      <c r="B98" s="35">
        <v>6</v>
      </c>
      <c r="D98" s="35">
        <v>30</v>
      </c>
      <c r="E98" s="35">
        <v>349373</v>
      </c>
      <c r="F98" s="35">
        <v>25</v>
      </c>
      <c r="G98" s="35">
        <v>327.8</v>
      </c>
      <c r="H98" s="35" t="s">
        <v>205</v>
      </c>
      <c r="I98" s="35" t="s">
        <v>291</v>
      </c>
      <c r="J98" s="35" t="s">
        <v>214</v>
      </c>
      <c r="K98" s="35" t="s">
        <v>292</v>
      </c>
      <c r="L98" s="35" t="s">
        <v>226</v>
      </c>
      <c r="M98" s="266" t="s">
        <v>210</v>
      </c>
    </row>
    <row r="99" spans="1:13" x14ac:dyDescent="0.2">
      <c r="A99" s="35">
        <v>1085848</v>
      </c>
      <c r="B99" s="35">
        <v>6</v>
      </c>
      <c r="D99" s="35">
        <v>30</v>
      </c>
      <c r="E99" s="35">
        <v>349337</v>
      </c>
      <c r="F99" s="35">
        <v>80</v>
      </c>
      <c r="G99" s="35">
        <v>73</v>
      </c>
      <c r="H99" s="35" t="s">
        <v>205</v>
      </c>
      <c r="I99" s="35" t="s">
        <v>255</v>
      </c>
      <c r="J99" s="35" t="s">
        <v>214</v>
      </c>
      <c r="K99" s="35" t="s">
        <v>24</v>
      </c>
      <c r="L99" s="35" t="s">
        <v>259</v>
      </c>
      <c r="M99" s="266" t="s">
        <v>210</v>
      </c>
    </row>
    <row r="100" spans="1:13" x14ac:dyDescent="0.2">
      <c r="A100" s="35">
        <v>1085849</v>
      </c>
      <c r="B100" s="35">
        <v>6</v>
      </c>
      <c r="D100" s="35">
        <v>30</v>
      </c>
      <c r="E100" s="35">
        <v>349337</v>
      </c>
      <c r="F100" s="35">
        <v>50</v>
      </c>
      <c r="G100" s="35">
        <v>73</v>
      </c>
      <c r="H100" s="35" t="s">
        <v>205</v>
      </c>
      <c r="I100" s="35" t="s">
        <v>255</v>
      </c>
      <c r="J100" s="35" t="s">
        <v>214</v>
      </c>
      <c r="K100" s="35" t="s">
        <v>24</v>
      </c>
      <c r="L100" s="35" t="s">
        <v>259</v>
      </c>
      <c r="M100" s="266" t="s">
        <v>210</v>
      </c>
    </row>
    <row r="101" spans="1:13" x14ac:dyDescent="0.2">
      <c r="A101" s="35">
        <v>1086369</v>
      </c>
      <c r="B101" s="35">
        <v>5</v>
      </c>
      <c r="C101" s="35" t="s">
        <v>300</v>
      </c>
      <c r="D101" s="35">
        <v>20</v>
      </c>
      <c r="E101" s="35">
        <v>349393.01</v>
      </c>
      <c r="F101" s="35">
        <v>85</v>
      </c>
      <c r="G101" s="35">
        <v>46.8</v>
      </c>
      <c r="H101" s="35" t="s">
        <v>205</v>
      </c>
      <c r="I101" s="35" t="s">
        <v>279</v>
      </c>
      <c r="J101" s="35" t="s">
        <v>218</v>
      </c>
      <c r="K101" s="35" t="s">
        <v>58</v>
      </c>
      <c r="L101" s="35" t="s">
        <v>216</v>
      </c>
      <c r="M101" s="266" t="s">
        <v>210</v>
      </c>
    </row>
    <row r="102" spans="1:13" x14ac:dyDescent="0.2">
      <c r="A102" s="35">
        <v>1086805</v>
      </c>
      <c r="B102" s="35">
        <v>6</v>
      </c>
      <c r="D102" s="35">
        <v>30</v>
      </c>
      <c r="E102" s="35">
        <v>348974.03</v>
      </c>
      <c r="F102" s="35">
        <v>50</v>
      </c>
      <c r="G102" s="35">
        <v>145.95189999999999</v>
      </c>
      <c r="H102" s="35" t="s">
        <v>205</v>
      </c>
      <c r="I102" s="35" t="s">
        <v>267</v>
      </c>
      <c r="J102" s="35" t="s">
        <v>238</v>
      </c>
      <c r="K102" s="35" t="s">
        <v>122</v>
      </c>
      <c r="L102" s="35" t="s">
        <v>240</v>
      </c>
      <c r="M102" s="266" t="s">
        <v>210</v>
      </c>
    </row>
    <row r="103" spans="1:13" x14ac:dyDescent="0.2">
      <c r="A103" s="35">
        <v>1086998</v>
      </c>
      <c r="B103" s="35">
        <v>6</v>
      </c>
      <c r="D103" s="35">
        <v>30</v>
      </c>
      <c r="E103" s="35">
        <v>349431.02</v>
      </c>
      <c r="F103" s="35">
        <v>80</v>
      </c>
      <c r="G103" s="35">
        <v>79</v>
      </c>
      <c r="H103" s="35" t="s">
        <v>205</v>
      </c>
      <c r="I103" s="35" t="s">
        <v>244</v>
      </c>
      <c r="J103" s="35" t="s">
        <v>222</v>
      </c>
      <c r="K103" s="35" t="s">
        <v>57</v>
      </c>
      <c r="L103" s="35" t="s">
        <v>245</v>
      </c>
      <c r="M103" s="266" t="s">
        <v>210</v>
      </c>
    </row>
    <row r="104" spans="1:13" x14ac:dyDescent="0.2">
      <c r="A104" s="35">
        <v>1087306</v>
      </c>
      <c r="B104" s="35">
        <v>6</v>
      </c>
      <c r="D104" s="35">
        <v>30</v>
      </c>
      <c r="E104" s="35">
        <v>349447.06</v>
      </c>
      <c r="F104" s="35">
        <v>84</v>
      </c>
      <c r="G104" s="35">
        <v>47.445799999999998</v>
      </c>
      <c r="H104" s="35" t="s">
        <v>205</v>
      </c>
      <c r="I104" s="35" t="s">
        <v>297</v>
      </c>
      <c r="J104" s="35" t="s">
        <v>298</v>
      </c>
      <c r="K104" s="35" t="s">
        <v>60</v>
      </c>
      <c r="L104" s="35" t="s">
        <v>226</v>
      </c>
      <c r="M104" s="266" t="s">
        <v>210</v>
      </c>
    </row>
    <row r="105" spans="1:13" x14ac:dyDescent="0.2">
      <c r="A105" s="35">
        <v>1087710</v>
      </c>
      <c r="B105" s="35">
        <v>8</v>
      </c>
      <c r="C105" s="35" t="s">
        <v>271</v>
      </c>
      <c r="D105" s="35">
        <v>20</v>
      </c>
      <c r="E105" s="35">
        <v>349458</v>
      </c>
      <c r="F105" s="35">
        <v>7</v>
      </c>
      <c r="G105" s="35">
        <v>0</v>
      </c>
      <c r="H105" s="35" t="s">
        <v>205</v>
      </c>
      <c r="I105" s="35" t="s">
        <v>283</v>
      </c>
      <c r="J105" s="35" t="s">
        <v>214</v>
      </c>
      <c r="K105" s="35" t="s">
        <v>24</v>
      </c>
      <c r="L105" s="35" t="s">
        <v>226</v>
      </c>
      <c r="M105" s="266" t="s">
        <v>210</v>
      </c>
    </row>
    <row r="106" spans="1:13" x14ac:dyDescent="0.2">
      <c r="A106" s="35">
        <v>1087838</v>
      </c>
      <c r="B106" s="35">
        <v>6</v>
      </c>
      <c r="D106" s="35">
        <v>30</v>
      </c>
      <c r="E106" s="35">
        <v>349441</v>
      </c>
      <c r="F106" s="35">
        <v>9</v>
      </c>
      <c r="G106" s="35">
        <v>182.1388</v>
      </c>
      <c r="H106" s="35" t="s">
        <v>205</v>
      </c>
      <c r="I106" s="35" t="s">
        <v>237</v>
      </c>
      <c r="J106" s="35" t="s">
        <v>238</v>
      </c>
      <c r="K106" s="35" t="s">
        <v>121</v>
      </c>
      <c r="L106" s="35" t="s">
        <v>223</v>
      </c>
      <c r="M106" s="266" t="s">
        <v>210</v>
      </c>
    </row>
  </sheetData>
  <autoFilter ref="A2:N614" xr:uid="{1AB9842B-9604-3948-A92D-53BD60DF6B32}"/>
  <phoneticPr fontId="14" type="noConversion"/>
  <conditionalFormatting sqref="A2584:A1048576 A2">
    <cfRule type="duplicateValues" dxfId="58" priority="3"/>
  </conditionalFormatting>
  <conditionalFormatting sqref="A2584:A1048576">
    <cfRule type="duplicateValues" dxfId="57" priority="2"/>
  </conditionalFormatting>
  <conditionalFormatting sqref="A2:A92 A2584:A1048576 A96:A481">
    <cfRule type="duplicateValues" dxfId="56" priority="1"/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E55D-727B-3F41-AC65-096142A8B203}">
  <sheetPr>
    <tabColor rgb="FFFF0000"/>
  </sheetPr>
  <dimension ref="A1:AK49"/>
  <sheetViews>
    <sheetView tabSelected="1" zoomScale="90" zoomScaleNormal="90" workbookViewId="0">
      <pane xSplit="1" topLeftCell="B1" activePane="topRight" state="frozen"/>
      <selection activeCell="K6" sqref="K6"/>
      <selection pane="topRight" activeCell="X16" sqref="X16"/>
    </sheetView>
  </sheetViews>
  <sheetFormatPr baseColWidth="10" defaultRowHeight="15" x14ac:dyDescent="0.2"/>
  <cols>
    <col min="1" max="1" width="17.59765625" style="5" customWidth="1"/>
    <col min="2" max="9" width="12" style="5" customWidth="1"/>
    <col min="10" max="10" width="6.3984375" style="59" hidden="1" customWidth="1"/>
    <col min="11" max="16" width="12" style="6" customWidth="1"/>
    <col min="17" max="17" width="12.59765625" style="6" customWidth="1"/>
    <col min="18" max="18" width="11.796875" style="6" customWidth="1"/>
    <col min="19" max="20" width="12.19921875" style="5" customWidth="1"/>
    <col min="21" max="28" width="12" style="5" customWidth="1"/>
    <col min="29" max="29" width="3.19921875" style="5" customWidth="1"/>
    <col min="30" max="31" width="12" style="5" customWidth="1"/>
    <col min="32" max="32" width="11.59765625" style="5" customWidth="1"/>
    <col min="33" max="38" width="12" style="5" customWidth="1"/>
    <col min="39" max="16384" width="11" style="5"/>
  </cols>
  <sheetData>
    <row r="1" spans="1:37" ht="16" thickBot="1" x14ac:dyDescent="0.25"/>
    <row r="2" spans="1:37" hidden="1" x14ac:dyDescent="0.2">
      <c r="A2" s="72" t="s">
        <v>88</v>
      </c>
      <c r="B2" s="72" t="s">
        <v>113</v>
      </c>
      <c r="C2" s="72"/>
      <c r="D2" s="143">
        <v>15</v>
      </c>
    </row>
    <row r="3" spans="1:37" hidden="1" x14ac:dyDescent="0.2">
      <c r="A3" s="72" t="s">
        <v>88</v>
      </c>
      <c r="B3" s="72" t="s">
        <v>111</v>
      </c>
      <c r="C3" s="72"/>
      <c r="D3" s="143">
        <f>24*D5</f>
        <v>24</v>
      </c>
    </row>
    <row r="4" spans="1:37" hidden="1" x14ac:dyDescent="0.2">
      <c r="A4" s="72" t="s">
        <v>88</v>
      </c>
      <c r="B4" s="72" t="s">
        <v>114</v>
      </c>
      <c r="C4" s="72"/>
      <c r="D4" s="178">
        <f>D2*D3</f>
        <v>360</v>
      </c>
    </row>
    <row r="5" spans="1:37" ht="16" hidden="1" thickBot="1" x14ac:dyDescent="0.25">
      <c r="A5" s="72" t="s">
        <v>88</v>
      </c>
      <c r="B5" s="143" t="s">
        <v>112</v>
      </c>
      <c r="C5" s="72"/>
      <c r="D5" s="177">
        <f>_xlfn.DAYS(D6,B6)+1</f>
        <v>1</v>
      </c>
    </row>
    <row r="6" spans="1:37" ht="20" customHeight="1" thickBot="1" x14ac:dyDescent="0.25">
      <c r="A6" s="34" t="s">
        <v>81</v>
      </c>
      <c r="B6" s="145">
        <v>44580</v>
      </c>
      <c r="C6" s="147" t="s">
        <v>105</v>
      </c>
      <c r="D6" s="146">
        <v>44580</v>
      </c>
      <c r="K6" s="271" t="s">
        <v>26</v>
      </c>
      <c r="L6" s="272"/>
      <c r="M6" s="272"/>
      <c r="N6" s="272"/>
      <c r="O6" s="272"/>
      <c r="P6" s="272"/>
      <c r="Q6" s="272"/>
      <c r="R6" s="272"/>
      <c r="S6" s="272"/>
      <c r="T6" s="273"/>
    </row>
    <row r="7" spans="1:37" ht="20" customHeight="1" x14ac:dyDescent="0.2">
      <c r="A7" s="34"/>
      <c r="I7" s="123"/>
      <c r="J7" s="122" t="s">
        <v>88</v>
      </c>
      <c r="K7" s="274" t="s">
        <v>140</v>
      </c>
      <c r="L7" s="275"/>
      <c r="M7" s="276"/>
      <c r="N7" s="277" t="s">
        <v>141</v>
      </c>
      <c r="O7" s="278"/>
      <c r="P7" s="278"/>
      <c r="Q7" s="279"/>
      <c r="R7" s="278" t="s">
        <v>142</v>
      </c>
      <c r="S7" s="278"/>
      <c r="T7" s="279"/>
      <c r="AD7" s="283" t="s">
        <v>200</v>
      </c>
      <c r="AE7" s="284"/>
      <c r="AF7" s="284"/>
      <c r="AG7" s="284"/>
      <c r="AH7" s="284"/>
      <c r="AI7" s="284"/>
      <c r="AJ7" s="284"/>
      <c r="AK7" s="285"/>
    </row>
    <row r="8" spans="1:37" ht="61" customHeight="1" thickBot="1" x14ac:dyDescent="0.25">
      <c r="A8" s="34"/>
      <c r="B8" s="165" t="s">
        <v>27</v>
      </c>
      <c r="C8" s="165" t="s">
        <v>28</v>
      </c>
      <c r="D8" s="95" t="s">
        <v>29</v>
      </c>
      <c r="E8" s="169" t="s">
        <v>30</v>
      </c>
      <c r="F8" s="23" t="s">
        <v>39</v>
      </c>
      <c r="G8" s="18" t="s">
        <v>40</v>
      </c>
      <c r="H8" s="15" t="s">
        <v>31</v>
      </c>
      <c r="I8" s="173" t="s">
        <v>32</v>
      </c>
      <c r="J8" s="120"/>
      <c r="K8" s="83" t="s">
        <v>43</v>
      </c>
      <c r="L8" s="82" t="s">
        <v>44</v>
      </c>
      <c r="M8" s="179" t="s">
        <v>45</v>
      </c>
      <c r="N8" s="88" t="s">
        <v>89</v>
      </c>
      <c r="O8" s="12" t="s">
        <v>46</v>
      </c>
      <c r="P8" s="12" t="s">
        <v>47</v>
      </c>
      <c r="Q8" s="89" t="s">
        <v>115</v>
      </c>
      <c r="R8" s="28" t="s">
        <v>116</v>
      </c>
      <c r="S8" s="12" t="s">
        <v>33</v>
      </c>
      <c r="T8" s="89" t="s">
        <v>34</v>
      </c>
      <c r="U8" s="28" t="s">
        <v>35</v>
      </c>
      <c r="V8" s="200" t="s">
        <v>139</v>
      </c>
      <c r="W8" s="24" t="s">
        <v>82</v>
      </c>
      <c r="X8" s="18" t="s">
        <v>41</v>
      </c>
      <c r="Y8" s="18" t="s">
        <v>42</v>
      </c>
      <c r="Z8" s="12" t="s">
        <v>36</v>
      </c>
      <c r="AA8" s="12" t="s">
        <v>37</v>
      </c>
      <c r="AB8" s="12" t="s">
        <v>38</v>
      </c>
      <c r="AD8" s="247" t="s">
        <v>152</v>
      </c>
      <c r="AE8" s="248" t="s">
        <v>153</v>
      </c>
      <c r="AF8" s="248" t="s">
        <v>154</v>
      </c>
      <c r="AG8" s="248" t="s">
        <v>155</v>
      </c>
      <c r="AH8" s="248" t="s">
        <v>156</v>
      </c>
      <c r="AI8" s="248" t="s">
        <v>157</v>
      </c>
      <c r="AJ8" s="249" t="s">
        <v>176</v>
      </c>
      <c r="AK8" s="250" t="s">
        <v>177</v>
      </c>
    </row>
    <row r="9" spans="1:37" s="10" customFormat="1" ht="20" customHeight="1" thickTop="1" thickBot="1" x14ac:dyDescent="0.25">
      <c r="A9" s="166" t="s">
        <v>128</v>
      </c>
      <c r="B9" s="167">
        <f>IFERROR(MIN(D9*F9*G9,1),0)</f>
        <v>0.20993259165358039</v>
      </c>
      <c r="C9" s="168">
        <f t="shared" ref="C9" si="0">IFERROR(MIN(E9*F9*G9,1),0)</f>
        <v>0.29479895849226184</v>
      </c>
      <c r="D9" s="194">
        <f>IFERROR(SUM(K9:M9)/H9,0)</f>
        <v>0.35454545454545455</v>
      </c>
      <c r="E9" s="195">
        <f>IFERROR(SUM(K9:M9)/I9,0)</f>
        <v>0.49787234042553197</v>
      </c>
      <c r="F9" s="185">
        <f>IFERROR(V9/W9,0)</f>
        <v>0.60287066812772316</v>
      </c>
      <c r="G9" s="20">
        <f t="shared" ref="G9:G11" si="1">IFERROR(MIN(X9/Y9,1),0)</f>
        <v>0.98216350123864571</v>
      </c>
      <c r="H9" s="17">
        <f t="shared" ref="H9:J9" si="2">SUM(H19,H28,H37)</f>
        <v>264</v>
      </c>
      <c r="I9" s="175">
        <f t="shared" si="2"/>
        <v>188</v>
      </c>
      <c r="J9" s="245">
        <f t="shared" si="2"/>
        <v>264</v>
      </c>
      <c r="K9" s="186">
        <f>SUM(K19,K28,K37)</f>
        <v>79</v>
      </c>
      <c r="L9" s="187">
        <f t="shared" ref="L9:AA9" si="3">SUM(L19,L28,L37)</f>
        <v>14.600000000000003</v>
      </c>
      <c r="M9" s="188">
        <f t="shared" si="3"/>
        <v>0</v>
      </c>
      <c r="N9" s="183">
        <f t="shared" si="3"/>
        <v>76</v>
      </c>
      <c r="O9" s="181">
        <f t="shared" si="3"/>
        <v>48.400000000000006</v>
      </c>
      <c r="P9" s="181">
        <f t="shared" si="3"/>
        <v>3.5</v>
      </c>
      <c r="Q9" s="182">
        <f t="shared" si="3"/>
        <v>27.4</v>
      </c>
      <c r="R9" s="183">
        <f t="shared" si="3"/>
        <v>4.5</v>
      </c>
      <c r="S9" s="181">
        <f t="shared" si="3"/>
        <v>8.5</v>
      </c>
      <c r="T9" s="182">
        <f t="shared" si="3"/>
        <v>2.1</v>
      </c>
      <c r="U9" s="33">
        <f t="shared" si="3"/>
        <v>25560</v>
      </c>
      <c r="V9" s="26">
        <f t="shared" si="3"/>
        <v>56.378455314478757</v>
      </c>
      <c r="W9" s="26">
        <f t="shared" si="3"/>
        <v>93.516666666779201</v>
      </c>
      <c r="X9" s="22">
        <f t="shared" si="3"/>
        <v>11894</v>
      </c>
      <c r="Y9" s="22">
        <f t="shared" si="3"/>
        <v>12110</v>
      </c>
      <c r="Z9" s="14">
        <f t="shared" si="3"/>
        <v>30</v>
      </c>
      <c r="AA9" s="14">
        <f t="shared" si="3"/>
        <v>0</v>
      </c>
      <c r="AB9" s="27">
        <f t="shared" ref="AB9" si="4">IFERROR(SUM(Z9-AA9)/Z9,0)</f>
        <v>1</v>
      </c>
      <c r="AD9" s="251">
        <f>IFERROR(MROUND(SUM(SUMIF('Factory Log'!$K:$K,"*1pass*",'Factory Log'!$D:$D)+SUMIF('Factory Log'!$K:$K,"*Run Outdoor*",'Factory Log'!$D:$D))/$K9,0.0001),0)</f>
        <v>0</v>
      </c>
      <c r="AE9" s="252">
        <f>IFERROR(MROUND(SUM(SUMIF('Factory Log'!$K:$K,"*2pass*",'Factory Log'!$D:$D)+SUMIF('Factory Log'!$K:$K,"*Run Production*",'Factory Log'!$D:$D)+SUMIF('Factory Log'!$K:$K,"*4colour No*",'Factory Log'!$D:$D))/$K9,0.0001),0)</f>
        <v>0.10550000000000001</v>
      </c>
      <c r="AF9" s="252">
        <f>IFERROR(MROUND(SUM(SUMIF('Factory Log'!$K:$K,"*3pass*",'Factory Log'!$D:$D)+SUMIF('Factory Log'!$K:$K,"*4colour L*",'Factory Log'!$D:$D))/$K9,0.0001),0)</f>
        <v>0.23350000000000001</v>
      </c>
      <c r="AG9" s="252">
        <f>IFERROR(MROUND(SUM(SUMIF('Factory Log'!$K:$K,"*4pass*",'Factory Log'!$D:$D)+SUMIF('Factory Log'!$K:$K,"*Run POP*",'Factory Log'!$D:$D)+SUMIF('Factory Log'!$K:$K,"*4colour H*",'Factory Log'!$D:$D)+SUMIF('Factory Log'!$K:$K,"*Mono*",'Factory Log'!$D:$D))/$K9,0.0001),0)</f>
        <v>0.58140000000000003</v>
      </c>
      <c r="AH9" s="252">
        <f>IFERROR(MROUND(SUM(SUMIF('Factory Log'!$K:$K,"*5pass*",'Factory Log'!$D:$D)+SUMIF('Factory Log'!$K:$K,"*Run High Quality*",'Factory Log'!$D:$D)+SUMIF('Factory Log'!$K:$K,"*8colour No*",'Factory Log'!$D:$D))/$K9,0.0001),0)</f>
        <v>0</v>
      </c>
      <c r="AI9" s="252">
        <f>IFERROR(MROUND(SUM(SUMIF('Factory Log'!$K:$K,"*6pass*",'Factory Log'!$D:$D)+SUMIF('Factory Log'!$K:$K,"*8colour L*",'Factory Log'!$D:$D)+SUMIF('Factory Log'!$K:$K,"*EPM*",'Factory Log'!$D:$D))/$K9,0.0001),0)</f>
        <v>0</v>
      </c>
      <c r="AJ9" s="253">
        <f>IFERROR(MROUND(SUMIF('Factory Log'!$K:$K,"*7pass*",'Factory Log'!$D:$D)/Summary!$K9,0.0001),0)</f>
        <v>0</v>
      </c>
      <c r="AK9" s="254">
        <f>IFERROR(MROUND(SUM(SUMIF('Factory Log'!$K:$K,"*8pass*",'Factory Log'!$D:$D)+SUMIF('Factory Log'!$K:$K,"*8colour H*",'Factory Log'!$D:$D)+SUMIF('Factory Log'!$K:$K,"*4-Col*",'Factory Log'!$D:$D))/$K9,0.0001),0)+0.001</f>
        <v>8.030000000000001E-2</v>
      </c>
    </row>
    <row r="10" spans="1:37" s="10" customFormat="1" ht="20" customHeight="1" x14ac:dyDescent="0.2">
      <c r="A10" s="166" t="s">
        <v>134</v>
      </c>
      <c r="B10" s="167">
        <f>IFERROR(MIN(D10*F10,1),0)</f>
        <v>0.30723423522613363</v>
      </c>
      <c r="C10" s="168">
        <f>IFERROR(MIN(E10*F10,1),0)</f>
        <v>0.47191178530734129</v>
      </c>
      <c r="D10" s="196">
        <f t="shared" ref="D10:D11" si="5">IFERROR(SUM(K10:M10)/H10,0)</f>
        <v>0.31979166666666664</v>
      </c>
      <c r="E10" s="197">
        <f t="shared" ref="E10:E11" si="6">IFERROR(SUM(K10:M10)/I10,0)</f>
        <v>0.49119999999999997</v>
      </c>
      <c r="F10" s="185">
        <f t="shared" ref="F10:F11" si="7">IFERROR(V10/W10,0)</f>
        <v>0.96073246194491313</v>
      </c>
      <c r="G10" s="206">
        <f t="shared" ref="G10" si="8">IFERROR(MIN(X10/Y10,1),0)</f>
        <v>0</v>
      </c>
      <c r="H10" s="17">
        <f>H46</f>
        <v>96</v>
      </c>
      <c r="I10" s="175">
        <f t="shared" ref="I10:W10" si="9">I46</f>
        <v>62.5</v>
      </c>
      <c r="J10" s="245">
        <f t="shared" si="9"/>
        <v>96</v>
      </c>
      <c r="K10" s="189">
        <f t="shared" si="9"/>
        <v>30.7</v>
      </c>
      <c r="L10" s="181">
        <f t="shared" si="9"/>
        <v>0</v>
      </c>
      <c r="M10" s="190">
        <f t="shared" si="9"/>
        <v>0</v>
      </c>
      <c r="N10" s="183">
        <f t="shared" si="9"/>
        <v>33.5</v>
      </c>
      <c r="O10" s="181">
        <f t="shared" si="9"/>
        <v>16.8</v>
      </c>
      <c r="P10" s="181">
        <f t="shared" si="9"/>
        <v>0</v>
      </c>
      <c r="Q10" s="182">
        <f t="shared" si="9"/>
        <v>3</v>
      </c>
      <c r="R10" s="183">
        <f t="shared" si="9"/>
        <v>0</v>
      </c>
      <c r="S10" s="181">
        <f t="shared" si="9"/>
        <v>12</v>
      </c>
      <c r="T10" s="182">
        <f t="shared" si="9"/>
        <v>0</v>
      </c>
      <c r="U10" s="33">
        <f t="shared" si="9"/>
        <v>9795</v>
      </c>
      <c r="V10" s="26">
        <f t="shared" si="9"/>
        <v>29.494486581552252</v>
      </c>
      <c r="W10" s="26">
        <f t="shared" si="9"/>
        <v>30.699999999837019</v>
      </c>
      <c r="X10" s="204">
        <v>0</v>
      </c>
      <c r="Y10" s="204">
        <v>0</v>
      </c>
      <c r="Z10" s="204">
        <v>0</v>
      </c>
      <c r="AA10" s="204">
        <v>0</v>
      </c>
      <c r="AB10" s="204">
        <v>0</v>
      </c>
    </row>
    <row r="11" spans="1:37" s="10" customFormat="1" ht="20" customHeight="1" thickBot="1" x14ac:dyDescent="0.25">
      <c r="A11" s="166" t="s">
        <v>135</v>
      </c>
      <c r="B11" s="167">
        <f t="shared" ref="B11" si="10">IFERROR(MIN(D11*F11*G11,1),0)</f>
        <v>0.23443847602298507</v>
      </c>
      <c r="C11" s="168">
        <f t="shared" ref="C11" si="11">IFERROR(MIN(E11*F11*G11,1),0)</f>
        <v>0.33691757033243364</v>
      </c>
      <c r="D11" s="198">
        <f t="shared" si="5"/>
        <v>0.34527777777777779</v>
      </c>
      <c r="E11" s="199">
        <f t="shared" si="6"/>
        <v>0.49620758483033939</v>
      </c>
      <c r="F11" s="185">
        <f t="shared" si="7"/>
        <v>0.69131578072775435</v>
      </c>
      <c r="G11" s="20">
        <f t="shared" si="1"/>
        <v>0.98216350123864571</v>
      </c>
      <c r="H11" s="17">
        <f>SUM(H9:H10)</f>
        <v>360</v>
      </c>
      <c r="I11" s="175">
        <f t="shared" ref="I11:AB11" si="12">SUM(I9:I10)</f>
        <v>250.5</v>
      </c>
      <c r="J11" s="245">
        <f t="shared" si="12"/>
        <v>360</v>
      </c>
      <c r="K11" s="191">
        <f t="shared" si="12"/>
        <v>109.7</v>
      </c>
      <c r="L11" s="192">
        <f t="shared" si="12"/>
        <v>14.600000000000003</v>
      </c>
      <c r="M11" s="193">
        <f t="shared" si="12"/>
        <v>0</v>
      </c>
      <c r="N11" s="184">
        <f t="shared" si="12"/>
        <v>109.5</v>
      </c>
      <c r="O11" s="92">
        <f t="shared" si="12"/>
        <v>65.2</v>
      </c>
      <c r="P11" s="92">
        <f t="shared" si="12"/>
        <v>3.5</v>
      </c>
      <c r="Q11" s="93">
        <f t="shared" si="12"/>
        <v>30.4</v>
      </c>
      <c r="R11" s="184">
        <f t="shared" si="12"/>
        <v>4.5</v>
      </c>
      <c r="S11" s="92">
        <f t="shared" si="12"/>
        <v>20.5</v>
      </c>
      <c r="T11" s="93">
        <f t="shared" si="12"/>
        <v>2.1</v>
      </c>
      <c r="U11" s="33">
        <f t="shared" si="12"/>
        <v>35355</v>
      </c>
      <c r="V11" s="26">
        <f t="shared" si="12"/>
        <v>85.872941896031008</v>
      </c>
      <c r="W11" s="26">
        <f t="shared" si="12"/>
        <v>124.21666666661622</v>
      </c>
      <c r="X11" s="22">
        <f>SUM(X9:X10)</f>
        <v>11894</v>
      </c>
      <c r="Y11" s="22">
        <f t="shared" si="12"/>
        <v>12110</v>
      </c>
      <c r="Z11" s="207">
        <f>COUNTA(Milestones!C:C)-1</f>
        <v>40</v>
      </c>
      <c r="AA11" s="207">
        <f>COUNTIF(Milestones!Z:Z,"Late")</f>
        <v>0</v>
      </c>
      <c r="AB11" s="27">
        <f t="shared" si="12"/>
        <v>1</v>
      </c>
    </row>
    <row r="12" spans="1:37" ht="20" customHeight="1" thickTop="1" thickBot="1" x14ac:dyDescent="0.25">
      <c r="A12" s="34"/>
      <c r="J12" s="246"/>
    </row>
    <row r="13" spans="1:37" ht="20" customHeight="1" thickBot="1" x14ac:dyDescent="0.25">
      <c r="G13" s="7"/>
      <c r="J13" s="246"/>
      <c r="K13" s="271" t="s">
        <v>26</v>
      </c>
      <c r="L13" s="272"/>
      <c r="M13" s="272"/>
      <c r="N13" s="272"/>
      <c r="O13" s="272"/>
      <c r="P13" s="272"/>
      <c r="Q13" s="272"/>
      <c r="R13" s="272"/>
      <c r="S13" s="272"/>
      <c r="T13" s="273"/>
      <c r="AA13" s="8"/>
      <c r="AB13" s="8"/>
      <c r="AC13" s="8"/>
      <c r="AD13" s="9"/>
    </row>
    <row r="14" spans="1:37" ht="20" customHeight="1" thickBot="1" x14ac:dyDescent="0.25">
      <c r="I14" s="123"/>
      <c r="J14" s="122" t="s">
        <v>88</v>
      </c>
      <c r="K14" s="274" t="s">
        <v>140</v>
      </c>
      <c r="L14" s="275"/>
      <c r="M14" s="276"/>
      <c r="N14" s="277" t="s">
        <v>141</v>
      </c>
      <c r="O14" s="278"/>
      <c r="P14" s="278"/>
      <c r="Q14" s="279"/>
      <c r="R14" s="278" t="s">
        <v>142</v>
      </c>
      <c r="S14" s="278"/>
      <c r="T14" s="279"/>
      <c r="U14" s="10"/>
      <c r="V14" s="10"/>
      <c r="W14" s="10"/>
      <c r="X14" s="10"/>
      <c r="Y14" s="10"/>
      <c r="Z14" s="10"/>
      <c r="AA14" s="10"/>
      <c r="AB14" s="10"/>
      <c r="AC14" s="10"/>
      <c r="AD14" s="11"/>
      <c r="AE14" s="11"/>
      <c r="AF14" s="11"/>
      <c r="AG14" s="11"/>
    </row>
    <row r="15" spans="1:37" ht="65" thickBot="1" x14ac:dyDescent="0.25">
      <c r="A15" s="164" t="s">
        <v>55</v>
      </c>
      <c r="B15" s="165" t="s">
        <v>27</v>
      </c>
      <c r="C15" s="165" t="s">
        <v>28</v>
      </c>
      <c r="D15" s="95" t="s">
        <v>29</v>
      </c>
      <c r="E15" s="169" t="s">
        <v>30</v>
      </c>
      <c r="F15" s="23" t="s">
        <v>39</v>
      </c>
      <c r="G15" s="18" t="s">
        <v>40</v>
      </c>
      <c r="H15" s="15" t="s">
        <v>31</v>
      </c>
      <c r="I15" s="173" t="s">
        <v>32</v>
      </c>
      <c r="J15" s="120"/>
      <c r="K15" s="83" t="s">
        <v>43</v>
      </c>
      <c r="L15" s="82" t="s">
        <v>44</v>
      </c>
      <c r="M15" s="179" t="s">
        <v>45</v>
      </c>
      <c r="N15" s="88" t="s">
        <v>89</v>
      </c>
      <c r="O15" s="12" t="s">
        <v>46</v>
      </c>
      <c r="P15" s="12" t="s">
        <v>47</v>
      </c>
      <c r="Q15" s="89" t="s">
        <v>115</v>
      </c>
      <c r="R15" s="88" t="s">
        <v>116</v>
      </c>
      <c r="S15" s="12" t="s">
        <v>33</v>
      </c>
      <c r="T15" s="89" t="s">
        <v>34</v>
      </c>
      <c r="U15" s="28" t="s">
        <v>35</v>
      </c>
      <c r="V15" s="200" t="s">
        <v>139</v>
      </c>
      <c r="W15" s="24" t="s">
        <v>82</v>
      </c>
      <c r="X15" s="18" t="s">
        <v>41</v>
      </c>
      <c r="Y15" s="18" t="s">
        <v>42</v>
      </c>
      <c r="Z15" s="12" t="s">
        <v>36</v>
      </c>
      <c r="AA15" s="12" t="s">
        <v>37</v>
      </c>
      <c r="AB15" s="12" t="s">
        <v>38</v>
      </c>
      <c r="AD15" s="213" t="s">
        <v>197</v>
      </c>
      <c r="AE15" s="214" t="s">
        <v>198</v>
      </c>
      <c r="AF15" s="215" t="s">
        <v>154</v>
      </c>
      <c r="AG15" s="214" t="s">
        <v>199</v>
      </c>
      <c r="AH15" s="214" t="s">
        <v>158</v>
      </c>
      <c r="AI15" s="215" t="s">
        <v>157</v>
      </c>
      <c r="AJ15" s="235" t="s">
        <v>178</v>
      </c>
      <c r="AK15" s="236" t="s">
        <v>179</v>
      </c>
    </row>
    <row r="16" spans="1:37" ht="20" customHeight="1" thickTop="1" x14ac:dyDescent="0.2">
      <c r="A16" s="166" t="s">
        <v>17</v>
      </c>
      <c r="B16" s="167">
        <f>IFERROR(MIN(D16*F16*G16,1),0)</f>
        <v>0</v>
      </c>
      <c r="C16" s="168">
        <f>IFERROR(MIN(E16*F16*G16,1),0)</f>
        <v>0</v>
      </c>
      <c r="D16" s="262">
        <f>IFERROR(SUM(K16:M16)/H16,0)</f>
        <v>0</v>
      </c>
      <c r="E16" s="263">
        <f>IFERROR(SUM(K16:M16)/I16,0)</f>
        <v>0</v>
      </c>
      <c r="F16" s="94">
        <f t="shared" ref="F16:F19" si="13">IFERROR(V16/W16,0)</f>
        <v>0</v>
      </c>
      <c r="G16" s="19">
        <f>IFERROR(MIN(X16/Y16,1),0)</f>
        <v>0</v>
      </c>
      <c r="H16" s="16">
        <f>24*$D$5</f>
        <v>24</v>
      </c>
      <c r="I16" s="174">
        <f>$D$3-N16</f>
        <v>24</v>
      </c>
      <c r="J16" s="121">
        <f>SUM(K16:T16)</f>
        <v>24</v>
      </c>
      <c r="K16" s="99">
        <f>MROUND(SUMIFS('Factory Log'!$D:$D,'Factory Log'!$B:$B,Summary!$A16,'Factory Log'!$C:$C,"Running"),0.1)</f>
        <v>0</v>
      </c>
      <c r="L16" s="100">
        <f>MROUND(SUMIFS('Factory Log'!$D:$D,'Factory Log'!$B:$B,Summary!$A16,'Factory Log'!$C:$C,"Make Ready"),0.1)</f>
        <v>0</v>
      </c>
      <c r="M16" s="101">
        <f>MROUND(SUMIFS('Factory Log'!$D:$D,'Factory Log'!$B:$B,Summary!$A16,'Factory Log'!$C:$C,"Roll Change"),0.1)</f>
        <v>0</v>
      </c>
      <c r="N16" s="31">
        <f>MROUND(SUMIFS('Factory Log'!$D:$D,'Factory Log'!$B:$B,Summary!$A16,'Factory Log'!$C:$C,"Not Planned"),0.1)</f>
        <v>0</v>
      </c>
      <c r="O16" s="30">
        <f>MROUND(SUMIFS('Factory Log'!$D:$D,'Factory Log'!$B:$B,Summary!$A16,'Factory Log'!$C:$C,"No Work"),0.1)</f>
        <v>0</v>
      </c>
      <c r="P16" s="30">
        <f>MROUND(SUMIFS('Factory Log'!$D:$D,'Factory Log'!$B:$B,Summary!$A16,'Factory Log'!$C:$C,"Break"),0.1)</f>
        <v>0</v>
      </c>
      <c r="Q16" s="90">
        <f>MROUND(SUMIFS('Factory Log'!$D:$D,'Factory Log'!$B:$B,Summary!$A16,'Factory Log'!$C:$C,"Maintenance"),0.1)</f>
        <v>24</v>
      </c>
      <c r="R16" s="84">
        <f>MROUND(SUMIFS('Factory Log'!$D:$D,'Factory Log'!$B:$B,Summary!$A16,'Factory Log'!$C:$C,"Planned But No Operator"),0.1)</f>
        <v>0</v>
      </c>
      <c r="S16" s="30">
        <f>MROUND(SUMIFS('Factory Log'!$D:$D,'Factory Log'!$B:$B,Summary!$A16,'Factory Log'!$C:$C,"Breakdown")+SUMIFS('Factory Log'!$D:$D,'Factory Log'!$B:$B,Summary!$A16,'Factory Log'!$C:$C,"Repair In Progress"),0.1)</f>
        <v>0</v>
      </c>
      <c r="T16" s="85">
        <f>MROUND(SUMIFS('Factory Log'!$D:$D,'Factory Log'!$B:$B,Summary!$A16,'Factory Log'!$C:$C,"Job Card Error")+SUMIFS('Factory Log'!$D:$D,'Factory Log'!$B:$B,Summary!$A16,'Factory Log'!$C:$C,"Artwork Issue")+SUMIFS('Factory Log'!$D:$D,'Factory Log'!$B:$B,Summary!$A16,'Factory Log'!$C:$C,"IT Issue")+SUMIFS('Factory Log'!$D:$D,'Factory Log'!$B:$B,Summary!$A16,'Factory Log'!$C:$C,"Quality Issue")+SUMIFS('Factory Log'!$D:$D,'Factory Log'!$B:$B,Summary!$A16,'Factory Log'!$C:$C,"Material Issue")+SUMIFS('Factory Log'!$D:$D,'Factory Log'!$B:$B,Summary!$A16,'Factory Log'!$C:$C,"Operator Training"),0.1)</f>
        <v>0</v>
      </c>
      <c r="U16" s="32">
        <f>150*SUM(N16:T16)</f>
        <v>3600</v>
      </c>
      <c r="V16" s="25">
        <f>SUMIF(Performance!$A:$A,"&lt;&gt;338733.03",Performance!J:J)</f>
        <v>0</v>
      </c>
      <c r="W16" s="25">
        <f>SUMIF(Performance!$A:$A,"&lt;&gt;338733.03",Performance!E:E)</f>
        <v>0</v>
      </c>
      <c r="X16" s="21">
        <f>SUMIFS('Material Issued'!$F:$F,'Material Issued'!$B:$B,"5",'Material Issued'!$K:$K,Summary!$A16)-SUMIFS('Material Issued'!$F:$F,'Material Issued'!$B:$B,"8",'Material Issued'!$K:$K,Summary!$A16)</f>
        <v>0</v>
      </c>
      <c r="Y16" s="21">
        <f>SUMIFS('Material Issued'!$F:$F,'Material Issued'!$B:$B,"6",'Material Issued'!$K:$K,Summary!$A16)</f>
        <v>0</v>
      </c>
      <c r="Z16" s="13">
        <f>COUNTIF(Milestones!$Y:$Y,Summary!$A16)</f>
        <v>2</v>
      </c>
      <c r="AA16" s="13">
        <f>COUNTIFS(Milestones!$Y:$Y,Summary!$A16,Milestones!$Z:$Z,"Late")</f>
        <v>0</v>
      </c>
      <c r="AB16" s="27">
        <f>IFERROR(SUM(Z16-AA16)/Z16,0)</f>
        <v>1</v>
      </c>
      <c r="AD16" s="255">
        <f>IFERROR(MROUND(SUM(SUMIFS('Factory Log'!$D:$D,'Factory Log'!$B:$B,Summary!$A16,'Factory Log'!$K:$K,"*1pass*")/$K16),0.0001),0)</f>
        <v>0</v>
      </c>
      <c r="AE16" s="256">
        <f>IFERROR(MROUND(SUM(SUMIFS('Factory Log'!$D:$D,'Factory Log'!$B:$B,Summary!$A16,'Factory Log'!$K:$K,"*2pass*")/$K16),0.0001),0)</f>
        <v>0</v>
      </c>
      <c r="AF16" s="256">
        <f>IFERROR(MROUND(SUM(SUMIFS('Factory Log'!$D:$D,'Factory Log'!$B:$B,Summary!$A16,'Factory Log'!$K:$K,"*3pass*")/$K16),0.0001),0)</f>
        <v>0</v>
      </c>
      <c r="AG16" s="256">
        <f>IFERROR(MROUND(SUM(SUMIFS('Factory Log'!$D:$D,'Factory Log'!$B:$B,Summary!$A16,'Factory Log'!$K:$K,"*4pass*")/$K16),0.0001),0)</f>
        <v>0</v>
      </c>
      <c r="AH16" s="256">
        <f>IFERROR(MROUND(SUM(SUMIFS('Factory Log'!$D:$D,'Factory Log'!$B:$B,Summary!$A16,'Factory Log'!$K:$K,"*5pass*")/$K16),0.0001),0)</f>
        <v>0</v>
      </c>
      <c r="AI16" s="256">
        <f>IFERROR(MROUND(SUM(SUMIFS('Factory Log'!$D:$D,'Factory Log'!$B:$B,Summary!$A16,'Factory Log'!$K:$K,"*6pass*")/$K16),0.0001),0)</f>
        <v>0</v>
      </c>
      <c r="AJ16" s="204">
        <v>0</v>
      </c>
      <c r="AK16" s="237">
        <v>0</v>
      </c>
    </row>
    <row r="17" spans="1:37" ht="20" customHeight="1" x14ac:dyDescent="0.2">
      <c r="A17" s="166" t="s">
        <v>25</v>
      </c>
      <c r="B17" s="167">
        <f t="shared" ref="B17:B18" si="14">IFERROR(MIN(D17*F17*G17,1),0)</f>
        <v>0.13593805694896696</v>
      </c>
      <c r="C17" s="168">
        <f t="shared" ref="C17:C18" si="15">IFERROR(MIN(E17*F17*G17,1),0)</f>
        <v>0.13593805694896696</v>
      </c>
      <c r="D17" s="97">
        <f t="shared" ref="D17:D19" si="16">IFERROR(SUM(K17:M17)/H17,0)</f>
        <v>0.18750000000000003</v>
      </c>
      <c r="E17" s="170">
        <f t="shared" ref="E17:E19" si="17">IFERROR(SUM(K17:M17)/I17,0)</f>
        <v>0.18750000000000003</v>
      </c>
      <c r="F17" s="94">
        <f t="shared" si="13"/>
        <v>0.73906319707046519</v>
      </c>
      <c r="G17" s="19">
        <f t="shared" ref="G17:G19" si="18">IFERROR(MIN(X17/Y17,1),0)</f>
        <v>0.98097560975609754</v>
      </c>
      <c r="H17" s="16">
        <f>24*$D$5</f>
        <v>24</v>
      </c>
      <c r="I17" s="174">
        <f>$D$3-N17</f>
        <v>24</v>
      </c>
      <c r="J17" s="121">
        <f>SUM(K17:T17)</f>
        <v>24.000000000000004</v>
      </c>
      <c r="K17" s="102">
        <f>MROUND(SUMIFS('Factory Log'!$D:$D,'Factory Log'!$B:$B,Summary!$A17,'Factory Log'!$C:$C,"Running"),0.1)</f>
        <v>4.1000000000000005</v>
      </c>
      <c r="L17" s="29">
        <f>MROUND(SUMIFS('Factory Log'!$D:$D,'Factory Log'!$B:$B,Summary!$A17,'Factory Log'!$C:$C,"Make Ready"),0.1)+0.1</f>
        <v>0.4</v>
      </c>
      <c r="M17" s="103">
        <f>MROUND(SUMIFS('Factory Log'!$D:$D,'Factory Log'!$B:$B,Summary!$A17,'Factory Log'!$C:$C,"Roll Change"),0.1)</f>
        <v>0</v>
      </c>
      <c r="N17" s="31">
        <f>MROUND(SUMIFS('Factory Log'!$D:$D,'Factory Log'!$B:$B,Summary!$A17,'Factory Log'!$C:$C,"Not Planned"),0.1)</f>
        <v>0</v>
      </c>
      <c r="O17" s="30">
        <f>MROUND(SUMIFS('Factory Log'!$D:$D,'Factory Log'!$B:$B,Summary!$A17,'Factory Log'!$C:$C,"No Work"),0.1)</f>
        <v>14.9</v>
      </c>
      <c r="P17" s="30">
        <f>MROUND(SUMIFS('Factory Log'!$D:$D,'Factory Log'!$B:$B,Summary!$A17,'Factory Log'!$C:$C,"Break"),0.1)</f>
        <v>1</v>
      </c>
      <c r="Q17" s="90">
        <f>MROUND(SUMIFS('Factory Log'!$D:$D,'Factory Log'!$B:$B,Summary!$A17,'Factory Log'!$C:$C,"Maintenance"),0.1)</f>
        <v>0</v>
      </c>
      <c r="R17" s="84">
        <f>MROUND(SUMIFS('Factory Log'!$D:$D,'Factory Log'!$B:$B,Summary!$A17,'Factory Log'!$C:$C,"Planned But No Operator"),0.1)</f>
        <v>3.6</v>
      </c>
      <c r="S17" s="30">
        <f>MROUND(SUMIFS('Factory Log'!$D:$D,'Factory Log'!$B:$B,Summary!$A17,'Factory Log'!$C:$C,"Breakdown")+SUMIFS('Factory Log'!$D:$D,'Factory Log'!$B:$B,Summary!$A17,'Factory Log'!$C:$C,"Repair In Progress"),0.1)</f>
        <v>0</v>
      </c>
      <c r="T17" s="85">
        <f>MROUND(SUMIFS('Factory Log'!$D:$D,'Factory Log'!$B:$B,Summary!$A17,'Factory Log'!$C:$C,"Job Card Error")+SUMIFS('Factory Log'!$D:$D,'Factory Log'!$B:$B,Summary!$A17,'Factory Log'!$C:$C,"Artwork Issue")+SUMIFS('Factory Log'!$D:$D,'Factory Log'!$B:$B,Summary!$A17,'Factory Log'!$C:$C,"IT Issue")+SUMIFS('Factory Log'!$D:$D,'Factory Log'!$B:$B,Summary!$A17,'Factory Log'!$C:$C,"Quality Issue")+SUMIFS('Factory Log'!$D:$D,'Factory Log'!$B:$B,Summary!$A17,'Factory Log'!$C:$C,"Material Issue")+SUMIFS('Factory Log'!$D:$D,'Factory Log'!$B:$B,Summary!$A17,'Factory Log'!$C:$C,"Operator Training"),0.1)</f>
        <v>0</v>
      </c>
      <c r="U17" s="32">
        <f>150*SUM(N17:T17)</f>
        <v>2925</v>
      </c>
      <c r="V17" s="25">
        <f>SUMIF(Performance!$W:$W,"&lt;&gt;338733.06",Performance!AF:AF)</f>
        <v>3.3134666668257675</v>
      </c>
      <c r="W17" s="25">
        <f>SUMIF(Performance!$W:$W,"&lt;&gt;338733.06",Performance!AA:AA)</f>
        <v>4.4833333332790062</v>
      </c>
      <c r="X17" s="21">
        <f>SUMIFS('Material Issued'!$F:$F,'Material Issued'!$B:$B,"5",'Material Issued'!$K:$K,Summary!$A17)-SUMIFS('Material Issued'!$F:$F,'Material Issued'!$B:$B,"8",'Material Issued'!$K:$K,Summary!$A17)</f>
        <v>4022</v>
      </c>
      <c r="Y17" s="21">
        <f>SUMIFS('Material Issued'!$F:$F,'Material Issued'!$B:$B,"6",'Material Issued'!$K:$K,Summary!$A17)</f>
        <v>4100</v>
      </c>
      <c r="Z17" s="13">
        <f>COUNTIF(Milestones!$Y:$Y,Summary!$A17)</f>
        <v>1</v>
      </c>
      <c r="AA17" s="13">
        <f>COUNTIFS(Milestones!$Y:$Y,Summary!$A17,Milestones!$Z:$Z,"Late")</f>
        <v>0</v>
      </c>
      <c r="AB17" s="27">
        <f t="shared" ref="AB17:AB19" si="19">IFERROR(SUM(Z17-AA17)/Z17,0)</f>
        <v>1</v>
      </c>
      <c r="AD17" s="255">
        <f>IFERROR(MROUND(SUM(SUMIFS('Factory Log'!$D:$D,'Factory Log'!$B:$B,Summary!$A17,'Factory Log'!$K:$K,"*Run Outdoor*")/$K17),0.0001),0)</f>
        <v>0</v>
      </c>
      <c r="AE17" s="256">
        <v>1</v>
      </c>
      <c r="AF17" s="204">
        <v>0</v>
      </c>
      <c r="AG17" s="256">
        <f>IFERROR(MROUND(SUM(SUMIFS('Factory Log'!$D:$D,'Factory Log'!$B:$B,Summary!$A17,'Factory Log'!$K:$K,"*Run POP*")/$K17),0.0001),0)</f>
        <v>0</v>
      </c>
      <c r="AH17" s="256">
        <f>IFERROR(MROUND(SUM(SUMIFS('Factory Log'!$D:$D,'Factory Log'!$B:$B,Summary!$A17,'Factory Log'!$K:$K,"*High Quality*")/$K17),0.0001),0)</f>
        <v>0</v>
      </c>
      <c r="AI17" s="204">
        <v>0</v>
      </c>
      <c r="AJ17" s="204">
        <v>0</v>
      </c>
      <c r="AK17" s="237">
        <v>0</v>
      </c>
    </row>
    <row r="18" spans="1:37" ht="20" customHeight="1" thickBot="1" x14ac:dyDescent="0.25">
      <c r="A18" s="166" t="s">
        <v>24</v>
      </c>
      <c r="B18" s="167">
        <f t="shared" si="14"/>
        <v>5.1306358140368387E-2</v>
      </c>
      <c r="C18" s="168">
        <f t="shared" si="15"/>
        <v>0.10261271628073677</v>
      </c>
      <c r="D18" s="98">
        <f t="shared" si="16"/>
        <v>0.25833333333333336</v>
      </c>
      <c r="E18" s="171">
        <f t="shared" si="17"/>
        <v>0.51666666666666672</v>
      </c>
      <c r="F18" s="94">
        <f t="shared" si="13"/>
        <v>0.20380434782325016</v>
      </c>
      <c r="G18" s="19">
        <f t="shared" si="18"/>
        <v>0.97448979591836737</v>
      </c>
      <c r="H18" s="16">
        <f>24*$D$5</f>
        <v>24</v>
      </c>
      <c r="I18" s="174">
        <f t="shared" ref="I18" si="20">$D$3-N18</f>
        <v>12</v>
      </c>
      <c r="J18" s="121">
        <f>SUM(K18:T18)</f>
        <v>24</v>
      </c>
      <c r="K18" s="104">
        <f>MROUND(SUMIFS('Factory Log'!$D:$D,'Factory Log'!$B:$B,Summary!$A18,'Factory Log'!$C:$C,"Running"),0.1)</f>
        <v>1</v>
      </c>
      <c r="L18" s="105">
        <f>MROUND(SUMIFS('Factory Log'!$D:$D,'Factory Log'!$B:$B,Summary!$A18,'Factory Log'!$C:$C,"Make Ready"),0.1)+0.1</f>
        <v>5.2</v>
      </c>
      <c r="M18" s="106">
        <f>MROUND(SUMIFS('Factory Log'!$D:$D,'Factory Log'!$B:$B,Summary!$A18,'Factory Log'!$C:$C,"Roll Change"),0.1)</f>
        <v>0</v>
      </c>
      <c r="N18" s="31">
        <f>MROUND(SUMIFS('Factory Log'!$D:$D,'Factory Log'!$B:$B,Summary!$A18,'Factory Log'!$C:$C,"Not Planned"),0.1)</f>
        <v>12</v>
      </c>
      <c r="O18" s="30">
        <f>MROUND(SUMIFS('Factory Log'!$D:$D,'Factory Log'!$B:$B,Summary!$A18,'Factory Log'!$C:$C,"No Work"),0.1)</f>
        <v>4.3</v>
      </c>
      <c r="P18" s="30">
        <f>MROUND(SUMIFS('Factory Log'!$D:$D,'Factory Log'!$B:$B,Summary!$A18,'Factory Log'!$C:$C,"Break"),0.1)</f>
        <v>0</v>
      </c>
      <c r="Q18" s="90">
        <f>MROUND(SUMIFS('Factory Log'!$D:$D,'Factory Log'!$B:$B,Summary!$A18,'Factory Log'!$C:$C,"Maintenance"),0.1)</f>
        <v>1.5</v>
      </c>
      <c r="R18" s="84">
        <f>MROUND(SUMIFS('Factory Log'!$D:$D,'Factory Log'!$B:$B,Summary!$A18,'Factory Log'!$C:$C,"Planned But No Operator"),0.1)</f>
        <v>0</v>
      </c>
      <c r="S18" s="30">
        <f>MROUND(SUMIFS('Factory Log'!$D:$D,'Factory Log'!$B:$B,Summary!$A18,'Factory Log'!$C:$C,"Breakdown")+SUMIFS('Factory Log'!$D:$D,'Factory Log'!$B:$B,Summary!$A18,'Factory Log'!$C:$C,"Repair In Progress"),0.1)</f>
        <v>0</v>
      </c>
      <c r="T18" s="85">
        <f>MROUND(SUMIFS('Factory Log'!$D:$D,'Factory Log'!$B:$B,Summary!$A18,'Factory Log'!$C:$C,"Job Card Error")+SUMIFS('Factory Log'!$D:$D,'Factory Log'!$B:$B,Summary!$A18,'Factory Log'!$C:$C,"Artwork Issue")+SUMIFS('Factory Log'!$D:$D,'Factory Log'!$B:$B,Summary!$A18,'Factory Log'!$C:$C,"IT Issue")+SUMIFS('Factory Log'!$D:$D,'Factory Log'!$B:$B,Summary!$A18,'Factory Log'!$C:$C,"Quality Issue")+SUMIFS('Factory Log'!$D:$D,'Factory Log'!$B:$B,Summary!$A18,'Factory Log'!$C:$C,"Material Issue")+SUMIFS('Factory Log'!$D:$D,'Factory Log'!$B:$B,Summary!$A18,'Factory Log'!$C:$C,"Operator Training"),0.1)</f>
        <v>0</v>
      </c>
      <c r="U18" s="32">
        <f>150*SUM(N18:T18)</f>
        <v>2670</v>
      </c>
      <c r="V18" s="25">
        <f>SUMIF(Performance!$L:$L,"&lt;&gt;338733.17",Performance!U:U)</f>
        <v>1.25</v>
      </c>
      <c r="W18" s="25">
        <f>SUMIF(Performance!$L:$L,"&lt;&gt;338733.17",Performance!P:P)</f>
        <v>6.1333333334187046</v>
      </c>
      <c r="X18" s="21">
        <f>SUMIFS('Material Issued'!$F:$F,'Material Issued'!$B:$B,"5",'Material Issued'!$K:$K,Summary!$A18)-SUMIFS('Material Issued'!$F:$F,'Material Issued'!$B:$B,"8",'Material Issued'!$K:$K,Summary!$A18)</f>
        <v>2292</v>
      </c>
      <c r="Y18" s="21">
        <f>SUMIFS('Material Issued'!$F:$F,'Material Issued'!$B:$B,"6",'Material Issued'!$K:$K,Summary!$A18)</f>
        <v>2352</v>
      </c>
      <c r="Z18" s="13">
        <f>COUNTIF(Milestones!$Y:$Y,Summary!$A18)</f>
        <v>6</v>
      </c>
      <c r="AA18" s="13">
        <f>COUNTIFS(Milestones!$Y:$Y,Summary!$A18,Milestones!$Z:$Z,"Late")</f>
        <v>0</v>
      </c>
      <c r="AB18" s="27">
        <f t="shared" si="19"/>
        <v>1</v>
      </c>
      <c r="AD18" s="255">
        <f>IFERROR(MROUND(SUM(SUMIFS('Factory Log'!$D:$D,'Factory Log'!$B:$B,Summary!$A18,'Factory Log'!$K:$K,"*1pass*")/$K18),0.0001),0)</f>
        <v>0</v>
      </c>
      <c r="AE18" s="256">
        <v>1</v>
      </c>
      <c r="AF18" s="256">
        <f>IFERROR(MROUND(SUM(SUMIFS('Factory Log'!$D:$D,'Factory Log'!$B:$B,Summary!$A18,'Factory Log'!$K:$K,"*3pass*")/$K18),0.0001),0)</f>
        <v>0</v>
      </c>
      <c r="AG18" s="256">
        <f>IFERROR(MROUND(SUM(SUMIFS('Factory Log'!$D:$D,'Factory Log'!$B:$B,Summary!$A18,'Factory Log'!$K:$K,"*4pass*")/$K18),0.0001),0)</f>
        <v>0</v>
      </c>
      <c r="AH18" s="256">
        <f>IFERROR(MROUND(SUM(SUMIFS('Factory Log'!$D:$D,'Factory Log'!$B:$B,Summary!$A18,'Factory Log'!$K:$K,"*5pass*")/$K18),0.0001),0)</f>
        <v>0</v>
      </c>
      <c r="AI18" s="256">
        <f>IFERROR(MROUND(SUM(SUMIFS('Factory Log'!$D:$D,'Factory Log'!$B:$B,Summary!$A18,'Factory Log'!$K:$K,"*6pass*")/$K18),0.0001),0)</f>
        <v>0</v>
      </c>
      <c r="AJ18" s="204">
        <v>0</v>
      </c>
      <c r="AK18" s="237">
        <v>0</v>
      </c>
    </row>
    <row r="19" spans="1:37" s="10" customFormat="1" ht="20" customHeight="1" thickTop="1" thickBot="1" x14ac:dyDescent="0.25">
      <c r="A19" s="166" t="s">
        <v>125</v>
      </c>
      <c r="B19" s="167">
        <f>IFERROR(MIN(D19*F19*G19,1),0)</f>
        <v>6.2512691904707166E-2</v>
      </c>
      <c r="C19" s="167">
        <f t="shared" ref="C19" si="21">IFERROR(MIN(E19*F19*G19,1),0)</f>
        <v>7.501523028564859E-2</v>
      </c>
      <c r="D19" s="96">
        <f t="shared" si="16"/>
        <v>0.14861111111111114</v>
      </c>
      <c r="E19" s="172">
        <f t="shared" si="17"/>
        <v>0.17833333333333334</v>
      </c>
      <c r="F19" s="185">
        <f t="shared" si="13"/>
        <v>0.42983987442503208</v>
      </c>
      <c r="G19" s="20">
        <f t="shared" si="18"/>
        <v>0.97861128332300062</v>
      </c>
      <c r="H19" s="17">
        <f>SUM(H16:H18)</f>
        <v>72</v>
      </c>
      <c r="I19" s="175">
        <f>SUM(I16:I18)</f>
        <v>60</v>
      </c>
      <c r="J19" s="244">
        <f>SUM(J16:J18)</f>
        <v>72</v>
      </c>
      <c r="K19" s="86">
        <f>SUM(K16:K18)</f>
        <v>5.1000000000000005</v>
      </c>
      <c r="L19" s="87">
        <f>SUM(L16:L18)</f>
        <v>5.6000000000000005</v>
      </c>
      <c r="M19" s="180">
        <f t="shared" ref="M19:T19" si="22">SUM(M16:M18)</f>
        <v>0</v>
      </c>
      <c r="N19" s="91">
        <f t="shared" si="22"/>
        <v>12</v>
      </c>
      <c r="O19" s="92">
        <f t="shared" si="22"/>
        <v>19.2</v>
      </c>
      <c r="P19" s="92">
        <f t="shared" si="22"/>
        <v>1</v>
      </c>
      <c r="Q19" s="93">
        <f>SUM(Q16:Q18)</f>
        <v>25.5</v>
      </c>
      <c r="R19" s="91">
        <f t="shared" si="22"/>
        <v>3.6</v>
      </c>
      <c r="S19" s="92">
        <f t="shared" si="22"/>
        <v>0</v>
      </c>
      <c r="T19" s="93">
        <f t="shared" si="22"/>
        <v>0</v>
      </c>
      <c r="U19" s="33">
        <f t="shared" ref="U19:AA19" si="23">SUM(U16:U18)</f>
        <v>9195</v>
      </c>
      <c r="V19" s="26">
        <f t="shared" si="23"/>
        <v>4.563466666825768</v>
      </c>
      <c r="W19" s="26">
        <f t="shared" si="23"/>
        <v>10.616666666697711</v>
      </c>
      <c r="X19" s="22">
        <f t="shared" si="23"/>
        <v>6314</v>
      </c>
      <c r="Y19" s="22">
        <f t="shared" si="23"/>
        <v>6452</v>
      </c>
      <c r="Z19" s="14">
        <f t="shared" si="23"/>
        <v>9</v>
      </c>
      <c r="AA19" s="14">
        <f t="shared" si="23"/>
        <v>0</v>
      </c>
      <c r="AB19" s="27">
        <f t="shared" si="19"/>
        <v>1</v>
      </c>
      <c r="AD19" s="257">
        <f>IFERROR(MROUND(SUM(SUMIFS('Factory Log'!$D:$D,'Factory Log'!$B:$B,Summary!$A16,'Factory Log'!$K:$K,"*1pass*")+SUMIFS('Factory Log'!$D:$D,'Factory Log'!$B:$B,Summary!$A17,'Factory Log'!$K:$K,"*Run Outdoor*")+SUMIFS('Factory Log'!$D:$D,'Factory Log'!$B:$B,Summary!$A18,'Factory Log'!$K:$K,"*1pass*"))/$K19,0.0001),0)</f>
        <v>0</v>
      </c>
      <c r="AE19" s="258">
        <v>1</v>
      </c>
      <c r="AF19" s="258">
        <f>IFERROR(MROUND(SUM(SUMIFS('Factory Log'!$D:$D,'Factory Log'!$B:$B,Summary!$A16,'Factory Log'!$K:$K,"*3pass*")+SUMIFS('Factory Log'!$D:$D,'Factory Log'!$B:$B,Summary!$A17,'Factory Log'!$K:$K,"*3pass*")+SUMIFS('Factory Log'!$D:$D,'Factory Log'!$B:$B,Summary!$A18,'Factory Log'!$K:$K,"*3pass*"))/$K19,0.0001),0)</f>
        <v>0</v>
      </c>
      <c r="AG19" s="258">
        <f>IFERROR(MROUND(SUM(SUMIFS('Factory Log'!$D:$D,'Factory Log'!$B:$B,Summary!$A16,'Factory Log'!$K:$K,"*4pass*")+SUMIFS('Factory Log'!$D:$D,'Factory Log'!$B:$B,Summary!$A17,'Factory Log'!$K:$K,"*Run POP*")+SUMIFS('Factory Log'!$D:$D,'Factory Log'!$B:$B,Summary!$A18,'Factory Log'!$K:$K,"*4pass*"))/$K19,0.0001),0)</f>
        <v>0</v>
      </c>
      <c r="AH19" s="258">
        <f>IFERROR(MROUND(SUM(SUMIFS('Factory Log'!$D:$D,'Factory Log'!$B:$B,Summary!$A16,'Factory Log'!$K:$K,"*5pass*")+SUMIFS('Factory Log'!$D:$D,'Factory Log'!$B:$B,Summary!$A17,'Factory Log'!$K:$K,"*High Quality*")+SUMIFS('Factory Log'!$D:$D,'Factory Log'!$B:$B,Summary!$A18,'Factory Log'!$K:$K,"*5pass*"))/$K19,0.0001),0)</f>
        <v>0</v>
      </c>
      <c r="AI19" s="258">
        <f>IFERROR(MROUND(SUM(SUMIFS('Factory Log'!$D:$D,'Factory Log'!$B:$B,Summary!$A16,'Factory Log'!$K:$K,"*6pass*")+SUMIFS('Factory Log'!$D:$D,'Factory Log'!$B:$B,Summary!$A17,'Factory Log'!$K:$K,"*6pass*")+SUMIFS('Factory Log'!$D:$D,'Factory Log'!$B:$B,Summary!$A18,'Factory Log'!$K:$K,"*6pass*"))/$K19,0.0001),0)</f>
        <v>0</v>
      </c>
      <c r="AJ19" s="238">
        <v>0</v>
      </c>
      <c r="AK19" s="239">
        <v>0</v>
      </c>
    </row>
    <row r="20" spans="1:37" ht="16" customHeight="1" thickBot="1" x14ac:dyDescent="0.25">
      <c r="A20" s="40"/>
      <c r="B20" s="44"/>
      <c r="C20" s="44"/>
      <c r="D20" s="44"/>
      <c r="E20" s="44"/>
      <c r="F20" s="44"/>
      <c r="G20" s="44"/>
      <c r="H20" s="44"/>
      <c r="I20" s="44"/>
      <c r="J20" s="176"/>
      <c r="K20" s="5"/>
      <c r="L20" s="5"/>
      <c r="M20" s="5"/>
      <c r="N20" s="5"/>
      <c r="O20" s="5"/>
      <c r="P20" s="5"/>
      <c r="Q20" s="5"/>
      <c r="R20" s="5"/>
    </row>
    <row r="21" spans="1:37" ht="20" customHeight="1" thickBot="1" x14ac:dyDescent="0.25">
      <c r="A21" s="41"/>
      <c r="B21" s="44"/>
      <c r="C21" s="44"/>
      <c r="D21" s="44"/>
      <c r="E21" s="44"/>
      <c r="F21" s="44"/>
      <c r="G21" s="44"/>
      <c r="H21" s="44"/>
      <c r="I21" s="44"/>
      <c r="J21" s="176"/>
      <c r="K21" s="280" t="s">
        <v>26</v>
      </c>
      <c r="L21" s="281"/>
      <c r="M21" s="281"/>
      <c r="N21" s="281"/>
      <c r="O21" s="281"/>
      <c r="P21" s="281"/>
      <c r="Q21" s="281"/>
      <c r="R21" s="281"/>
      <c r="S21" s="281"/>
      <c r="T21" s="282"/>
      <c r="AA21" s="8"/>
      <c r="AB21" s="8"/>
      <c r="AC21" s="8"/>
      <c r="AD21" s="9"/>
      <c r="AE21" s="9"/>
    </row>
    <row r="22" spans="1:37" ht="20" customHeight="1" thickBot="1" x14ac:dyDescent="0.25">
      <c r="I22" s="123"/>
      <c r="J22" s="122" t="s">
        <v>88</v>
      </c>
      <c r="K22" s="274" t="s">
        <v>140</v>
      </c>
      <c r="L22" s="275"/>
      <c r="M22" s="276"/>
      <c r="N22" s="277" t="s">
        <v>141</v>
      </c>
      <c r="O22" s="278"/>
      <c r="P22" s="278"/>
      <c r="Q22" s="279"/>
      <c r="R22" s="278" t="s">
        <v>142</v>
      </c>
      <c r="S22" s="278"/>
      <c r="T22" s="279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</row>
    <row r="23" spans="1:37" ht="61" thickBot="1" x14ac:dyDescent="0.25">
      <c r="A23" s="164" t="s">
        <v>56</v>
      </c>
      <c r="B23" s="165" t="s">
        <v>27</v>
      </c>
      <c r="C23" s="165" t="s">
        <v>28</v>
      </c>
      <c r="D23" s="95" t="s">
        <v>29</v>
      </c>
      <c r="E23" s="169" t="s">
        <v>30</v>
      </c>
      <c r="F23" s="23" t="s">
        <v>39</v>
      </c>
      <c r="G23" s="18" t="s">
        <v>40</v>
      </c>
      <c r="H23" s="15" t="s">
        <v>31</v>
      </c>
      <c r="I23" s="173" t="s">
        <v>32</v>
      </c>
      <c r="J23" s="120"/>
      <c r="K23" s="83" t="s">
        <v>43</v>
      </c>
      <c r="L23" s="82" t="s">
        <v>44</v>
      </c>
      <c r="M23" s="179" t="s">
        <v>45</v>
      </c>
      <c r="N23" s="88" t="s">
        <v>89</v>
      </c>
      <c r="O23" s="12" t="s">
        <v>46</v>
      </c>
      <c r="P23" s="12" t="s">
        <v>47</v>
      </c>
      <c r="Q23" s="89" t="s">
        <v>115</v>
      </c>
      <c r="R23" s="88" t="s">
        <v>116</v>
      </c>
      <c r="S23" s="12" t="s">
        <v>33</v>
      </c>
      <c r="T23" s="89" t="s">
        <v>34</v>
      </c>
      <c r="U23" s="28" t="s">
        <v>35</v>
      </c>
      <c r="V23" s="200" t="s">
        <v>139</v>
      </c>
      <c r="W23" s="24" t="s">
        <v>82</v>
      </c>
      <c r="X23" s="18" t="s">
        <v>41</v>
      </c>
      <c r="Y23" s="18" t="s">
        <v>42</v>
      </c>
      <c r="Z23" s="12" t="s">
        <v>36</v>
      </c>
      <c r="AA23" s="12" t="s">
        <v>37</v>
      </c>
      <c r="AB23" s="12" t="s">
        <v>38</v>
      </c>
      <c r="AD23" s="216" t="s">
        <v>152</v>
      </c>
      <c r="AE23" s="215" t="s">
        <v>153</v>
      </c>
      <c r="AF23" s="215" t="s">
        <v>154</v>
      </c>
      <c r="AG23" s="215" t="s">
        <v>155</v>
      </c>
      <c r="AH23" s="215" t="s">
        <v>156</v>
      </c>
      <c r="AI23" s="215" t="s">
        <v>157</v>
      </c>
      <c r="AJ23" s="235" t="s">
        <v>178</v>
      </c>
      <c r="AK23" s="236" t="s">
        <v>179</v>
      </c>
    </row>
    <row r="24" spans="1:37" ht="20" customHeight="1" thickTop="1" x14ac:dyDescent="0.2">
      <c r="A24" s="166" t="s">
        <v>57</v>
      </c>
      <c r="B24" s="167">
        <f>IFERROR(MIN(D24*F24*G24,1),0)</f>
        <v>0.47428074642090629</v>
      </c>
      <c r="C24" s="168">
        <f>IFERROR(MIN(E24*F24*G24,1),0)</f>
        <v>0.47428074642090629</v>
      </c>
      <c r="D24" s="262">
        <f>IFERROR(SUM(K24:M24)/H24,0)</f>
        <v>0.84166666666666667</v>
      </c>
      <c r="E24" s="263">
        <f>IFERROR(SUM(K24:M24)/I24,0)</f>
        <v>0.84166666666666667</v>
      </c>
      <c r="F24" s="94">
        <f t="shared" ref="F24:F28" si="24">IFERROR(V24/W24,0)</f>
        <v>0.57547680211572161</v>
      </c>
      <c r="G24" s="19">
        <f>IFERROR(MIN(X24/Y24,1),0)</f>
        <v>0.97919129817923856</v>
      </c>
      <c r="H24" s="16">
        <f>24*$D$5</f>
        <v>24</v>
      </c>
      <c r="I24" s="174">
        <f>$D$3-N24</f>
        <v>24</v>
      </c>
      <c r="J24" s="121">
        <f>SUM(K24:T24)</f>
        <v>24</v>
      </c>
      <c r="K24" s="99">
        <f>MROUND(SUMIFS('Factory Log'!$D:$D,'Factory Log'!$B:$B,Summary!$A24,'Factory Log'!$C:$C,"Running"),0.1)</f>
        <v>18.5</v>
      </c>
      <c r="L24" s="100">
        <f>MROUND(SUMIFS('Factory Log'!$D:$D,'Factory Log'!$B:$B,Summary!$A24,'Factory Log'!$C:$C,"Make Ready"),0.1)-0.2</f>
        <v>1.7000000000000002</v>
      </c>
      <c r="M24" s="101">
        <f>MROUND(SUMIFS('Factory Log'!$D:$D,'Factory Log'!$B:$B,Summary!$A24,'Factory Log'!$C:$C,"Roll Change"),0.1)</f>
        <v>0</v>
      </c>
      <c r="N24" s="31">
        <f>MROUND(SUMIFS('Factory Log'!$D:$D,'Factory Log'!$B:$B,Summary!$A24,'Factory Log'!$C:$C,"Not Planned"),0.1)</f>
        <v>0</v>
      </c>
      <c r="O24" s="30">
        <f>MROUND(SUMIFS('Factory Log'!$D:$D,'Factory Log'!$B:$B,Summary!$A24,'Factory Log'!$C:$C,"No Work"),0.1)</f>
        <v>0</v>
      </c>
      <c r="P24" s="30">
        <f>MROUND(SUMIFS('Factory Log'!$D:$D,'Factory Log'!$B:$B,Summary!$A24,'Factory Log'!$C:$C,"Break"),0.1)</f>
        <v>1.8</v>
      </c>
      <c r="Q24" s="90">
        <f>MROUND(SUMIFS('Factory Log'!$D:$D,'Factory Log'!$B:$B,Summary!$A24,'Factory Log'!$C:$C,"Maintenance"),0.1)</f>
        <v>0.30000000000000004</v>
      </c>
      <c r="R24" s="84">
        <f>MROUND(SUMIFS('Factory Log'!$D:$D,'Factory Log'!$B:$B,Summary!$A24,'Factory Log'!$C:$C,"Planned But No Operator"),0.1)</f>
        <v>0</v>
      </c>
      <c r="S24" s="30">
        <f>MROUND(SUMIFS('Factory Log'!$D:$D,'Factory Log'!$B:$B,Summary!$A24,'Factory Log'!$C:$C,"Breakdown")+SUMIFS('Factory Log'!$D:$D,'Factory Log'!$B:$B,Summary!$A24,'Factory Log'!$C:$C,"Repair In Progress"),0.1)</f>
        <v>0</v>
      </c>
      <c r="T24" s="85">
        <f>MROUND(SUMIFS('Factory Log'!$D:$D,'Factory Log'!$B:$B,Summary!$A24,'Factory Log'!$C:$C,"Job Card Error")+SUMIFS('Factory Log'!$D:$D,'Factory Log'!$B:$B,Summary!$A24,'Factory Log'!$C:$C,"Artwork Issue")+SUMIFS('Factory Log'!$D:$D,'Factory Log'!$B:$B,Summary!$A24,'Factory Log'!$C:$C,"IT Issue")+SUMIFS('Factory Log'!$D:$D,'Factory Log'!$B:$B,Summary!$A24,'Factory Log'!$C:$C,"Quality Issue")+SUMIFS('Factory Log'!$D:$D,'Factory Log'!$B:$B,Summary!$A24,'Factory Log'!$C:$C,"Material Issue")+SUMIFS('Factory Log'!$D:$D,'Factory Log'!$B:$B,Summary!$A24,'Factory Log'!$C:$C,"Operator Training"),0.1)</f>
        <v>1.7000000000000002</v>
      </c>
      <c r="U24" s="32">
        <f>150*SUM(N24:T24)</f>
        <v>570</v>
      </c>
      <c r="V24" s="25">
        <f>SUMIF(Performance!$AH:$AH,"&lt;&gt;338733.01",Performance!AQ:AQ)</f>
        <v>11.720544203208553</v>
      </c>
      <c r="W24" s="25">
        <f>SUMIF(Performance!$AH:$AH,"&lt;&gt;338733.01",Performance!AL:AL)</f>
        <v>20.366666666872334</v>
      </c>
      <c r="X24" s="21">
        <f>SUMIFS('Material Issued'!$F:$F,'Material Issued'!$B:$B,"5",'Material Issued'!$K:$K,Summary!$A24)-SUMIFS('Material Issued'!$F:$F,'Material Issued'!$B:$B,"8",'Material Issued'!$K:$K,Summary!$A24)</f>
        <v>4141</v>
      </c>
      <c r="Y24" s="21">
        <f>SUMIFS('Material Issued'!$F:$F,'Material Issued'!$B:$B,"6",'Material Issued'!$K:$K,Summary!$A24)</f>
        <v>4229</v>
      </c>
      <c r="Z24" s="13">
        <f>COUNTIF(Milestones!$Y:$Y,Summary!$A24)</f>
        <v>0</v>
      </c>
      <c r="AA24" s="13">
        <f>COUNTIFS(Milestones!$Y:$Y,Summary!$A24,Milestones!$Z:$Z,"Late")</f>
        <v>0</v>
      </c>
      <c r="AB24" s="27">
        <f>IFERROR(SUM(Z24-AA24)/Z24,0)</f>
        <v>0</v>
      </c>
      <c r="AD24" s="255">
        <f>IFERROR(MROUND(SUM(SUMIFS('Factory Log'!$D:$D,'Factory Log'!$B:$B,Summary!$A24,'Factory Log'!$K:$K,"*1pass*")/$K24),0.0001),0)</f>
        <v>0</v>
      </c>
      <c r="AE24" s="256">
        <f>IFERROR(MROUND(SUM(SUMIFS('Factory Log'!$D:$D,'Factory Log'!$B:$B,Summary!$A24,'Factory Log'!$K:$K,"*2pass*")/$K24),0.0001),0)</f>
        <v>0</v>
      </c>
      <c r="AF24" s="256">
        <v>1</v>
      </c>
      <c r="AG24" s="256">
        <f>IFERROR(MROUND(SUM(SUMIFS('Factory Log'!$D:$D,'Factory Log'!$B:$B,Summary!$A24,'Factory Log'!$K:$K,"*4pass*")/$K24),0.0001),0)</f>
        <v>0</v>
      </c>
      <c r="AH24" s="256">
        <f>IFERROR(MROUND(SUM(SUMIFS('Factory Log'!$D:$D,'Factory Log'!$B:$B,Summary!$A24,'Factory Log'!$K:$K,"*5pass*")/$K24),0.0001),0)</f>
        <v>0</v>
      </c>
      <c r="AI24" s="256">
        <f>IFERROR(MROUND(SUM(SUMIFS('Factory Log'!$D:$D,'Factory Log'!$B:$B,Summary!$A24,'Factory Log'!$K:$K,"*6pass*")/$K24),0.0001),0)</f>
        <v>0</v>
      </c>
      <c r="AJ24" s="204">
        <v>0</v>
      </c>
      <c r="AK24" s="237">
        <v>0</v>
      </c>
    </row>
    <row r="25" spans="1:37" ht="20" customHeight="1" x14ac:dyDescent="0.2">
      <c r="A25" s="166" t="s">
        <v>58</v>
      </c>
      <c r="B25" s="167">
        <f t="shared" ref="B25:B27" si="25">IFERROR(MIN(D25*F25*G25,1),0)</f>
        <v>0.7014159203419289</v>
      </c>
      <c r="C25" s="168">
        <f t="shared" ref="C25:C27" si="26">IFERROR(MIN(E25*F25*G25,1),0)</f>
        <v>0.7014159203419289</v>
      </c>
      <c r="D25" s="97">
        <f t="shared" ref="D25" si="27">IFERROR(SUM(K25:M25)/H25,0)</f>
        <v>0.9916666666666667</v>
      </c>
      <c r="E25" s="170">
        <f t="shared" ref="E25" si="28">IFERROR(SUM(K25:M25)/I25,0)</f>
        <v>0.9916666666666667</v>
      </c>
      <c r="F25" s="94">
        <f t="shared" si="24"/>
        <v>0.72296192478416488</v>
      </c>
      <c r="G25" s="19">
        <f t="shared" ref="G25:G28" si="29">IFERROR(MIN(X25/Y25,1),0)</f>
        <v>0.97835051546391749</v>
      </c>
      <c r="H25" s="16">
        <f>24*$D$5</f>
        <v>24</v>
      </c>
      <c r="I25" s="174">
        <f t="shared" ref="I25:I26" si="30">$D$3-N25</f>
        <v>24</v>
      </c>
      <c r="J25" s="121">
        <f>SUM(K25:T25)</f>
        <v>24</v>
      </c>
      <c r="K25" s="102">
        <f>MROUND(SUMIFS('Factory Log'!$D:$D,'Factory Log'!$B:$B,Summary!$A25,'Factory Log'!$C:$C,"Running"),0.1)</f>
        <v>23.8</v>
      </c>
      <c r="L25" s="29">
        <f>MROUND(SUMIFS('Factory Log'!$D:$D,'Factory Log'!$B:$B,Summary!$A25,'Factory Log'!$C:$C,"Make Ready"),0.1)</f>
        <v>0</v>
      </c>
      <c r="M25" s="103">
        <f>MROUND(SUMIFS('Factory Log'!$D:$D,'Factory Log'!$B:$B,Summary!$A25,'Factory Log'!$C:$C,"Roll Change"),0.1)</f>
        <v>0</v>
      </c>
      <c r="N25" s="31">
        <f>MROUND(SUMIFS('Factory Log'!$D:$D,'Factory Log'!$B:$B,Summary!$A25,'Factory Log'!$C:$C,"Not Planned"),0.1)</f>
        <v>0</v>
      </c>
      <c r="O25" s="30">
        <f>MROUND(SUMIFS('Factory Log'!$D:$D,'Factory Log'!$B:$B,Summary!$A25,'Factory Log'!$C:$C,"No Work"),0.1)</f>
        <v>0</v>
      </c>
      <c r="P25" s="30">
        <f>MROUND(SUMIFS('Factory Log'!$D:$D,'Factory Log'!$B:$B,Summary!$A25,'Factory Log'!$C:$C,"Break"),0.1)</f>
        <v>0</v>
      </c>
      <c r="Q25" s="90">
        <f>MROUND(SUMIFS('Factory Log'!$D:$D,'Factory Log'!$B:$B,Summary!$A25,'Factory Log'!$C:$C,"Maintenance"),0.1)</f>
        <v>0.2</v>
      </c>
      <c r="R25" s="84">
        <f>MROUND(SUMIFS('Factory Log'!$D:$D,'Factory Log'!$B:$B,Summary!$A25,'Factory Log'!$C:$C,"Planned But No Operator"),0.1)</f>
        <v>0</v>
      </c>
      <c r="S25" s="30">
        <f>MROUND(SUMIFS('Factory Log'!$D:$D,'Factory Log'!$B:$B,Summary!$A25,'Factory Log'!$C:$C,"Breakdown")+SUMIFS('Factory Log'!$D:$D,'Factory Log'!$B:$B,Summary!$A25,'Factory Log'!$C:$C,"Repair In Progress"),0.1)</f>
        <v>0</v>
      </c>
      <c r="T25" s="85">
        <f>MROUND(SUMIFS('Factory Log'!$D:$D,'Factory Log'!$B:$B,Summary!$A25,'Factory Log'!$C:$C,"Job Card Error")+SUMIFS('Factory Log'!$D:$D,'Factory Log'!$B:$B,Summary!$A25,'Factory Log'!$C:$C,"Artwork Issue")+SUMIFS('Factory Log'!$D:$D,'Factory Log'!$B:$B,Summary!$A25,'Factory Log'!$C:$C,"IT Issue")+SUMIFS('Factory Log'!$D:$D,'Factory Log'!$B:$B,Summary!$A25,'Factory Log'!$C:$C,"Quality Issue")+SUMIFS('Factory Log'!$D:$D,'Factory Log'!$B:$B,Summary!$A25,'Factory Log'!$C:$C,"Material Issue")+SUMIFS('Factory Log'!$D:$D,'Factory Log'!$B:$B,Summary!$A25,'Factory Log'!$C:$C,"Operator Training"),0.1)</f>
        <v>0</v>
      </c>
      <c r="U25" s="32">
        <f>150*SUM(N25:T25)</f>
        <v>30</v>
      </c>
      <c r="V25" s="25">
        <f>SUMIF(Performance!$AS:$AS,"&lt;&gt;338733.02",Performance!BB:BB)</f>
        <v>17.194444444444443</v>
      </c>
      <c r="W25" s="25">
        <f>SUMIF(Performance!$AS:$AS,"&lt;&gt;338733.02",Performance!AW:AW)</f>
        <v>23.783333333325572</v>
      </c>
      <c r="X25" s="21">
        <f>SUMIFS('Material Issued'!$F:$F,'Material Issued'!$B:$B,"5",'Material Issued'!$K:$K,Summary!$A25)-SUMIFS('Material Issued'!$F:$F,'Material Issued'!$B:$B,"8",'Material Issued'!$K:$K,Summary!$A25)</f>
        <v>949</v>
      </c>
      <c r="Y25" s="21">
        <f>SUMIFS('Material Issued'!$F:$F,'Material Issued'!$B:$B,"6",'Material Issued'!$K:$K,Summary!$A25)</f>
        <v>970</v>
      </c>
      <c r="Z25" s="13">
        <f>COUNTIF(Milestones!$Y:$Y,Summary!$A25)</f>
        <v>1</v>
      </c>
      <c r="AA25" s="13">
        <f>COUNTIFS(Milestones!$Y:$Y,Summary!$A25,Milestones!$Z:$Z,"Late")</f>
        <v>0</v>
      </c>
      <c r="AB25" s="27">
        <f t="shared" ref="AB25:AB28" si="31">IFERROR(SUM(Z25-AA25)/Z25,0)</f>
        <v>1</v>
      </c>
      <c r="AD25" s="255">
        <f>IFERROR(MROUND(SUM(SUMIFS('Factory Log'!$D:$D,'Factory Log'!$B:$B,Summary!$A25,'Factory Log'!$K:$K,"*1pass*")/$K25),0.0001),0)</f>
        <v>0</v>
      </c>
      <c r="AE25" s="256">
        <f>IFERROR(MROUND(SUM(SUMIFS('Factory Log'!$D:$D,'Factory Log'!$B:$B,Summary!$A25,'Factory Log'!$K:$K,"*2pass*")/$K25),0.0001),0)</f>
        <v>0.13170000000000001</v>
      </c>
      <c r="AF25" s="256">
        <f>IFERROR(MROUND(SUM(SUMIFS('Factory Log'!$D:$D,'Factory Log'!$B:$B,Summary!$A25,'Factory Log'!$K:$K,"*3pass*")/$K25),0.0001),0)</f>
        <v>0</v>
      </c>
      <c r="AG25" s="256">
        <f>IFERROR(MROUND(SUM(SUMIFS('Factory Log'!$D:$D,'Factory Log'!$B:$B,Summary!$A25,'Factory Log'!$K:$K,"*4pass*")/$K25),0.0001),0)+0.001</f>
        <v>0.8679</v>
      </c>
      <c r="AH25" s="256">
        <f>IFERROR(MROUND(SUM(SUMIFS('Factory Log'!$D:$D,'Factory Log'!$B:$B,Summary!$A25,'Factory Log'!$K:$K,"*5pass*")/$K25),0.0001),0)</f>
        <v>0</v>
      </c>
      <c r="AI25" s="256">
        <f>IFERROR(MROUND(SUM(SUMIFS('Factory Log'!$D:$D,'Factory Log'!$B:$B,Summary!$A25,'Factory Log'!$K:$K,"*6pass*")/$K25),0.0001),0)</f>
        <v>0</v>
      </c>
      <c r="AJ25" s="204">
        <v>0</v>
      </c>
      <c r="AK25" s="237">
        <v>0</v>
      </c>
    </row>
    <row r="26" spans="1:37" ht="20" customHeight="1" x14ac:dyDescent="0.2">
      <c r="A26" s="166" t="s">
        <v>59</v>
      </c>
      <c r="B26" s="167">
        <f t="shared" si="25"/>
        <v>0.33480175047985661</v>
      </c>
      <c r="C26" s="168">
        <f t="shared" si="26"/>
        <v>0.33480175047985661</v>
      </c>
      <c r="D26" s="97">
        <f t="shared" ref="D26:D28" si="32">IFERROR(SUM(K26:M26)/H26,0)</f>
        <v>0.63750000000000007</v>
      </c>
      <c r="E26" s="170">
        <f t="shared" ref="E26:E28" si="33">IFERROR(SUM(K26:M26)/I26,0)</f>
        <v>0.63750000000000007</v>
      </c>
      <c r="F26" s="94">
        <f t="shared" si="24"/>
        <v>0.54360655736667463</v>
      </c>
      <c r="G26" s="19">
        <f t="shared" si="29"/>
        <v>0.96610169491525422</v>
      </c>
      <c r="H26" s="16">
        <f>24*$D$5</f>
        <v>24</v>
      </c>
      <c r="I26" s="174">
        <f t="shared" si="30"/>
        <v>24</v>
      </c>
      <c r="J26" s="121">
        <f>SUM(K26:T26)</f>
        <v>24</v>
      </c>
      <c r="K26" s="102">
        <f>MROUND(SUMIFS('Factory Log'!$D:$D,'Factory Log'!$B:$B,Summary!$A26,'Factory Log'!$C:$C,"Running"),0.1)</f>
        <v>10.600000000000001</v>
      </c>
      <c r="L26" s="29">
        <f>MROUND(SUMIFS('Factory Log'!$D:$D,'Factory Log'!$B:$B,Summary!$A26,'Factory Log'!$C:$C,"Make Ready"),0.1)</f>
        <v>4.7</v>
      </c>
      <c r="M26" s="103">
        <f>MROUND(SUMIFS('Factory Log'!$D:$D,'Factory Log'!$B:$B,Summary!$A26,'Factory Log'!$C:$C,"Roll Change"),0.1)</f>
        <v>0</v>
      </c>
      <c r="N26" s="31">
        <f>MROUND(SUMIFS('Factory Log'!$D:$D,'Factory Log'!$B:$B,Summary!$A26,'Factory Log'!$C:$C,"Not Planned"),0.1)</f>
        <v>0</v>
      </c>
      <c r="O26" s="30">
        <f>MROUND(SUMIFS('Factory Log'!$D:$D,'Factory Log'!$B:$B,Summary!$A26,'Factory Log'!$C:$C,"No Work"),0.1)</f>
        <v>4.8000000000000007</v>
      </c>
      <c r="P26" s="30">
        <f>MROUND(SUMIFS('Factory Log'!$D:$D,'Factory Log'!$B:$B,Summary!$A26,'Factory Log'!$C:$C,"Break"),0.1)</f>
        <v>0</v>
      </c>
      <c r="Q26" s="90">
        <f>MROUND(SUMIFS('Factory Log'!$D:$D,'Factory Log'!$B:$B,Summary!$A26,'Factory Log'!$C:$C,"Maintenance"),0.1)</f>
        <v>1</v>
      </c>
      <c r="R26" s="84">
        <f>MROUND(SUMIFS('Factory Log'!$D:$D,'Factory Log'!$B:$B,Summary!$A26,'Factory Log'!$C:$C,"Planned But No Operator"),0.1)</f>
        <v>0</v>
      </c>
      <c r="S26" s="30">
        <f>MROUND(SUMIFS('Factory Log'!$D:$D,'Factory Log'!$B:$B,Summary!$A26,'Factory Log'!$C:$C,"Breakdown")+SUMIFS('Factory Log'!$D:$D,'Factory Log'!$B:$B,Summary!$A26,'Factory Log'!$C:$C,"Repair In Progress"),0.1)</f>
        <v>2.5</v>
      </c>
      <c r="T26" s="85">
        <f>MROUND(SUMIFS('Factory Log'!$D:$D,'Factory Log'!$B:$B,Summary!$A26,'Factory Log'!$C:$C,"Job Card Error")+SUMIFS('Factory Log'!$D:$D,'Factory Log'!$B:$B,Summary!$A26,'Factory Log'!$C:$C,"Artwork Issue")+SUMIFS('Factory Log'!$D:$D,'Factory Log'!$B:$B,Summary!$A26,'Factory Log'!$C:$C,"IT Issue")+SUMIFS('Factory Log'!$D:$D,'Factory Log'!$B:$B,Summary!$A26,'Factory Log'!$C:$C,"Quality Issue")+SUMIFS('Factory Log'!$D:$D,'Factory Log'!$B:$B,Summary!$A26,'Factory Log'!$C:$C,"Material Issue")+SUMIFS('Factory Log'!$D:$D,'Factory Log'!$B:$B,Summary!$A26,'Factory Log'!$C:$C,"Operator Training"),0.1)</f>
        <v>0.4</v>
      </c>
      <c r="U26" s="32">
        <f>150*SUM(N26:T26)</f>
        <v>1305.0000000000002</v>
      </c>
      <c r="V26" s="25">
        <f>SUMIF(Performance!$BD:$BD,"&lt;&gt;338733.04",Performance!BM:BM)</f>
        <v>8.2899999999999991</v>
      </c>
      <c r="W26" s="25">
        <f>SUMIF(Performance!$BD:$BD,"&lt;&gt;338733.04",Performance!BH:BH)</f>
        <v>15.250000000291038</v>
      </c>
      <c r="X26" s="21">
        <f>SUMIFS('Material Issued'!$F:$F,'Material Issued'!$B:$B,"5",'Material Issued'!$K:$K,Summary!$A26)-SUMIFS('Material Issued'!$F:$F,'Material Issued'!$B:$B,"8",'Material Issued'!$K:$K,Summary!$A26)</f>
        <v>171</v>
      </c>
      <c r="Y26" s="21">
        <f>SUMIFS('Material Issued'!$F:$F,'Material Issued'!$B:$B,"6",'Material Issued'!$K:$K,Summary!$A26)</f>
        <v>177</v>
      </c>
      <c r="Z26" s="13">
        <f>COUNTIF(Milestones!$Y:$Y,Summary!$A26)</f>
        <v>3</v>
      </c>
      <c r="AA26" s="13">
        <f>COUNTIFS(Milestones!$Y:$Y,Summary!$A26,Milestones!$Z:$Z,"Late")</f>
        <v>0</v>
      </c>
      <c r="AB26" s="27">
        <f t="shared" si="31"/>
        <v>1</v>
      </c>
      <c r="AD26" s="255">
        <f>IFERROR(MROUND(SUM(SUMIFS('Factory Log'!$D:$D,'Factory Log'!$B:$B,Summary!$A26,'Factory Log'!$K:$K,"*1pass*")/$K26),0.0001),0)</f>
        <v>0</v>
      </c>
      <c r="AE26" s="256">
        <f>IFERROR(MROUND(SUM(SUMIFS('Factory Log'!$D:$D,'Factory Log'!$B:$B,Summary!$A26,'Factory Log'!$K:$K,"*2pass*")/$K26),0.0001),0)</f>
        <v>0</v>
      </c>
      <c r="AF26" s="256">
        <f>IFERROR(MROUND(SUM(SUMIFS('Factory Log'!$D:$D,'Factory Log'!$B:$B,Summary!$A26,'Factory Log'!$K:$K,"*3pass*")/$K26),0.0001),0)</f>
        <v>0</v>
      </c>
      <c r="AG26" s="256">
        <v>1</v>
      </c>
      <c r="AH26" s="256">
        <f>IFERROR(MROUND(SUM(SUMIFS('Factory Log'!$D:$D,'Factory Log'!$B:$B,Summary!$A26,'Factory Log'!$K:$K,"*5pass*")/$K26),0.0001),0)</f>
        <v>0</v>
      </c>
      <c r="AI26" s="256">
        <f>IFERROR(MROUND(SUM(SUMIFS('Factory Log'!$D:$D,'Factory Log'!$B:$B,Summary!$A26,'Factory Log'!$K:$K,"*6pass*")/$K26),0.0001),0)</f>
        <v>0</v>
      </c>
      <c r="AJ26" s="204">
        <v>0</v>
      </c>
      <c r="AK26" s="237">
        <v>0</v>
      </c>
    </row>
    <row r="27" spans="1:37" ht="20" customHeight="1" thickBot="1" x14ac:dyDescent="0.25">
      <c r="A27" s="166" t="s">
        <v>60</v>
      </c>
      <c r="B27" s="167">
        <f t="shared" si="25"/>
        <v>0.25789473684612746</v>
      </c>
      <c r="C27" s="168">
        <f t="shared" si="26"/>
        <v>0.25789473684612746</v>
      </c>
      <c r="D27" s="98">
        <f t="shared" si="32"/>
        <v>0.4375</v>
      </c>
      <c r="E27" s="171">
        <f t="shared" si="33"/>
        <v>0.4375</v>
      </c>
      <c r="F27" s="94">
        <f t="shared" si="24"/>
        <v>0.58947368421971991</v>
      </c>
      <c r="G27" s="19">
        <f t="shared" si="29"/>
        <v>1</v>
      </c>
      <c r="H27" s="16">
        <f>24*$D$5</f>
        <v>24</v>
      </c>
      <c r="I27" s="174">
        <f>$D$3-N27</f>
        <v>24</v>
      </c>
      <c r="J27" s="121">
        <f>SUM(K27:T27)</f>
        <v>24</v>
      </c>
      <c r="K27" s="104">
        <f>MROUND(SUMIFS('Factory Log'!$D:$D,'Factory Log'!$B:$B,Summary!$A27,'Factory Log'!$C:$C,"Running"),0.1)</f>
        <v>8.3000000000000007</v>
      </c>
      <c r="L27" s="105">
        <f>MROUND(SUMIFS('Factory Log'!$D:$D,'Factory Log'!$B:$B,Summary!$A27,'Factory Log'!$C:$C,"Make Ready"),0.1)+0.1</f>
        <v>2.2000000000000002</v>
      </c>
      <c r="M27" s="106">
        <f>MROUND(SUMIFS('Factory Log'!$D:$D,'Factory Log'!$B:$B,Summary!$A27,'Factory Log'!$C:$C,"Roll Change"),0.1)</f>
        <v>0</v>
      </c>
      <c r="N27" s="31">
        <f>MROUND(SUMIFS('Factory Log'!$D:$D,'Factory Log'!$B:$B,Summary!$A27,'Factory Log'!$C:$C,"Not Planned"),0.1)</f>
        <v>0</v>
      </c>
      <c r="O27" s="30">
        <f>MROUND(SUMIFS('Factory Log'!$D:$D,'Factory Log'!$B:$B,Summary!$A27,'Factory Log'!$C:$C,"No Work"),0.1)</f>
        <v>7.1000000000000005</v>
      </c>
      <c r="P27" s="30">
        <f>MROUND(SUMIFS('Factory Log'!$D:$D,'Factory Log'!$B:$B,Summary!$A27,'Factory Log'!$C:$C,"Break"),0.1)</f>
        <v>0</v>
      </c>
      <c r="Q27" s="90">
        <f>MROUND(SUMIFS('Factory Log'!$D:$D,'Factory Log'!$B:$B,Summary!$A27,'Factory Log'!$C:$C,"Maintenance"),0.1)</f>
        <v>0.4</v>
      </c>
      <c r="R27" s="84">
        <f>MROUND(SUMIFS('Factory Log'!$D:$D,'Factory Log'!$B:$B,Summary!$A27,'Factory Log'!$C:$C,"Planned But No Operator"),0.1)</f>
        <v>0</v>
      </c>
      <c r="S27" s="30">
        <f>MROUND(SUMIFS('Factory Log'!$D:$D,'Factory Log'!$B:$B,Summary!$A27,'Factory Log'!$C:$C,"Breakdown")+SUMIFS('Factory Log'!$D:$D,'Factory Log'!$B:$B,Summary!$A27,'Factory Log'!$C:$C,"Repair In Progress"),0.1)</f>
        <v>6</v>
      </c>
      <c r="T27" s="85">
        <f>MROUND(SUMIFS('Factory Log'!$D:$D,'Factory Log'!$B:$B,Summary!$A27,'Factory Log'!$C:$C,"Job Card Error")+SUMIFS('Factory Log'!$D:$D,'Factory Log'!$B:$B,Summary!$A27,'Factory Log'!$C:$C,"Artwork Issue")+SUMIFS('Factory Log'!$D:$D,'Factory Log'!$B:$B,Summary!$A27,'Factory Log'!$C:$C,"IT Issue")+SUMIFS('Factory Log'!$D:$D,'Factory Log'!$B:$B,Summary!$A27,'Factory Log'!$C:$C,"Quality Issue")+SUMIFS('Factory Log'!$D:$D,'Factory Log'!$B:$B,Summary!$A27,'Factory Log'!$C:$C,"Material Issue")+SUMIFS('Factory Log'!$D:$D,'Factory Log'!$B:$B,Summary!$A27,'Factory Log'!$C:$C,"Operator Training"),0.1)</f>
        <v>0</v>
      </c>
      <c r="U27" s="32">
        <f>150*SUM(N27:T27)</f>
        <v>2025</v>
      </c>
      <c r="V27" s="25">
        <f>SUMIF(Performance!$BO:$BO,"&lt;&gt;338733.05",Performance!BX:BX)</f>
        <v>6.16</v>
      </c>
      <c r="W27" s="25">
        <f>SUMIF(Performance!$BO:$BO,"&lt;&gt;338733.05",Performance!BS:BS)</f>
        <v>10.449999999837019</v>
      </c>
      <c r="X27" s="21">
        <f>SUMIFS('Material Issued'!$F:$F,'Material Issued'!$B:$B,"5",'Material Issued'!$K:$K,Summary!$A27)-SUMIFS('Material Issued'!$F:$F,'Material Issued'!$B:$B,"8",'Material Issued'!$K:$K,Summary!$A27)</f>
        <v>84</v>
      </c>
      <c r="Y27" s="21">
        <f>SUMIFS('Material Issued'!$F:$F,'Material Issued'!$B:$B,"6",'Material Issued'!$K:$K,Summary!$A27)</f>
        <v>84</v>
      </c>
      <c r="Z27" s="13">
        <f>COUNTIF(Milestones!$Y:$Y,Summary!$A27)</f>
        <v>0</v>
      </c>
      <c r="AA27" s="13">
        <f>COUNTIFS(Milestones!$Y:$Y,Summary!$A27,Milestones!$Z:$Z,"Late")</f>
        <v>0</v>
      </c>
      <c r="AB27" s="27">
        <f t="shared" ref="AB27" si="34">IFERROR(SUM(Z27-AA27)/Z27,0)</f>
        <v>0</v>
      </c>
      <c r="AD27" s="255">
        <f>IFERROR(MROUND(SUM(SUMIFS('Factory Log'!$D:$D,'Factory Log'!$B:$B,Summary!$A27,'Factory Log'!$K:$K,"*1pass*")/$K27),0.0001),0)</f>
        <v>0</v>
      </c>
      <c r="AE27" s="256">
        <f>IFERROR(MROUND(SUM(SUMIFS('Factory Log'!$D:$D,'Factory Log'!$B:$B,Summary!$A27,'Factory Log'!$K:$K,"*2pass*")/$K27),0.0001),0)</f>
        <v>0</v>
      </c>
      <c r="AF27" s="256">
        <f>IFERROR(MROUND(SUM(SUMIFS('Factory Log'!$D:$D,'Factory Log'!$B:$B,Summary!$A27,'Factory Log'!$K:$K,"*3pass*")/$K27),0.0001),0)</f>
        <v>0</v>
      </c>
      <c r="AG27" s="256">
        <v>1</v>
      </c>
      <c r="AH27" s="256">
        <f>IFERROR(MROUND(SUM(SUMIFS('Factory Log'!$D:$D,'Factory Log'!$B:$B,Summary!$A27,'Factory Log'!$K:$K,"*5pass*")/$K27),0.0001),0)</f>
        <v>0</v>
      </c>
      <c r="AI27" s="256">
        <f>IFERROR(MROUND(SUM(SUMIFS('Factory Log'!$D:$D,'Factory Log'!$B:$B,Summary!$A27,'Factory Log'!$K:$K,"*6pass*")/$K27),0.0001),0)</f>
        <v>0</v>
      </c>
      <c r="AJ27" s="204">
        <v>0</v>
      </c>
      <c r="AK27" s="237">
        <v>0</v>
      </c>
    </row>
    <row r="28" spans="1:37" s="10" customFormat="1" ht="20" customHeight="1" thickTop="1" thickBot="1" x14ac:dyDescent="0.25">
      <c r="A28" s="166" t="s">
        <v>126</v>
      </c>
      <c r="B28" s="167">
        <f>IFERROR(MIN(D28*F28*G28,1),0)</f>
        <v>0.44188787288770742</v>
      </c>
      <c r="C28" s="167">
        <f t="shared" ref="C28" si="35">IFERROR(MIN(E28*F28*G28,1),0)</f>
        <v>0.44188787288770742</v>
      </c>
      <c r="D28" s="96">
        <f t="shared" si="32"/>
        <v>0.72708333333333341</v>
      </c>
      <c r="E28" s="172">
        <f t="shared" si="33"/>
        <v>0.72708333333333341</v>
      </c>
      <c r="F28" s="185">
        <f t="shared" si="24"/>
        <v>0.62083018822406044</v>
      </c>
      <c r="G28" s="20">
        <f t="shared" si="29"/>
        <v>0.9789377289377289</v>
      </c>
      <c r="H28" s="17">
        <f>SUM(H24:H27)</f>
        <v>96</v>
      </c>
      <c r="I28" s="175">
        <f>SUM(I24:I27)</f>
        <v>96</v>
      </c>
      <c r="J28" s="244">
        <f>SUM(J24:J27)</f>
        <v>96</v>
      </c>
      <c r="K28" s="86">
        <f>SUM(K24:K27)</f>
        <v>61.2</v>
      </c>
      <c r="L28" s="87">
        <f t="shared" ref="L28:AA28" si="36">SUM(L24:L27)</f>
        <v>8.6000000000000014</v>
      </c>
      <c r="M28" s="180">
        <f t="shared" si="36"/>
        <v>0</v>
      </c>
      <c r="N28" s="91">
        <f t="shared" si="36"/>
        <v>0</v>
      </c>
      <c r="O28" s="92">
        <f t="shared" si="36"/>
        <v>11.900000000000002</v>
      </c>
      <c r="P28" s="92">
        <f t="shared" si="36"/>
        <v>1.8</v>
      </c>
      <c r="Q28" s="93">
        <f>SUM(Q24:Q27)</f>
        <v>1.9</v>
      </c>
      <c r="R28" s="91">
        <f t="shared" si="36"/>
        <v>0</v>
      </c>
      <c r="S28" s="92">
        <f t="shared" si="36"/>
        <v>8.5</v>
      </c>
      <c r="T28" s="93">
        <f t="shared" si="36"/>
        <v>2.1</v>
      </c>
      <c r="U28" s="33">
        <f t="shared" si="36"/>
        <v>3930</v>
      </c>
      <c r="V28" s="26">
        <f t="shared" si="36"/>
        <v>43.364988647652993</v>
      </c>
      <c r="W28" s="26">
        <f t="shared" si="36"/>
        <v>69.850000000325963</v>
      </c>
      <c r="X28" s="22">
        <f t="shared" si="36"/>
        <v>5345</v>
      </c>
      <c r="Y28" s="22">
        <f t="shared" si="36"/>
        <v>5460</v>
      </c>
      <c r="Z28" s="14">
        <f t="shared" si="36"/>
        <v>4</v>
      </c>
      <c r="AA28" s="14">
        <f t="shared" si="36"/>
        <v>0</v>
      </c>
      <c r="AB28" s="27">
        <f t="shared" si="31"/>
        <v>1</v>
      </c>
      <c r="AD28" s="257">
        <f>IFERROR(MROUND(SUM(SUMIFS('Factory Log'!$D:$D,'Factory Log'!$B:$B,Summary!$A24,'Factory Log'!$K:$K,"*1pass*")+SUMIFS('Factory Log'!$D:$D,'Factory Log'!$B:$B,Summary!$A25,'Factory Log'!$K:$K,"*1pass*")+SUMIFS('Factory Log'!$D:$D,'Factory Log'!$B:$B,Summary!$A26,'Factory Log'!$K:$K,"*1pass*")+SUMIFS('Factory Log'!$D:$D,'Factory Log'!$B:$B,Summary!$A27,'Factory Log'!$K:$K,"*1pass*"))/$K28,0.0001),0)</f>
        <v>0</v>
      </c>
      <c r="AE28" s="258">
        <f>IFERROR(MROUND(SUM(SUMIFS('Factory Log'!$D:$D,'Factory Log'!$B:$B,Summary!$A24,'Factory Log'!$K:$K,"*2pass*")+SUMIFS('Factory Log'!$D:$D,'Factory Log'!$B:$B,Summary!$A25,'Factory Log'!$K:$K,"*2pass*")+SUMIFS('Factory Log'!$D:$D,'Factory Log'!$B:$B,Summary!$A26,'Factory Log'!$K:$K,"*2pass*")+SUMIFS('Factory Log'!$D:$D,'Factory Log'!$B:$B,Summary!$A27,'Factory Log'!$K:$K,"*2pass*"))/$K28,0.0001),0)</f>
        <v>5.1200000000000002E-2</v>
      </c>
      <c r="AF28" s="258">
        <f>IFERROR(MROUND(SUM(SUMIFS('Factory Log'!$D:$D,'Factory Log'!$B:$B,Summary!$A24,'Factory Log'!$K:$K,"*3pass*")+SUMIFS('Factory Log'!$D:$D,'Factory Log'!$B:$B,Summary!$A25,'Factory Log'!$K:$K,"*3pass*")+SUMIFS('Factory Log'!$D:$D,'Factory Log'!$B:$B,Summary!$A26,'Factory Log'!$K:$K,"*3pass*")+SUMIFS('Factory Log'!$D:$D,'Factory Log'!$B:$B,Summary!$A27,'Factory Log'!$K:$K,"*3pass*"))/$K28,0.0001),0)</f>
        <v>0.30149999999999999</v>
      </c>
      <c r="AG28" s="258">
        <f>IFERROR(MROUND(SUM(SUMIFS('Factory Log'!$D:$D,'Factory Log'!$B:$B,Summary!$A24,'Factory Log'!$K:$K,"*4pass*")+SUMIFS('Factory Log'!$D:$D,'Factory Log'!$B:$B,Summary!$A25,'Factory Log'!$K:$K,"*4pass*")+SUMIFS('Factory Log'!$D:$D,'Factory Log'!$B:$B,Summary!$A26,'Factory Log'!$K:$K,"*4pass*")+SUMIFS('Factory Log'!$D:$D,'Factory Log'!$B:$B,Summary!$A27,'Factory Log'!$K:$K,"*4pass*"))/$K28,0.0001),0)+0.002</f>
        <v>0.64770000000000005</v>
      </c>
      <c r="AH28" s="258">
        <f>IFERROR(MROUND(SUM(SUMIFS('Factory Log'!$D:$D,'Factory Log'!$B:$B,Summary!$A24,'Factory Log'!$K:$K,"*5pass*")+SUMIFS('Factory Log'!$D:$D,'Factory Log'!$B:$B,Summary!$A25,'Factory Log'!$K:$K,"*5pass*")+SUMIFS('Factory Log'!$D:$D,'Factory Log'!$B:$B,Summary!$A26,'Factory Log'!$K:$K,"*5pass*")+SUMIFS('Factory Log'!$D:$D,'Factory Log'!$B:$B,Summary!$A27,'Factory Log'!$K:$K,"*5pass*"))/$K28,0.0001),0)</f>
        <v>0</v>
      </c>
      <c r="AI28" s="258">
        <f>IFERROR(MROUND(SUM(SUMIFS('Factory Log'!$D:$D,'Factory Log'!$B:$B,Summary!$A24,'Factory Log'!$K:$K,"*6pass*")+SUMIFS('Factory Log'!$D:$D,'Factory Log'!$B:$B,Summary!$A25,'Factory Log'!$K:$K,"*6pass*")+SUMIFS('Factory Log'!$D:$D,'Factory Log'!$B:$B,Summary!$A26,'Factory Log'!$K:$K,"*6pass*")+SUMIFS('Factory Log'!$D:$D,'Factory Log'!$B:$B,Summary!$A27,'Factory Log'!$K:$K,"*6pass*"))/$K28,0.0001),0)</f>
        <v>0</v>
      </c>
      <c r="AJ28" s="238">
        <v>0</v>
      </c>
      <c r="AK28" s="239">
        <v>0</v>
      </c>
    </row>
    <row r="29" spans="1:37" ht="16" thickBot="1" x14ac:dyDescent="0.25">
      <c r="J29" s="246"/>
    </row>
    <row r="30" spans="1:37" ht="20" customHeight="1" thickBot="1" x14ac:dyDescent="0.25">
      <c r="A30" s="41"/>
      <c r="B30" s="44"/>
      <c r="C30" s="44"/>
      <c r="D30" s="44"/>
      <c r="E30" s="44"/>
      <c r="F30" s="44"/>
      <c r="G30" s="44"/>
      <c r="H30" s="44"/>
      <c r="I30" s="44"/>
      <c r="J30" s="176"/>
      <c r="K30" s="280" t="s">
        <v>26</v>
      </c>
      <c r="L30" s="281"/>
      <c r="M30" s="281"/>
      <c r="N30" s="281"/>
      <c r="O30" s="281"/>
      <c r="P30" s="281"/>
      <c r="Q30" s="281"/>
      <c r="R30" s="281"/>
      <c r="S30" s="281"/>
      <c r="T30" s="282"/>
      <c r="AA30" s="8"/>
      <c r="AB30" s="8"/>
      <c r="AC30" s="8"/>
      <c r="AD30" s="9"/>
    </row>
    <row r="31" spans="1:37" ht="20" customHeight="1" thickBot="1" x14ac:dyDescent="0.25">
      <c r="I31" s="123"/>
      <c r="J31" s="122" t="s">
        <v>88</v>
      </c>
      <c r="K31" s="274" t="s">
        <v>140</v>
      </c>
      <c r="L31" s="275"/>
      <c r="M31" s="276"/>
      <c r="N31" s="277" t="s">
        <v>141</v>
      </c>
      <c r="O31" s="278"/>
      <c r="P31" s="278"/>
      <c r="Q31" s="279"/>
      <c r="R31" s="278" t="s">
        <v>142</v>
      </c>
      <c r="S31" s="278"/>
      <c r="T31" s="279"/>
      <c r="U31" s="10"/>
      <c r="V31" s="10"/>
      <c r="W31" s="10"/>
      <c r="X31" s="10"/>
      <c r="Y31" s="10"/>
      <c r="Z31" s="10"/>
      <c r="AA31" s="10"/>
      <c r="AB31" s="10"/>
      <c r="AC31" s="10"/>
      <c r="AD31" s="11"/>
      <c r="AE31" s="11"/>
      <c r="AF31" s="11"/>
      <c r="AG31" s="11"/>
    </row>
    <row r="32" spans="1:37" ht="65" thickBot="1" x14ac:dyDescent="0.25">
      <c r="A32" s="164" t="s">
        <v>129</v>
      </c>
      <c r="B32" s="165" t="s">
        <v>27</v>
      </c>
      <c r="C32" s="165" t="s">
        <v>28</v>
      </c>
      <c r="D32" s="95" t="s">
        <v>29</v>
      </c>
      <c r="E32" s="169" t="s">
        <v>30</v>
      </c>
      <c r="F32" s="23" t="s">
        <v>39</v>
      </c>
      <c r="G32" s="18" t="s">
        <v>40</v>
      </c>
      <c r="H32" s="15" t="s">
        <v>31</v>
      </c>
      <c r="I32" s="173" t="s">
        <v>32</v>
      </c>
      <c r="J32" s="120"/>
      <c r="K32" s="83" t="s">
        <v>43</v>
      </c>
      <c r="L32" s="82" t="s">
        <v>44</v>
      </c>
      <c r="M32" s="179" t="s">
        <v>45</v>
      </c>
      <c r="N32" s="88" t="s">
        <v>89</v>
      </c>
      <c r="O32" s="12" t="s">
        <v>46</v>
      </c>
      <c r="P32" s="12" t="s">
        <v>47</v>
      </c>
      <c r="Q32" s="89" t="s">
        <v>115</v>
      </c>
      <c r="R32" s="88" t="s">
        <v>116</v>
      </c>
      <c r="S32" s="12" t="s">
        <v>33</v>
      </c>
      <c r="T32" s="89" t="s">
        <v>34</v>
      </c>
      <c r="U32" s="28" t="s">
        <v>35</v>
      </c>
      <c r="V32" s="200" t="s">
        <v>139</v>
      </c>
      <c r="W32" s="24" t="s">
        <v>82</v>
      </c>
      <c r="X32" s="18" t="s">
        <v>41</v>
      </c>
      <c r="Y32" s="18" t="s">
        <v>42</v>
      </c>
      <c r="Z32" s="12" t="s">
        <v>36</v>
      </c>
      <c r="AA32" s="12" t="s">
        <v>37</v>
      </c>
      <c r="AB32" s="12" t="s">
        <v>38</v>
      </c>
      <c r="AD32" s="213" t="s">
        <v>152</v>
      </c>
      <c r="AE32" s="214" t="s">
        <v>180</v>
      </c>
      <c r="AF32" s="214" t="s">
        <v>181</v>
      </c>
      <c r="AG32" s="214" t="s">
        <v>182</v>
      </c>
      <c r="AH32" s="214" t="s">
        <v>183</v>
      </c>
      <c r="AI32" s="214" t="s">
        <v>184</v>
      </c>
      <c r="AJ32" s="235" t="s">
        <v>185</v>
      </c>
      <c r="AK32" s="236" t="s">
        <v>186</v>
      </c>
    </row>
    <row r="33" spans="1:37" ht="20" customHeight="1" thickTop="1" x14ac:dyDescent="0.2">
      <c r="A33" s="166" t="s">
        <v>124</v>
      </c>
      <c r="B33" s="210">
        <f>IFERROR(MIN(D33*F33*G33,1),0)</f>
        <v>0</v>
      </c>
      <c r="C33" s="211">
        <f>IFERROR(MIN(E33*F33*G33,1),0)</f>
        <v>0</v>
      </c>
      <c r="D33" s="262">
        <f>IFERROR(SUM(K33:M33)/H33,0)</f>
        <v>0</v>
      </c>
      <c r="E33" s="263">
        <f>IFERROR(SUM(K33:M33)/I33,0)</f>
        <v>0</v>
      </c>
      <c r="F33" s="94">
        <f t="shared" ref="F33:F37" si="37">IFERROR(V33/W33,0)</f>
        <v>0</v>
      </c>
      <c r="G33" s="19">
        <f>IFERROR(MIN(X33/Y33,1),0)</f>
        <v>0</v>
      </c>
      <c r="H33" s="16">
        <f>24*$D$5</f>
        <v>24</v>
      </c>
      <c r="I33" s="174">
        <f>$D$3-N33</f>
        <v>8</v>
      </c>
      <c r="J33" s="121">
        <f>SUM(K33:T33)</f>
        <v>24</v>
      </c>
      <c r="K33" s="99">
        <f>MROUND(SUMIFS('Factory Log'!$D:$D,'Factory Log'!$B:$B,Summary!$A33,'Factory Log'!$C:$C,"Running"),0.1)</f>
        <v>0</v>
      </c>
      <c r="L33" s="100">
        <f>MROUND(SUMIFS('Factory Log'!$D:$D,'Factory Log'!$B:$B,Summary!$A33,'Factory Log'!$C:$C,"Make Ready"),0.1)</f>
        <v>0</v>
      </c>
      <c r="M33" s="101">
        <f>MROUND(SUMIFS('Factory Log'!$D:$D,'Factory Log'!$B:$B,Summary!$A33,'Factory Log'!$C:$C,"Roll Change"),0.1)</f>
        <v>0</v>
      </c>
      <c r="N33" s="31">
        <f>MROUND(SUMIFS('Factory Log'!$D:$D,'Factory Log'!$B:$B,Summary!$A33,'Factory Log'!$C:$C,"Not Planned"),0.1)</f>
        <v>16</v>
      </c>
      <c r="O33" s="30">
        <f>MROUND(SUMIFS('Factory Log'!$D:$D,'Factory Log'!$B:$B,Summary!$A33,'Factory Log'!$C:$C,"No Work"),0.1)</f>
        <v>8</v>
      </c>
      <c r="P33" s="30">
        <f>MROUND(SUMIFS('Factory Log'!$D:$D,'Factory Log'!$B:$B,Summary!$A33,'Factory Log'!$C:$C,"Break"),0.1)</f>
        <v>0</v>
      </c>
      <c r="Q33" s="90">
        <f>MROUND(SUMIFS('Factory Log'!$D:$D,'Factory Log'!$B:$B,Summary!$A33,'Factory Log'!$C:$C,"Maintenance"),0.1)</f>
        <v>0</v>
      </c>
      <c r="R33" s="84">
        <f>MROUND(SUMIFS('Factory Log'!$D:$D,'Factory Log'!$B:$B,Summary!$A33,'Factory Log'!$C:$C,"Planned But No Operator"),0.1)</f>
        <v>0</v>
      </c>
      <c r="S33" s="30">
        <f>MROUND(SUMIFS('Factory Log'!$D:$D,'Factory Log'!$B:$B,Summary!$A33,'Factory Log'!$C:$C,"Breakdown")+SUMIFS('Factory Log'!$D:$D,'Factory Log'!$B:$B,Summary!$A33,'Factory Log'!$C:$C,"Repair In Progress"),0.1)</f>
        <v>0</v>
      </c>
      <c r="T33" s="85">
        <f>MROUND(SUMIFS('Factory Log'!$D:$D,'Factory Log'!$B:$B,Summary!$A33,'Factory Log'!$C:$C,"Job Card Error")+SUMIFS('Factory Log'!$D:$D,'Factory Log'!$B:$B,Summary!$A33,'Factory Log'!$C:$C,"Artwork Issue")+SUMIFS('Factory Log'!$D:$D,'Factory Log'!$B:$B,Summary!$A33,'Factory Log'!$C:$C,"IT Issue")+SUMIFS('Factory Log'!$D:$D,'Factory Log'!$B:$B,Summary!$A33,'Factory Log'!$C:$C,"Quality Issue")+SUMIFS('Factory Log'!$D:$D,'Factory Log'!$B:$B,Summary!$A33,'Factory Log'!$C:$C,"Material Issue")+SUMIFS('Factory Log'!$D:$D,'Factory Log'!$B:$B,Summary!$A33,'Factory Log'!$C:$C,"Operator Training"),0.1)</f>
        <v>0</v>
      </c>
      <c r="U33" s="32">
        <f>150*SUM(N33:T33)</f>
        <v>3600</v>
      </c>
      <c r="V33" s="212">
        <f>SUMIF(Performance!$BZ:$BZ,"&lt;&gt;338733.18",Performance!$CI:$CI)</f>
        <v>0</v>
      </c>
      <c r="W33" s="25">
        <f>SUMIF(Performance!$BZ:$BZ,"&lt;&gt;338733.18",Performance!$CD:$CD)</f>
        <v>0</v>
      </c>
      <c r="X33" s="21">
        <f>SUMIFS('Material Issued'!$F:$F,'Material Issued'!$B:$B,"5",'Material Issued'!$K:$K,Summary!$A33)-SUMIFS('Material Issued'!$F:$F,'Material Issued'!$B:$B,"8",'Material Issued'!$K:$K,Summary!$A33)</f>
        <v>0</v>
      </c>
      <c r="Y33" s="21">
        <f>SUMIFS('Material Issued'!$F:$F,'Material Issued'!$B:$B,"6",'Material Issued'!$K:$K,Summary!$A33)</f>
        <v>0</v>
      </c>
      <c r="Z33" s="13">
        <f>COUNTIF(Milestones!$Y:$Y,Summary!$A33)</f>
        <v>1</v>
      </c>
      <c r="AA33" s="13">
        <f>COUNTIFS(Milestones!$Y:$Y,Summary!$A33,Milestones!$Z:$Z,"Late")</f>
        <v>0</v>
      </c>
      <c r="AB33" s="27">
        <f>IFERROR(SUM(Z33-AA33)/Z33,0)</f>
        <v>1</v>
      </c>
      <c r="AD33" s="240">
        <v>0</v>
      </c>
      <c r="AE33" s="204">
        <v>0</v>
      </c>
      <c r="AF33" s="204">
        <v>0</v>
      </c>
      <c r="AG33" s="256">
        <f>IFERROR(MROUND(SUM(SUMIFS('Factory Log'!$D:$D,'Factory Log'!$B:$B,Summary!$A33,'Factory Log'!$K:$K,"*Mono*")/$K33),0.0001),0)</f>
        <v>0</v>
      </c>
      <c r="AH33" s="204">
        <v>0</v>
      </c>
      <c r="AI33" s="256">
        <f>IFERROR(MROUND(SUM(SUMIFS('Factory Log'!$D:$D,'Factory Log'!$B:$B,Summary!$A33,'Factory Log'!$K:$K,"*EPM*")/$K33),0.0001),0)</f>
        <v>0</v>
      </c>
      <c r="AJ33" s="204">
        <v>0</v>
      </c>
      <c r="AK33" s="259">
        <f>IFERROR(MROUND(SUM(SUMIFS('Factory Log'!$D:$D,'Factory Log'!$B:$B,Summary!$A33,'Factory Log'!$K:$K,"*4-Col*")/$K33),0.0001),0)</f>
        <v>0</v>
      </c>
    </row>
    <row r="34" spans="1:37" ht="20" customHeight="1" x14ac:dyDescent="0.2">
      <c r="A34" s="166" t="s">
        <v>123</v>
      </c>
      <c r="B34" s="167">
        <f t="shared" ref="B34:B36" si="38">IFERROR(MIN(D34*F34*G34,1),0)</f>
        <v>0.11511688312384487</v>
      </c>
      <c r="C34" s="168">
        <f t="shared" ref="C34:C37" si="39">IFERROR(MIN(E34*F34*G34,1),0)</f>
        <v>0.34535064937153459</v>
      </c>
      <c r="D34" s="97">
        <f t="shared" ref="D34:D37" si="40">IFERROR(SUM(K34:M34)/H34,0)</f>
        <v>0.26666666666666666</v>
      </c>
      <c r="E34" s="170">
        <f t="shared" ref="E34:E37" si="41">IFERROR(SUM(K34:M34)/I34,0)</f>
        <v>0.8</v>
      </c>
      <c r="F34" s="94">
        <f t="shared" si="37"/>
        <v>0.43168831171441824</v>
      </c>
      <c r="G34" s="19">
        <f t="shared" ref="G34:G37" si="42">IFERROR(MIN(X34/Y34,1),0)</f>
        <v>1</v>
      </c>
      <c r="H34" s="16">
        <f>24*$D$5</f>
        <v>24</v>
      </c>
      <c r="I34" s="174">
        <f t="shared" ref="I34:I35" si="43">$D$3-N34</f>
        <v>8</v>
      </c>
      <c r="J34" s="121">
        <f>SUM(K34:T34)</f>
        <v>23.999999999999996</v>
      </c>
      <c r="K34" s="102">
        <f>MROUND(SUMIFS('Factory Log'!$D:$D,'Factory Log'!$B:$B,Summary!$A34,'Factory Log'!$C:$C,"Running"),0.1)</f>
        <v>6.4</v>
      </c>
      <c r="L34" s="29">
        <f>MROUND(SUMIFS('Factory Log'!$D:$D,'Factory Log'!$B:$B,Summary!$A34,'Factory Log'!$C:$C,"Make Ready"),0.1)</f>
        <v>0</v>
      </c>
      <c r="M34" s="103">
        <f>MROUND(SUMIFS('Factory Log'!$D:$D,'Factory Log'!$B:$B,Summary!$A34,'Factory Log'!$C:$C,"Roll Change"),0.1)</f>
        <v>0</v>
      </c>
      <c r="N34" s="31">
        <f>MROUND(SUMIFS('Factory Log'!$D:$D,'Factory Log'!$B:$B,Summary!$A34,'Factory Log'!$C:$C,"Not Planned"),0.1)</f>
        <v>16</v>
      </c>
      <c r="O34" s="30">
        <f>MROUND(SUMIFS('Factory Log'!$D:$D,'Factory Log'!$B:$B,Summary!$A34,'Factory Log'!$C:$C,"No Work"),0.1)</f>
        <v>0</v>
      </c>
      <c r="P34" s="30">
        <f>MROUND(SUMIFS('Factory Log'!$D:$D,'Factory Log'!$B:$B,Summary!$A34,'Factory Log'!$C:$C,"Break"),0.1)</f>
        <v>0.70000000000000007</v>
      </c>
      <c r="Q34" s="90">
        <f>MROUND(SUMIFS('Factory Log'!$D:$D,'Factory Log'!$B:$B,Summary!$A34,'Factory Log'!$C:$C,"Maintenance"),0.1)</f>
        <v>0</v>
      </c>
      <c r="R34" s="84">
        <f>MROUND(SUMIFS('Factory Log'!$D:$D,'Factory Log'!$B:$B,Summary!$A34,'Factory Log'!$C:$C,"Planned But No Operator"),0.1)</f>
        <v>0.9</v>
      </c>
      <c r="S34" s="30">
        <f>MROUND(SUMIFS('Factory Log'!$D:$D,'Factory Log'!$B:$B,Summary!$A34,'Factory Log'!$C:$C,"Breakdown")+SUMIFS('Factory Log'!$D:$D,'Factory Log'!$B:$B,Summary!$A34,'Factory Log'!$C:$C,"Repair In Progress"),0.1)</f>
        <v>0</v>
      </c>
      <c r="T34" s="85">
        <f>MROUND(SUMIFS('Factory Log'!$D:$D,'Factory Log'!$B:$B,Summary!$A34,'Factory Log'!$C:$C,"Job Card Error")+SUMIFS('Factory Log'!$D:$D,'Factory Log'!$B:$B,Summary!$A34,'Factory Log'!$C:$C,"Artwork Issue")+SUMIFS('Factory Log'!$D:$D,'Factory Log'!$B:$B,Summary!$A34,'Factory Log'!$C:$C,"IT Issue")+SUMIFS('Factory Log'!$D:$D,'Factory Log'!$B:$B,Summary!$A34,'Factory Log'!$C:$C,"Quality Issue")+SUMIFS('Factory Log'!$D:$D,'Factory Log'!$B:$B,Summary!$A34,'Factory Log'!$C:$C,"Material Issue")+SUMIFS('Factory Log'!$D:$D,'Factory Log'!$B:$B,Summary!$A34,'Factory Log'!$C:$C,"Operator Training"),0.1)</f>
        <v>0</v>
      </c>
      <c r="U34" s="32">
        <f>150*SUM(N34:T34)</f>
        <v>2639.9999999999995</v>
      </c>
      <c r="V34" s="25">
        <f>SUMIF(Performance!$CK:$CK,"&lt;&gt;338733.07",Performance!$CT:$CT)</f>
        <v>2.77</v>
      </c>
      <c r="W34" s="25">
        <f>SUMIF(Performance!$CK:$CK,"&lt;&gt;338733.07",Performance!$CO:$CO)</f>
        <v>6.4166666662786156</v>
      </c>
      <c r="X34" s="21">
        <f>SUMIFS('Material Issued'!$F:$F,'Material Issued'!$B:$B,"5",'Material Issued'!$K:$K,Summary!$A34)-SUMIFS('Material Issued'!$F:$F,'Material Issued'!$B:$B,"8",'Material Issued'!$K:$K,Summary!$A34)</f>
        <v>84</v>
      </c>
      <c r="Y34" s="21">
        <f>X34</f>
        <v>84</v>
      </c>
      <c r="Z34" s="13">
        <f>COUNTIF(Milestones!$Y:$Y,Summary!$A34)</f>
        <v>11</v>
      </c>
      <c r="AA34" s="13">
        <f>COUNTIFS(Milestones!$Y:$Y,Summary!$A34,Milestones!$Z:$Z,"Late")</f>
        <v>0</v>
      </c>
      <c r="AB34" s="27">
        <f t="shared" ref="AB34:AB37" si="44">IFERROR(SUM(Z34-AA34)/Z34,0)</f>
        <v>1</v>
      </c>
      <c r="AD34" s="240">
        <v>0</v>
      </c>
      <c r="AE34" s="256">
        <f>IFERROR(MROUND(SUM(SUMIFS('Factory Log'!$D:$D,'Factory Log'!$B:$B,Summary!$A34,'Factory Log'!$K:$K,"*4colour No*")/$K34),0.0001),0)</f>
        <v>0</v>
      </c>
      <c r="AF34" s="256">
        <f>IFERROR(MROUND(SUM(SUMIFS('Factory Log'!$D:$D,'Factory Log'!$B:$B,Summary!$A34,'Factory Log'!$K:$K,"*4colour L*")/$K34),0.0001),0)</f>
        <v>0</v>
      </c>
      <c r="AG34" s="256">
        <v>1</v>
      </c>
      <c r="AH34" s="256">
        <f>IFERROR(MROUND(SUM(SUMIFS('Factory Log'!$D:$D,'Factory Log'!$B:$B,Summary!$A34,'Factory Log'!$K:$K,"*8colour No*")/$K34),0.0001),0)</f>
        <v>0</v>
      </c>
      <c r="AI34" s="256">
        <f>IFERROR(MROUND(SUM(SUMIFS('Factory Log'!$D:$D,'Factory Log'!$B:$B,Summary!$A34,'Factory Log'!$K:$K,"*8colour L*")/$K34),0.0001),0)</f>
        <v>0</v>
      </c>
      <c r="AJ34" s="204">
        <v>0</v>
      </c>
      <c r="AK34" s="259">
        <f>IFERROR(MROUND(SUM(SUMIFS('Factory Log'!$D:$D,'Factory Log'!$B:$B,Summary!$A34,'Factory Log'!$K:$K,"*8colour H*")/$K34),0.0001),0)</f>
        <v>0</v>
      </c>
    </row>
    <row r="35" spans="1:37" ht="20" customHeight="1" x14ac:dyDescent="0.2">
      <c r="A35" s="166" t="s">
        <v>122</v>
      </c>
      <c r="B35" s="167">
        <f t="shared" si="38"/>
        <v>0.16451162790786752</v>
      </c>
      <c r="C35" s="168">
        <f t="shared" si="39"/>
        <v>0.49353488372360266</v>
      </c>
      <c r="D35" s="97">
        <f t="shared" si="40"/>
        <v>0.15</v>
      </c>
      <c r="E35" s="170">
        <f t="shared" si="41"/>
        <v>0.45</v>
      </c>
      <c r="F35" s="94">
        <f t="shared" si="37"/>
        <v>1.0967441860524503</v>
      </c>
      <c r="G35" s="19">
        <f t="shared" si="42"/>
        <v>1</v>
      </c>
      <c r="H35" s="16">
        <f>24*$D$5</f>
        <v>24</v>
      </c>
      <c r="I35" s="174">
        <f t="shared" si="43"/>
        <v>8</v>
      </c>
      <c r="J35" s="121">
        <f>SUM(K35:T35)</f>
        <v>24</v>
      </c>
      <c r="K35" s="102">
        <f>MROUND(SUMIFS('Factory Log'!$D:$D,'Factory Log'!$B:$B,Summary!$A35,'Factory Log'!$C:$C,"Running"),0.1)</f>
        <v>3.6</v>
      </c>
      <c r="L35" s="29">
        <f>MROUND(SUMIFS('Factory Log'!$D:$D,'Factory Log'!$B:$B,Summary!$A35,'Factory Log'!$C:$C,"Make Ready"),0.1)</f>
        <v>0</v>
      </c>
      <c r="M35" s="103">
        <f>MROUND(SUMIFS('Factory Log'!$D:$D,'Factory Log'!$B:$B,Summary!$A35,'Factory Log'!$C:$C,"Roll Change"),0.1)</f>
        <v>0</v>
      </c>
      <c r="N35" s="31">
        <f>MROUND(SUMIFS('Factory Log'!$D:$D,'Factory Log'!$B:$B,Summary!$A35,'Factory Log'!$C:$C,"Not Planned"),0.1)</f>
        <v>16</v>
      </c>
      <c r="O35" s="30">
        <f>MROUND(SUMIFS('Factory Log'!$D:$D,'Factory Log'!$B:$B,Summary!$A35,'Factory Log'!$C:$C,"No Work"),0.1)</f>
        <v>4.4000000000000004</v>
      </c>
      <c r="P35" s="30">
        <f>MROUND(SUMIFS('Factory Log'!$D:$D,'Factory Log'!$B:$B,Summary!$A35,'Factory Log'!$C:$C,"Break"),0.1)</f>
        <v>0</v>
      </c>
      <c r="Q35" s="90">
        <f>MROUND(SUMIFS('Factory Log'!$D:$D,'Factory Log'!$B:$B,Summary!$A35,'Factory Log'!$C:$C,"Maintenance"),0.1)</f>
        <v>0</v>
      </c>
      <c r="R35" s="84">
        <f>MROUND(SUMIFS('Factory Log'!$D:$D,'Factory Log'!$B:$B,Summary!$A35,'Factory Log'!$C:$C,"Planned But No Operator"),0.1)</f>
        <v>0</v>
      </c>
      <c r="S35" s="30">
        <f>MROUND(SUMIFS('Factory Log'!$D:$D,'Factory Log'!$B:$B,Summary!$A35,'Factory Log'!$C:$C,"Breakdown")+SUMIFS('Factory Log'!$D:$D,'Factory Log'!$B:$B,Summary!$A35,'Factory Log'!$C:$C,"Repair In Progress"),0.1)</f>
        <v>0</v>
      </c>
      <c r="T35" s="85">
        <f>MROUND(SUMIFS('Factory Log'!$D:$D,'Factory Log'!$B:$B,Summary!$A35,'Factory Log'!$C:$C,"Job Card Error")+SUMIFS('Factory Log'!$D:$D,'Factory Log'!$B:$B,Summary!$A35,'Factory Log'!$C:$C,"Artwork Issue")+SUMIFS('Factory Log'!$D:$D,'Factory Log'!$B:$B,Summary!$A35,'Factory Log'!$C:$C,"IT Issue")+SUMIFS('Factory Log'!$D:$D,'Factory Log'!$B:$B,Summary!$A35,'Factory Log'!$C:$C,"Quality Issue")+SUMIFS('Factory Log'!$D:$D,'Factory Log'!$B:$B,Summary!$A35,'Factory Log'!$C:$C,"Material Issue")+SUMIFS('Factory Log'!$D:$D,'Factory Log'!$B:$B,Summary!$A35,'Factory Log'!$C:$C,"Operator Training"),0.1)</f>
        <v>0</v>
      </c>
      <c r="U35" s="32">
        <f>150*SUM(N35:T35)</f>
        <v>3060</v>
      </c>
      <c r="V35" s="25">
        <f>SUMIF(Performance!$CV:$CV,"&lt;&gt;338733.08",Performance!$DE:$DE)</f>
        <v>3.93</v>
      </c>
      <c r="W35" s="25">
        <f>SUMIF(Performance!$CV:$CV,"&lt;&gt;338733.08",Performance!$CZ:$CZ)</f>
        <v>3.5833333333139308</v>
      </c>
      <c r="X35" s="21">
        <f>SUMIFS('Material Issued'!$F:$F,'Material Issued'!$B:$B,"5",'Material Issued'!$K:$K,Summary!$A35)-SUMIFS('Material Issued'!$F:$F,'Material Issued'!$B:$B,"8",'Material Issued'!$K:$K,Summary!$A35)</f>
        <v>85</v>
      </c>
      <c r="Y35" s="21">
        <f>SUMIFS('Material Issued'!$F:$F,'Material Issued'!$B:$B,"6",'Material Issued'!$K:$K,Summary!$A35)</f>
        <v>68</v>
      </c>
      <c r="Z35" s="13">
        <f>COUNTIF(Milestones!$Y:$Y,Summary!$A35)</f>
        <v>4</v>
      </c>
      <c r="AA35" s="13">
        <f>COUNTIFS(Milestones!$Y:$Y,Summary!$A35,Milestones!$Z:$Z,"Late")</f>
        <v>0</v>
      </c>
      <c r="AB35" s="27">
        <f t="shared" si="44"/>
        <v>1</v>
      </c>
      <c r="AD35" s="240">
        <v>0</v>
      </c>
      <c r="AE35" s="256">
        <f>IFERROR(MROUND(SUM(SUMIFS('Factory Log'!$D:$D,'Factory Log'!$B:$B,Summary!$A35,'Factory Log'!$K:$K,"*2pass*")/$K35),0.0001),0)</f>
        <v>0</v>
      </c>
      <c r="AF35" s="256">
        <f>IFERROR(MROUND(SUM(SUMIFS('Factory Log'!$D:$D,'Factory Log'!$B:$B,Summary!$A35,'Factory Log'!$K:$K,"*3pass*")/$K35),0.0001),0)</f>
        <v>0</v>
      </c>
      <c r="AG35" s="256">
        <f>IFERROR(MROUND(SUM(SUMIFS('Factory Log'!$D:$D,'Factory Log'!$B:$B,Summary!$A35,'Factory Log'!$K:$K,"*4pass*")/$K35),0.0001),0)</f>
        <v>0</v>
      </c>
      <c r="AH35" s="256">
        <f>IFERROR(MROUND(SUM(SUMIFS('Factory Log'!$D:$D,'Factory Log'!$B:$B,Summary!$A35,'Factory Log'!$K:$K,"*5pass*")/$K35),0.0001),0)</f>
        <v>0</v>
      </c>
      <c r="AI35" s="256">
        <f>IFERROR(MROUND(SUM(SUMIFS('Factory Log'!$D:$D,'Factory Log'!$B:$B,Summary!$A35,'Factory Log'!$K:$K,"*6pass*")/$K35),0.0001),0)</f>
        <v>0</v>
      </c>
      <c r="AJ35" s="256">
        <f>IFERROR(MROUND(SUM(SUMIFS('Factory Log'!$D:$D,'Factory Log'!$B:$B,Summary!$A35,'Factory Log'!$K:$K,"*7pass*")/$K35),0.0001),0)</f>
        <v>0</v>
      </c>
      <c r="AK35" s="259">
        <v>1</v>
      </c>
    </row>
    <row r="36" spans="1:37" ht="20" customHeight="1" thickBot="1" x14ac:dyDescent="0.25">
      <c r="A36" s="166" t="s">
        <v>121</v>
      </c>
      <c r="B36" s="167">
        <f t="shared" si="38"/>
        <v>7.411202185396322E-2</v>
      </c>
      <c r="C36" s="168">
        <f t="shared" si="39"/>
        <v>0.22233606556188965</v>
      </c>
      <c r="D36" s="98">
        <f t="shared" si="40"/>
        <v>0.12916666666666668</v>
      </c>
      <c r="E36" s="171">
        <f t="shared" si="41"/>
        <v>0.38750000000000001</v>
      </c>
      <c r="F36" s="94">
        <f t="shared" si="37"/>
        <v>0.57377049177261841</v>
      </c>
      <c r="G36" s="19">
        <f t="shared" si="42"/>
        <v>1</v>
      </c>
      <c r="H36" s="16">
        <f>24*$D$5</f>
        <v>24</v>
      </c>
      <c r="I36" s="174">
        <f>$D$3-N36</f>
        <v>8</v>
      </c>
      <c r="J36" s="121">
        <f>SUM(K36:T36)</f>
        <v>24</v>
      </c>
      <c r="K36" s="104">
        <f>MROUND(SUMIFS('Factory Log'!$D:$D,'Factory Log'!$B:$B,Summary!$A36,'Factory Log'!$C:$C,"Running"),0.1)</f>
        <v>2.7</v>
      </c>
      <c r="L36" s="105">
        <f>MROUND(SUMIFS('Factory Log'!$D:$D,'Factory Log'!$B:$B,Summary!$A36,'Factory Log'!$C:$C,"Make Ready"),0.1)</f>
        <v>0.4</v>
      </c>
      <c r="M36" s="106">
        <f>MROUND(SUMIFS('Factory Log'!$D:$D,'Factory Log'!$B:$B,Summary!$A36,'Factory Log'!$C:$C,"Roll Change"),0.1)</f>
        <v>0</v>
      </c>
      <c r="N36" s="31">
        <f>MROUND(SUMIFS('Factory Log'!$D:$D,'Factory Log'!$B:$B,Summary!$A36,'Factory Log'!$C:$C,"Not Planned"),0.1)</f>
        <v>16</v>
      </c>
      <c r="O36" s="30">
        <f>MROUND(SUMIFS('Factory Log'!$D:$D,'Factory Log'!$B:$B,Summary!$A36,'Factory Log'!$C:$C,"No Work"),0.1)</f>
        <v>4.9000000000000004</v>
      </c>
      <c r="P36" s="30">
        <f>MROUND(SUMIFS('Factory Log'!$D:$D,'Factory Log'!$B:$B,Summary!$A36,'Factory Log'!$C:$C,"Break"),0.1)</f>
        <v>0</v>
      </c>
      <c r="Q36" s="90">
        <f>MROUND(SUMIFS('Factory Log'!$D:$D,'Factory Log'!$B:$B,Summary!$A36,'Factory Log'!$C:$C,"Maintenance"),0.1)</f>
        <v>0</v>
      </c>
      <c r="R36" s="84">
        <f>MROUND(SUMIFS('Factory Log'!$D:$D,'Factory Log'!$B:$B,Summary!$A36,'Factory Log'!$C:$C,"Planned But No Operator"),0.1)</f>
        <v>0</v>
      </c>
      <c r="S36" s="30">
        <f>MROUND(SUMIFS('Factory Log'!$D:$D,'Factory Log'!$B:$B,Summary!$A36,'Factory Log'!$C:$C,"Breakdown")+SUMIFS('Factory Log'!$D:$D,'Factory Log'!$B:$B,Summary!$A36,'Factory Log'!$C:$C,"Repair In Progress"),0.1)</f>
        <v>0</v>
      </c>
      <c r="T36" s="85">
        <f>MROUND(SUMIFS('Factory Log'!$D:$D,'Factory Log'!$B:$B,Summary!$A36,'Factory Log'!$C:$C,"Job Card Error")+SUMIFS('Factory Log'!$D:$D,'Factory Log'!$B:$B,Summary!$A36,'Factory Log'!$C:$C,"Artwork Issue")+SUMIFS('Factory Log'!$D:$D,'Factory Log'!$B:$B,Summary!$A36,'Factory Log'!$C:$C,"IT Issue")+SUMIFS('Factory Log'!$D:$D,'Factory Log'!$B:$B,Summary!$A36,'Factory Log'!$C:$C,"Quality Issue")+SUMIFS('Factory Log'!$D:$D,'Factory Log'!$B:$B,Summary!$A36,'Factory Log'!$C:$C,"Material Issue")+SUMIFS('Factory Log'!$D:$D,'Factory Log'!$B:$B,Summary!$A36,'Factory Log'!$C:$C,"Operator Training"),0.1)</f>
        <v>0</v>
      </c>
      <c r="U36" s="32">
        <f>150*SUM(N36:T36)</f>
        <v>3135</v>
      </c>
      <c r="V36" s="25">
        <f>SUMIF(Performance!$DG:$DG,"&lt;&gt;338733.09",Performance!$DP:$DP)</f>
        <v>1.75</v>
      </c>
      <c r="W36" s="25">
        <f>SUMIF(Performance!$DG:$DG,"&lt;&gt;338733.09",Performance!$DK:$DK)</f>
        <v>3.0500000001629815</v>
      </c>
      <c r="X36" s="21">
        <f>SUMIFS('Material Issued'!$F:$F,'Material Issued'!$B:$B,"5",'Material Issued'!$K:$K,Summary!$A36)-SUMIFS('Material Issued'!$F:$F,'Material Issued'!$B:$B,"8",'Material Issued'!$K:$K,Summary!$A36)</f>
        <v>66</v>
      </c>
      <c r="Y36" s="21">
        <f>SUMIFS('Material Issued'!$F:$F,'Material Issued'!$B:$B,"6",'Material Issued'!$K:$K,Summary!$A36)</f>
        <v>46</v>
      </c>
      <c r="Z36" s="13">
        <f>COUNTIF(Milestones!$Y:$Y,Summary!$A36)</f>
        <v>1</v>
      </c>
      <c r="AA36" s="13">
        <f>COUNTIFS(Milestones!$Y:$Y,Summary!$A36,Milestones!$Z:$Z,"Late")</f>
        <v>0</v>
      </c>
      <c r="AB36" s="27">
        <f t="shared" si="44"/>
        <v>1</v>
      </c>
      <c r="AD36" s="240">
        <v>0</v>
      </c>
      <c r="AE36" s="256">
        <f>MROUND(IFERROR(MROUND(SUM(SUMIFS('Factory Log'!$D:$D,'Factory Log'!$B:$B,Summary!$A36,'Factory Log'!$K:$K,"*2pass*")/$K36),0.0001),0),0.1)</f>
        <v>0</v>
      </c>
      <c r="AF36" s="256">
        <f>MROUND(IFERROR(MROUND(SUM(SUMIFS('Factory Log'!$D:$D,'Factory Log'!$B:$B,Summary!$A36,'Factory Log'!$K:$K,"*3pass*")/$K36),0.0001),0),0.1)</f>
        <v>0</v>
      </c>
      <c r="AG36" s="256">
        <f>MROUND(IFERROR(MROUND(SUM(SUMIFS('Factory Log'!$D:$D,'Factory Log'!$B:$B,Summary!$A36,'Factory Log'!$K:$K,"*4pass*")/$K36),0.0001),0),0.1)</f>
        <v>0</v>
      </c>
      <c r="AH36" s="256">
        <f>MROUND(IFERROR(MROUND(SUM(SUMIFS('Factory Log'!$D:$D,'Factory Log'!$B:$B,Summary!$A36,'Factory Log'!$K:$K,"*5pass*")/$K36),0.0001),0),0.1)</f>
        <v>0</v>
      </c>
      <c r="AI36" s="256">
        <f>MROUND(IFERROR(MROUND(SUM(SUMIFS('Factory Log'!$D:$D,'Factory Log'!$B:$B,Summary!$A36,'Factory Log'!$K:$K,"*6pass*")/$K36),0.0001),0),0.1)</f>
        <v>0</v>
      </c>
      <c r="AJ36" s="256">
        <f>MROUND(IFERROR(MROUND(SUM(SUMIFS('Factory Log'!$D:$D,'Factory Log'!$B:$B,Summary!$A36,'Factory Log'!$K:$K,"*7pass*")/$K36),0.0001),0),0.1)</f>
        <v>0</v>
      </c>
      <c r="AK36" s="259">
        <f>MROUND(IFERROR(MROUND(SUM(SUMIFS('Factory Log'!$D:$D,'Factory Log'!$B:$B,Summary!$A36,'Factory Log'!$K:$K,"*8pass*")/$K36),0.0001),0),0.1)</f>
        <v>1</v>
      </c>
    </row>
    <row r="37" spans="1:37" s="10" customFormat="1" ht="20" customHeight="1" thickTop="1" thickBot="1" x14ac:dyDescent="0.25">
      <c r="A37" s="166" t="s">
        <v>127</v>
      </c>
      <c r="B37" s="167">
        <f>IFERROR(MIN(D37*F37*G37,1),0)</f>
        <v>8.8358077907146948E-2</v>
      </c>
      <c r="C37" s="167">
        <f t="shared" si="39"/>
        <v>0.26507423372144084</v>
      </c>
      <c r="D37" s="96">
        <f t="shared" si="40"/>
        <v>0.13645833333333332</v>
      </c>
      <c r="E37" s="172">
        <f t="shared" si="41"/>
        <v>0.40937499999999999</v>
      </c>
      <c r="F37" s="185">
        <f t="shared" si="37"/>
        <v>0.6475095785561914</v>
      </c>
      <c r="G37" s="20">
        <f t="shared" si="42"/>
        <v>1</v>
      </c>
      <c r="H37" s="17">
        <f>SUM(H33:H36)</f>
        <v>96</v>
      </c>
      <c r="I37" s="175">
        <f>SUM(I33:I36)</f>
        <v>32</v>
      </c>
      <c r="J37" s="244">
        <f>SUM(J33:J36)</f>
        <v>96</v>
      </c>
      <c r="K37" s="86">
        <f>SUM(K33:K36)</f>
        <v>12.7</v>
      </c>
      <c r="L37" s="87">
        <f t="shared" ref="L37:P37" si="45">SUM(L33:L36)</f>
        <v>0.4</v>
      </c>
      <c r="M37" s="180">
        <f t="shared" si="45"/>
        <v>0</v>
      </c>
      <c r="N37" s="91">
        <f t="shared" si="45"/>
        <v>64</v>
      </c>
      <c r="O37" s="92">
        <f t="shared" si="45"/>
        <v>17.3</v>
      </c>
      <c r="P37" s="92">
        <f t="shared" si="45"/>
        <v>0.70000000000000007</v>
      </c>
      <c r="Q37" s="93">
        <f>SUM(Q33:Q36)</f>
        <v>0</v>
      </c>
      <c r="R37" s="91">
        <f t="shared" ref="R37:AA37" si="46">SUM(R33:R36)</f>
        <v>0.9</v>
      </c>
      <c r="S37" s="92">
        <f t="shared" si="46"/>
        <v>0</v>
      </c>
      <c r="T37" s="93">
        <f t="shared" si="46"/>
        <v>0</v>
      </c>
      <c r="U37" s="33">
        <f t="shared" si="46"/>
        <v>12435</v>
      </c>
      <c r="V37" s="26">
        <f t="shared" si="46"/>
        <v>8.4499999999999993</v>
      </c>
      <c r="W37" s="26">
        <f t="shared" si="46"/>
        <v>13.049999999755528</v>
      </c>
      <c r="X37" s="22">
        <f t="shared" si="46"/>
        <v>235</v>
      </c>
      <c r="Y37" s="22">
        <f t="shared" si="46"/>
        <v>198</v>
      </c>
      <c r="Z37" s="14">
        <f t="shared" si="46"/>
        <v>17</v>
      </c>
      <c r="AA37" s="14">
        <f t="shared" si="46"/>
        <v>0</v>
      </c>
      <c r="AB37" s="27">
        <f t="shared" si="44"/>
        <v>1</v>
      </c>
      <c r="AD37" s="241">
        <v>0</v>
      </c>
      <c r="AE37" s="258">
        <f>IFERROR(MROUND(SUM(SUMIFS('Factory Log'!$D:$D,'Factory Log'!$B:$B,Summary!$A34,'Factory Log'!$K:$K,"*4colour No*")+SUMIFS('Factory Log'!$D:$D,'Factory Log'!$B:$B,Summary!$A35,'Factory Log'!$K:$K,"*2pass*")+SUMIFS('Factory Log'!$D:$D,'Factory Log'!$B:$B,Summary!$A36,'Factory Log'!$K:$K,"*2pass*"))/$K37,0.0001),0)</f>
        <v>0</v>
      </c>
      <c r="AF37" s="258">
        <f>IFERROR(MROUND(SUM(SUMIFS('Factory Log'!$D:$D,'Factory Log'!$B:$B,Summary!$A34,'Factory Log'!$K:$K,"*4colour L*")+SUMIFS('Factory Log'!$D:$D,'Factory Log'!$B:$B,Summary!$A35,'Factory Log'!$K:$K,"*3pass*")+SUMIFS('Factory Log'!$D:$D,'Factory Log'!$B:$B,Summary!$A36,'Factory Log'!$K:$K,"*3pass*"))/$K37,0.0001),0)</f>
        <v>0</v>
      </c>
      <c r="AG37" s="258">
        <f>IFERROR(MROUND(SUM(SUMIFS('Factory Log'!$D:$D,'Factory Log'!$B:$B,Summary!$A33,'Factory Log'!$K:$K,"*Mono*")+SUMIFS('Factory Log'!$D:$D,'Factory Log'!$B:$B,Summary!$A34,'Factory Log'!$K:$K,"*4colour H*")+SUMIFS('Factory Log'!$D:$D,'Factory Log'!$B:$B,Summary!$A35,'Factory Log'!$K:$K,"*4pass*")+SUMIFS('Factory Log'!$D:$D,'Factory Log'!$B:$B,Summary!$A36,'Factory Log'!$K:$K,"*4pass*"))/$K37,0.0001),0)</f>
        <v>0.50519999999999998</v>
      </c>
      <c r="AH37" s="258">
        <f>IFERROR(MROUND(SUM(SUMIFS('Factory Log'!$D:$D,'Factory Log'!$B:$B,Summary!$A34,'Factory Log'!$K:$K,"*8colour No*")+SUMIFS('Factory Log'!$D:$D,'Factory Log'!$B:$B,Summary!$A35,'Factory Log'!$K:$K,"*5pass*")+SUMIFS('Factory Log'!$D:$D,'Factory Log'!$B:$B,Summary!$A36,'Factory Log'!$K:$K,"*5pass*"))/$K37,0.0001),0)</f>
        <v>0</v>
      </c>
      <c r="AI37" s="258">
        <f>IFERROR(MROUND(SUM(SUMIFS('Factory Log'!$D:$D,'Factory Log'!$B:$B,Summary!$A33,'Factory Log'!$K:$K,"*EPM*")+SUMIFS('Factory Log'!$D:$D,'Factory Log'!$B:$B,Summary!$A34,'Factory Log'!$K:$K,"*8colour L*")+SUMIFS('Factory Log'!$D:$D,'Factory Log'!$B:$B,Summary!$A35,'Factory Log'!$K:$K,"*6pass*")+SUMIFS('Factory Log'!$D:$D,'Factory Log'!$B:$B,Summary!$A36,'Factory Log'!$K:$K,"*6pass*"))/$K37,0.0001),0)</f>
        <v>0</v>
      </c>
      <c r="AJ37" s="260">
        <f>IFERROR(MROUND(SUMIF('Factory Log'!$K:$K,"*7pass*",'Factory Log'!$D:$D)/Summary!$K37,0.0001),0)</f>
        <v>0</v>
      </c>
      <c r="AK37" s="261">
        <f>IFERROR(MROUND(SUM(SUMIFS('Factory Log'!$D:$D,'Factory Log'!$B:$B,Summary!$A33,'Factory Log'!$K:$K,"*4-Col*")+SUMIFS('Factory Log'!$D:$D,'Factory Log'!$B:$B,Summary!$A34,'Factory Log'!$K:$K,"*8colour H*")+SUMIFS('Factory Log'!$D:$D,'Factory Log'!$B:$B,Summary!$A35,'Factory Log'!$K:$K,"*8pass*")+SUMIFS('Factory Log'!$D:$D,'Factory Log'!$B:$B,Summary!$A36,'Factory Log'!$K:$K,"*8pass*"))/$K37,0.0001),0)+0.001</f>
        <v>0.49440000000000001</v>
      </c>
    </row>
    <row r="38" spans="1:37" ht="20" customHeight="1" thickBot="1" x14ac:dyDescent="0.25">
      <c r="J38" s="246"/>
    </row>
    <row r="39" spans="1:37" ht="20" customHeight="1" thickBot="1" x14ac:dyDescent="0.25">
      <c r="A39" s="41"/>
      <c r="B39" s="44"/>
      <c r="C39" s="44"/>
      <c r="D39" s="44"/>
      <c r="E39" s="44"/>
      <c r="F39" s="44"/>
      <c r="G39" s="44"/>
      <c r="H39" s="44"/>
      <c r="I39" s="44"/>
      <c r="J39" s="176"/>
      <c r="K39" s="280" t="s">
        <v>26</v>
      </c>
      <c r="L39" s="281"/>
      <c r="M39" s="281"/>
      <c r="N39" s="281"/>
      <c r="O39" s="281"/>
      <c r="P39" s="281"/>
      <c r="Q39" s="281"/>
      <c r="R39" s="281"/>
      <c r="S39" s="281"/>
      <c r="T39" s="282"/>
    </row>
    <row r="40" spans="1:37" ht="20" customHeight="1" x14ac:dyDescent="0.2">
      <c r="I40" s="123"/>
      <c r="J40" s="122" t="s">
        <v>88</v>
      </c>
      <c r="K40" s="274" t="s">
        <v>140</v>
      </c>
      <c r="L40" s="275"/>
      <c r="M40" s="276"/>
      <c r="N40" s="277" t="s">
        <v>141</v>
      </c>
      <c r="O40" s="278"/>
      <c r="P40" s="278"/>
      <c r="Q40" s="279"/>
      <c r="R40" s="278" t="s">
        <v>142</v>
      </c>
      <c r="S40" s="278"/>
      <c r="T40" s="279"/>
      <c r="U40" s="10"/>
      <c r="V40" s="10"/>
      <c r="W40" s="10"/>
      <c r="X40" s="10"/>
      <c r="Y40" s="10"/>
    </row>
    <row r="41" spans="1:37" ht="61" customHeight="1" thickBot="1" x14ac:dyDescent="0.25">
      <c r="A41" s="164" t="s">
        <v>133</v>
      </c>
      <c r="B41" s="165" t="s">
        <v>148</v>
      </c>
      <c r="C41" s="165" t="s">
        <v>149</v>
      </c>
      <c r="D41" s="95" t="s">
        <v>29</v>
      </c>
      <c r="E41" s="169" t="s">
        <v>30</v>
      </c>
      <c r="F41" s="23" t="s">
        <v>39</v>
      </c>
      <c r="G41" s="202" t="s">
        <v>40</v>
      </c>
      <c r="H41" s="15" t="s">
        <v>31</v>
      </c>
      <c r="I41" s="173" t="s">
        <v>32</v>
      </c>
      <c r="J41" s="120"/>
      <c r="K41" s="83" t="s">
        <v>43</v>
      </c>
      <c r="L41" s="82" t="s">
        <v>44</v>
      </c>
      <c r="M41" s="179" t="s">
        <v>45</v>
      </c>
      <c r="N41" s="88" t="s">
        <v>89</v>
      </c>
      <c r="O41" s="12" t="s">
        <v>46</v>
      </c>
      <c r="P41" s="12" t="s">
        <v>47</v>
      </c>
      <c r="Q41" s="89" t="s">
        <v>115</v>
      </c>
      <c r="R41" s="88" t="s">
        <v>116</v>
      </c>
      <c r="S41" s="12" t="s">
        <v>33</v>
      </c>
      <c r="T41" s="89" t="s">
        <v>34</v>
      </c>
      <c r="U41" s="28" t="s">
        <v>35</v>
      </c>
      <c r="V41" s="200" t="s">
        <v>139</v>
      </c>
      <c r="W41" s="24" t="s">
        <v>82</v>
      </c>
      <c r="X41" s="202" t="s">
        <v>41</v>
      </c>
      <c r="Y41" s="202" t="s">
        <v>42</v>
      </c>
      <c r="Z41" s="202" t="s">
        <v>36</v>
      </c>
      <c r="AA41" s="202" t="s">
        <v>37</v>
      </c>
      <c r="AB41" s="202" t="s">
        <v>38</v>
      </c>
    </row>
    <row r="42" spans="1:37" ht="20" customHeight="1" thickTop="1" x14ac:dyDescent="0.2">
      <c r="A42" s="166" t="s">
        <v>130</v>
      </c>
      <c r="B42" s="167">
        <f>IFERROR(MIN(D42*F42,1),0)</f>
        <v>0.46872197310787322</v>
      </c>
      <c r="C42" s="168">
        <f>IFERROR(MIN(E42*F42,1),0)</f>
        <v>0.77581567962682463</v>
      </c>
      <c r="D42" s="262">
        <f>IFERROR(SUM(K42:M42)/H42,0)</f>
        <v>0.15416666666666667</v>
      </c>
      <c r="E42" s="263">
        <f>IFERROR(SUM(K42:M42)/I42,0)</f>
        <v>0.25517241379310346</v>
      </c>
      <c r="F42" s="94">
        <f t="shared" ref="F42:F46" si="47">IFERROR(V42/W42,0)</f>
        <v>3.0403587444835019</v>
      </c>
      <c r="G42" s="205">
        <f>IFERROR(MIN(X42/Y42,1),0)</f>
        <v>0</v>
      </c>
      <c r="H42" s="16">
        <f>24*$D$5</f>
        <v>24</v>
      </c>
      <c r="I42" s="174">
        <f>$D$3-N42</f>
        <v>14.5</v>
      </c>
      <c r="J42" s="121">
        <f>SUM(K42:T42)</f>
        <v>24</v>
      </c>
      <c r="K42" s="99">
        <f>MROUND(SUMIFS('Factory Log'!$D:$D,'Factory Log'!$B:$B,Summary!$A42,'Factory Log'!$C:$C,"Running"),0.1)</f>
        <v>3.7</v>
      </c>
      <c r="L42" s="100">
        <f>MROUND(SUMIFS('Factory Log'!$D:$D,'Factory Log'!$B:$B,Summary!$A42,'Factory Log'!$C:$C,"Make Ready"),0.1)</f>
        <v>0</v>
      </c>
      <c r="M42" s="101">
        <f>MROUND(SUMIFS('Factory Log'!$D:$D,'Factory Log'!$B:$B,Summary!$A42,'Factory Log'!$C:$C,"Roll Change"),0.1)</f>
        <v>0</v>
      </c>
      <c r="N42" s="31">
        <f>MROUND(SUMIFS('Factory Log'!$D:$D,'Factory Log'!$B:$B,Summary!$A42,'Factory Log'!$C:$C,"Not Planned"),0.1)</f>
        <v>9.5</v>
      </c>
      <c r="O42" s="30">
        <f>MROUND(SUMIFS('Factory Log'!$D:$D,'Factory Log'!$B:$B,Summary!$A42,'Factory Log'!$C:$C,"No Work"),0.1)</f>
        <v>10.3</v>
      </c>
      <c r="P42" s="30">
        <f>MROUND(SUMIFS('Factory Log'!$D:$D,'Factory Log'!$B:$B,Summary!$A42,'Factory Log'!$C:$C,"Break"),0.1)</f>
        <v>0</v>
      </c>
      <c r="Q42" s="90">
        <f>MROUND(SUMIFS('Factory Log'!$D:$D,'Factory Log'!$B:$B,Summary!$A42,'Factory Log'!$C:$C,"Maintenance"),0.1)</f>
        <v>0.5</v>
      </c>
      <c r="R42" s="84">
        <f>MROUND(SUMIFS('Factory Log'!$D:$D,'Factory Log'!$B:$B,Summary!$A42,'Factory Log'!$C:$C,"Planned But No Operator"),0.1)</f>
        <v>0</v>
      </c>
      <c r="S42" s="30">
        <f>MROUND(SUMIFS('Factory Log'!$D:$D,'Factory Log'!$B:$B,Summary!$A42,'Factory Log'!$C:$C,"Breakdown")+SUMIFS('Factory Log'!$D:$D,'Factory Log'!$B:$B,Summary!$A42,'Factory Log'!$C:$C,"Repair In Progress"),0.1)</f>
        <v>0</v>
      </c>
      <c r="T42" s="85">
        <f>MROUND(SUMIFS('Factory Log'!$D:$D,'Factory Log'!$B:$B,Summary!$A42,'Factory Log'!$C:$C,"Job Card Error")+SUMIFS('Factory Log'!$D:$D,'Factory Log'!$B:$B,Summary!$A42,'Factory Log'!$C:$C,"Artwork Issue")+SUMIFS('Factory Log'!$D:$D,'Factory Log'!$B:$B,Summary!$A42,'Factory Log'!$C:$C,"IT Issue")+SUMIFS('Factory Log'!$D:$D,'Factory Log'!$B:$B,Summary!$A42,'Factory Log'!$C:$C,"Quality Issue")+SUMIFS('Factory Log'!$D:$D,'Factory Log'!$B:$B,Summary!$A42,'Factory Log'!$C:$C,"Material Issue")+SUMIFS('Factory Log'!$D:$D,'Factory Log'!$B:$B,Summary!$A42,'Factory Log'!$C:$C,"Operator Training"),0.1)</f>
        <v>0</v>
      </c>
      <c r="U42" s="32">
        <f>150*SUM(N42:T42)</f>
        <v>3045</v>
      </c>
      <c r="V42" s="25">
        <f>SUMIF(Performance!$DR:$DR,"&lt;&gt;338733.18",Performance!$EA:$EA)</f>
        <v>11.3</v>
      </c>
      <c r="W42" s="25">
        <f>SUMIF(Performance!$DR:$DR,"&lt;&gt;338733.18",Performance!$DV:$DV)</f>
        <v>3.7166666665580124</v>
      </c>
      <c r="X42" s="203">
        <v>0</v>
      </c>
      <c r="Y42" s="203">
        <v>0</v>
      </c>
      <c r="Z42" s="203">
        <v>0</v>
      </c>
      <c r="AA42" s="203">
        <v>0</v>
      </c>
      <c r="AB42" s="208">
        <f>IFERROR(SUM(Z42-AA42)/Z42,0)</f>
        <v>0</v>
      </c>
    </row>
    <row r="43" spans="1:37" ht="20" customHeight="1" x14ac:dyDescent="0.2">
      <c r="A43" s="166" t="s">
        <v>136</v>
      </c>
      <c r="B43" s="167">
        <f t="shared" ref="B43:B46" si="48">IFERROR(MIN(D43*F43,1),0)</f>
        <v>0</v>
      </c>
      <c r="C43" s="168">
        <f t="shared" ref="C43:C46" si="49">IFERROR(MIN(E43*F43,1),0)</f>
        <v>0</v>
      </c>
      <c r="D43" s="97">
        <f t="shared" ref="D43:D46" si="50">IFERROR(SUM(K43:M43)/H43,0)</f>
        <v>0</v>
      </c>
      <c r="E43" s="170">
        <f t="shared" ref="E43:E46" si="51">IFERROR(SUM(K43:M43)/I43,0)</f>
        <v>0</v>
      </c>
      <c r="F43" s="94">
        <f t="shared" si="47"/>
        <v>0</v>
      </c>
      <c r="G43" s="205">
        <f t="shared" ref="G43:G46" si="52">IFERROR(MIN(X43/Y43,1),0)</f>
        <v>0</v>
      </c>
      <c r="H43" s="16">
        <f>24*$D$5</f>
        <v>24</v>
      </c>
      <c r="I43" s="174">
        <f t="shared" ref="I43:I44" si="53">$D$3-N43</f>
        <v>12</v>
      </c>
      <c r="J43" s="121">
        <f>SUM(K43:T43)</f>
        <v>24</v>
      </c>
      <c r="K43" s="102">
        <f>MROUND(SUMIFS('Factory Log'!$D:$D,'Factory Log'!$B:$B,Summary!$A43,'Factory Log'!$C:$C,"Running"),0.1)</f>
        <v>0</v>
      </c>
      <c r="L43" s="29">
        <f>MROUND(SUMIFS('Factory Log'!$D:$D,'Factory Log'!$B:$B,Summary!$A43,'Factory Log'!$C:$C,"Make Ready"),0.1)</f>
        <v>0</v>
      </c>
      <c r="M43" s="103">
        <f>MROUND(SUMIFS('Factory Log'!$D:$D,'Factory Log'!$B:$B,Summary!$A43,'Factory Log'!$C:$C,"Roll Change"),0.1)</f>
        <v>0</v>
      </c>
      <c r="N43" s="31">
        <f>MROUND(SUMIFS('Factory Log'!$D:$D,'Factory Log'!$B:$B,Summary!$A43,'Factory Log'!$C:$C,"Not Planned"),0.1)</f>
        <v>12</v>
      </c>
      <c r="O43" s="30">
        <f>MROUND(SUMIFS('Factory Log'!$D:$D,'Factory Log'!$B:$B,Summary!$A43,'Factory Log'!$C:$C,"No Work"),0.1)</f>
        <v>0</v>
      </c>
      <c r="P43" s="30">
        <f>MROUND(SUMIFS('Factory Log'!$D:$D,'Factory Log'!$B:$B,Summary!$A43,'Factory Log'!$C:$C,"Break"),0.1)</f>
        <v>0</v>
      </c>
      <c r="Q43" s="90">
        <f>MROUND(SUMIFS('Factory Log'!$D:$D,'Factory Log'!$B:$B,Summary!$A43,'Factory Log'!$C:$C,"Maintenance"),0.1)</f>
        <v>0</v>
      </c>
      <c r="R43" s="84">
        <f>MROUND(SUMIFS('Factory Log'!$D:$D,'Factory Log'!$B:$B,Summary!$A43,'Factory Log'!$C:$C,"Planned But No Operator"),0.1)</f>
        <v>0</v>
      </c>
      <c r="S43" s="30">
        <f>MROUND(SUMIFS('Factory Log'!$D:$D,'Factory Log'!$B:$B,Summary!$A43,'Factory Log'!$C:$C,"Breakdown")+SUMIFS('Factory Log'!$D:$D,'Factory Log'!$B:$B,Summary!$A43,'Factory Log'!$C:$C,"Repair In Progress"),0.1)</f>
        <v>12</v>
      </c>
      <c r="T43" s="85">
        <f>MROUND(SUMIFS('Factory Log'!$D:$D,'Factory Log'!$B:$B,Summary!$A43,'Factory Log'!$C:$C,"Job Card Error")+SUMIFS('Factory Log'!$D:$D,'Factory Log'!$B:$B,Summary!$A43,'Factory Log'!$C:$C,"Artwork Issue")+SUMIFS('Factory Log'!$D:$D,'Factory Log'!$B:$B,Summary!$A43,'Factory Log'!$C:$C,"IT Issue")+SUMIFS('Factory Log'!$D:$D,'Factory Log'!$B:$B,Summary!$A43,'Factory Log'!$C:$C,"Quality Issue")+SUMIFS('Factory Log'!$D:$D,'Factory Log'!$B:$B,Summary!$A43,'Factory Log'!$C:$C,"Material Issue")+SUMIFS('Factory Log'!$D:$D,'Factory Log'!$B:$B,Summary!$A43,'Factory Log'!$C:$C,"Operator Training"),0.1)</f>
        <v>0</v>
      </c>
      <c r="U43" s="32">
        <f>150*SUM(N43:T43)</f>
        <v>3600</v>
      </c>
      <c r="V43" s="25">
        <f>SUMIF(Performance!$EC:$EC,"&lt;&gt;338733.07",Performance!$EL:$EL)</f>
        <v>0</v>
      </c>
      <c r="W43" s="25">
        <f>SUMIF(Performance!$EC:$EC,"&lt;&gt;338733.07",Performance!$EG:$EG)</f>
        <v>0</v>
      </c>
      <c r="X43" s="203">
        <v>0</v>
      </c>
      <c r="Y43" s="203">
        <v>0</v>
      </c>
      <c r="Z43" s="203">
        <v>0</v>
      </c>
      <c r="AA43" s="203">
        <v>0</v>
      </c>
      <c r="AB43" s="208">
        <f t="shared" ref="AB43:AB46" si="54">IFERROR(SUM(Z43-AA43)/Z43,0)</f>
        <v>0</v>
      </c>
    </row>
    <row r="44" spans="1:37" ht="20" customHeight="1" x14ac:dyDescent="0.2">
      <c r="A44" s="166" t="s">
        <v>131</v>
      </c>
      <c r="B44" s="167">
        <f t="shared" si="48"/>
        <v>0.33773072972162754</v>
      </c>
      <c r="C44" s="168">
        <f t="shared" si="49"/>
        <v>0.33773072972162754</v>
      </c>
      <c r="D44" s="97">
        <f t="shared" si="50"/>
        <v>0.77083333333333337</v>
      </c>
      <c r="E44" s="170">
        <f t="shared" si="51"/>
        <v>0.77083333333333337</v>
      </c>
      <c r="F44" s="94">
        <f t="shared" si="47"/>
        <v>0.43813716288211141</v>
      </c>
      <c r="G44" s="205">
        <f t="shared" si="52"/>
        <v>0</v>
      </c>
      <c r="H44" s="16">
        <f>24*$D$5</f>
        <v>24</v>
      </c>
      <c r="I44" s="174">
        <f t="shared" si="53"/>
        <v>24</v>
      </c>
      <c r="J44" s="121">
        <f>SUM(K44:T44)</f>
        <v>24</v>
      </c>
      <c r="K44" s="102">
        <f>MROUND(SUMIFS('Factory Log'!$D:$D,'Factory Log'!$B:$B,Summary!$A44,'Factory Log'!$C:$C,"Running"),0.1)</f>
        <v>18.5</v>
      </c>
      <c r="L44" s="29">
        <f>MROUND(SUMIFS('Factory Log'!$D:$D,'Factory Log'!$B:$B,Summary!$A44,'Factory Log'!$C:$C,"Make Ready"),0.1)</f>
        <v>0</v>
      </c>
      <c r="M44" s="103">
        <f>MROUND(SUMIFS('Factory Log'!$D:$D,'Factory Log'!$B:$B,Summary!$A44,'Factory Log'!$C:$C,"Roll Change"),0.1)</f>
        <v>0</v>
      </c>
      <c r="N44" s="31">
        <f>MROUND(SUMIFS('Factory Log'!$D:$D,'Factory Log'!$B:$B,Summary!$A44,'Factory Log'!$C:$C,"Not Planned"),0.1)</f>
        <v>0</v>
      </c>
      <c r="O44" s="30">
        <f>MROUND(SUMIFS('Factory Log'!$D:$D,'Factory Log'!$B:$B,Summary!$A44,'Factory Log'!$C:$C,"No Work"),0.1)</f>
        <v>5.1000000000000005</v>
      </c>
      <c r="P44" s="30">
        <f>MROUND(SUMIFS('Factory Log'!$D:$D,'Factory Log'!$B:$B,Summary!$A44,'Factory Log'!$C:$C,"Break"),0.1)</f>
        <v>0</v>
      </c>
      <c r="Q44" s="90">
        <f>MROUND(SUMIFS('Factory Log'!$D:$D,'Factory Log'!$B:$B,Summary!$A44,'Factory Log'!$C:$C,"Maintenance"),0.1)</f>
        <v>0.4</v>
      </c>
      <c r="R44" s="84">
        <f>MROUND(SUMIFS('Factory Log'!$D:$D,'Factory Log'!$B:$B,Summary!$A44,'Factory Log'!$C:$C,"Planned But No Operator"),0.1)</f>
        <v>0</v>
      </c>
      <c r="S44" s="30">
        <f>MROUND(SUMIFS('Factory Log'!$D:$D,'Factory Log'!$B:$B,Summary!$A44,'Factory Log'!$C:$C,"Breakdown")+SUMIFS('Factory Log'!$D:$D,'Factory Log'!$B:$B,Summary!$A44,'Factory Log'!$C:$C,"Repair In Progress"),0.1)</f>
        <v>0</v>
      </c>
      <c r="T44" s="85">
        <f>MROUND(SUMIFS('Factory Log'!$D:$D,'Factory Log'!$B:$B,Summary!$A44,'Factory Log'!$C:$C,"Job Card Error")+SUMIFS('Factory Log'!$D:$D,'Factory Log'!$B:$B,Summary!$A44,'Factory Log'!$C:$C,"Artwork Issue")+SUMIFS('Factory Log'!$D:$D,'Factory Log'!$B:$B,Summary!$A44,'Factory Log'!$C:$C,"IT Issue")+SUMIFS('Factory Log'!$D:$D,'Factory Log'!$B:$B,Summary!$A44,'Factory Log'!$C:$C,"Quality Issue")+SUMIFS('Factory Log'!$D:$D,'Factory Log'!$B:$B,Summary!$A44,'Factory Log'!$C:$C,"Material Issue")+SUMIFS('Factory Log'!$D:$D,'Factory Log'!$B:$B,Summary!$A44,'Factory Log'!$C:$C,"Operator Training"),0.1)</f>
        <v>0</v>
      </c>
      <c r="U44" s="32">
        <f>150*SUM(N44:T44)</f>
        <v>825.00000000000011</v>
      </c>
      <c r="V44" s="25">
        <f>SUMIF(Performance!$EN:$EN,"&lt;&gt;338733.08",Performance!$EW:$EW)</f>
        <v>8.0982352272727258</v>
      </c>
      <c r="W44" s="25">
        <f>SUMIF(Performance!$EN:$EN,"&lt;&gt;338733.08",Performance!$ER:$ER)</f>
        <v>18.483333333337214</v>
      </c>
      <c r="X44" s="203">
        <v>0</v>
      </c>
      <c r="Y44" s="203">
        <v>0</v>
      </c>
      <c r="Z44" s="203">
        <v>0</v>
      </c>
      <c r="AA44" s="203">
        <v>0</v>
      </c>
      <c r="AB44" s="208">
        <f t="shared" si="54"/>
        <v>0</v>
      </c>
    </row>
    <row r="45" spans="1:37" ht="20" customHeight="1" thickBot="1" x14ac:dyDescent="0.25">
      <c r="A45" s="166" t="s">
        <v>132</v>
      </c>
      <c r="B45" s="167">
        <f t="shared" si="48"/>
        <v>0.42067713976452764</v>
      </c>
      <c r="C45" s="168">
        <f t="shared" si="49"/>
        <v>0.84135427952905528</v>
      </c>
      <c r="D45" s="98">
        <f t="shared" si="50"/>
        <v>0.35416666666666669</v>
      </c>
      <c r="E45" s="171">
        <f t="shared" si="51"/>
        <v>0.70833333333333337</v>
      </c>
      <c r="F45" s="94">
        <f t="shared" si="47"/>
        <v>1.1877942769821956</v>
      </c>
      <c r="G45" s="205">
        <f t="shared" si="52"/>
        <v>0</v>
      </c>
      <c r="H45" s="16">
        <f>24*$D$5</f>
        <v>24</v>
      </c>
      <c r="I45" s="174">
        <f>$D$3-N45</f>
        <v>12</v>
      </c>
      <c r="J45" s="121">
        <f>SUM(K45:T45)</f>
        <v>24</v>
      </c>
      <c r="K45" s="104">
        <f>MROUND(SUMIFS('Factory Log'!$D:$D,'Factory Log'!$B:$B,Summary!$A45,'Factory Log'!$C:$C,"Running"),0.1)</f>
        <v>8.5</v>
      </c>
      <c r="L45" s="105">
        <f>MROUND(SUMIFS('Factory Log'!$D:$D,'Factory Log'!$B:$B,Summary!$A45,'Factory Log'!$C:$C,"Make Ready"),0.1)</f>
        <v>0</v>
      </c>
      <c r="M45" s="106">
        <f>MROUND(SUMIFS('Factory Log'!$D:$D,'Factory Log'!$B:$B,Summary!$A45,'Factory Log'!$C:$C,"Roll Change"),0.1)</f>
        <v>0</v>
      </c>
      <c r="N45" s="31">
        <f>MROUND(SUMIFS('Factory Log'!$D:$D,'Factory Log'!$B:$B,Summary!$A45,'Factory Log'!$C:$C,"Not Planned"),0.1)</f>
        <v>12</v>
      </c>
      <c r="O45" s="30">
        <f>MROUND(SUMIFS('Factory Log'!$D:$D,'Factory Log'!$B:$B,Summary!$A45,'Factory Log'!$C:$C,"No Work"),0.1)</f>
        <v>1.4000000000000001</v>
      </c>
      <c r="P45" s="30">
        <f>MROUND(SUMIFS('Factory Log'!$D:$D,'Factory Log'!$B:$B,Summary!$A45,'Factory Log'!$C:$C,"Break"),0.1)</f>
        <v>0</v>
      </c>
      <c r="Q45" s="90">
        <f>MROUND(SUMIFS('Factory Log'!$D:$D,'Factory Log'!$B:$B,Summary!$A45,'Factory Log'!$C:$C,"Maintenance"),0.1)</f>
        <v>2.1</v>
      </c>
      <c r="R45" s="84">
        <f>MROUND(SUMIFS('Factory Log'!$D:$D,'Factory Log'!$B:$B,Summary!$A45,'Factory Log'!$C:$C,"Planned But No Operator"),0.1)</f>
        <v>0</v>
      </c>
      <c r="S45" s="30">
        <f>MROUND(SUMIFS('Factory Log'!$D:$D,'Factory Log'!$B:$B,Summary!$A45,'Factory Log'!$C:$C,"Breakdown")+SUMIFS('Factory Log'!$D:$D,'Factory Log'!$B:$B,Summary!$A45,'Factory Log'!$C:$C,"Repair In Progress"),0.1)</f>
        <v>0</v>
      </c>
      <c r="T45" s="85">
        <f>MROUND(SUMIFS('Factory Log'!$D:$D,'Factory Log'!$B:$B,Summary!$A45,'Factory Log'!$C:$C,"Job Card Error")+SUMIFS('Factory Log'!$D:$D,'Factory Log'!$B:$B,Summary!$A45,'Factory Log'!$C:$C,"Artwork Issue")+SUMIFS('Factory Log'!$D:$D,'Factory Log'!$B:$B,Summary!$A45,'Factory Log'!$C:$C,"IT Issue")+SUMIFS('Factory Log'!$D:$D,'Factory Log'!$B:$B,Summary!$A45,'Factory Log'!$C:$C,"Quality Issue")+SUMIFS('Factory Log'!$D:$D,'Factory Log'!$B:$B,Summary!$A45,'Factory Log'!$C:$C,"Material Issue")+SUMIFS('Factory Log'!$D:$D,'Factory Log'!$B:$B,Summary!$A45,'Factory Log'!$C:$C,"Operator Training"),0.1)</f>
        <v>0</v>
      </c>
      <c r="U45" s="32">
        <f>150*SUM(N45:T45)</f>
        <v>2325</v>
      </c>
      <c r="V45" s="25">
        <f>SUMIF(Performance!$EY:$EY,"&lt;&gt;338733.09",Performance!$FH:$FH)</f>
        <v>10.096251354279524</v>
      </c>
      <c r="W45" s="25">
        <f>SUMIF(Performance!$EY:$EY,"&lt;&gt;338733.09",Performance!$FC:$FC)</f>
        <v>8.4999999999417923</v>
      </c>
      <c r="X45" s="203">
        <v>0</v>
      </c>
      <c r="Y45" s="203">
        <v>0</v>
      </c>
      <c r="Z45" s="203">
        <v>0</v>
      </c>
      <c r="AA45" s="203">
        <v>0</v>
      </c>
      <c r="AB45" s="208">
        <f t="shared" si="54"/>
        <v>0</v>
      </c>
    </row>
    <row r="46" spans="1:37" ht="20" customHeight="1" thickTop="1" thickBot="1" x14ac:dyDescent="0.25">
      <c r="A46" s="166" t="s">
        <v>134</v>
      </c>
      <c r="B46" s="167">
        <f t="shared" si="48"/>
        <v>0.30723423522613363</v>
      </c>
      <c r="C46" s="168">
        <f t="shared" si="49"/>
        <v>0.47191178530734129</v>
      </c>
      <c r="D46" s="96">
        <f t="shared" si="50"/>
        <v>0.31979166666666664</v>
      </c>
      <c r="E46" s="172">
        <f t="shared" si="51"/>
        <v>0.49119999999999997</v>
      </c>
      <c r="F46" s="185">
        <f t="shared" si="47"/>
        <v>0.96073246194491313</v>
      </c>
      <c r="G46" s="206">
        <f t="shared" si="52"/>
        <v>0</v>
      </c>
      <c r="H46" s="17">
        <f>SUM(H42:H45)</f>
        <v>96</v>
      </c>
      <c r="I46" s="175">
        <f>SUM(I42:I45)</f>
        <v>62.5</v>
      </c>
      <c r="J46" s="244">
        <f>SUM(J42:J45)</f>
        <v>96</v>
      </c>
      <c r="K46" s="86">
        <f>SUM(K42:K45)</f>
        <v>30.7</v>
      </c>
      <c r="L46" s="87">
        <f t="shared" ref="L46:P46" si="55">SUM(L42:L45)</f>
        <v>0</v>
      </c>
      <c r="M46" s="180">
        <f t="shared" si="55"/>
        <v>0</v>
      </c>
      <c r="N46" s="91">
        <f t="shared" si="55"/>
        <v>33.5</v>
      </c>
      <c r="O46" s="92">
        <f t="shared" si="55"/>
        <v>16.8</v>
      </c>
      <c r="P46" s="92">
        <f t="shared" si="55"/>
        <v>0</v>
      </c>
      <c r="Q46" s="93">
        <f>SUM(Q42:Q45)</f>
        <v>3</v>
      </c>
      <c r="R46" s="91">
        <f t="shared" ref="R46:AA46" si="56">SUM(R42:R45)</f>
        <v>0</v>
      </c>
      <c r="S46" s="92">
        <f t="shared" si="56"/>
        <v>12</v>
      </c>
      <c r="T46" s="93">
        <f t="shared" si="56"/>
        <v>0</v>
      </c>
      <c r="U46" s="33">
        <f t="shared" si="56"/>
        <v>9795</v>
      </c>
      <c r="V46" s="26">
        <f t="shared" si="56"/>
        <v>29.494486581552252</v>
      </c>
      <c r="W46" s="26">
        <f t="shared" si="56"/>
        <v>30.699999999837019</v>
      </c>
      <c r="X46" s="204">
        <f t="shared" si="56"/>
        <v>0</v>
      </c>
      <c r="Y46" s="204">
        <f t="shared" si="56"/>
        <v>0</v>
      </c>
      <c r="Z46" s="209">
        <f t="shared" si="56"/>
        <v>0</v>
      </c>
      <c r="AA46" s="209">
        <f t="shared" si="56"/>
        <v>0</v>
      </c>
      <c r="AB46" s="208">
        <f t="shared" si="54"/>
        <v>0</v>
      </c>
    </row>
    <row r="47" spans="1:37" ht="20" customHeight="1" x14ac:dyDescent="0.2"/>
    <row r="48" spans="1:37" ht="20" customHeight="1" x14ac:dyDescent="0.2"/>
    <row r="49" ht="20" customHeight="1" x14ac:dyDescent="0.2"/>
  </sheetData>
  <mergeCells count="21">
    <mergeCell ref="AD7:AK7"/>
    <mergeCell ref="K39:T39"/>
    <mergeCell ref="K40:M40"/>
    <mergeCell ref="N40:Q40"/>
    <mergeCell ref="R40:T40"/>
    <mergeCell ref="K31:M31"/>
    <mergeCell ref="N31:Q31"/>
    <mergeCell ref="R31:T31"/>
    <mergeCell ref="K6:T6"/>
    <mergeCell ref="K7:M7"/>
    <mergeCell ref="N7:Q7"/>
    <mergeCell ref="R7:T7"/>
    <mergeCell ref="K30:T30"/>
    <mergeCell ref="K13:T13"/>
    <mergeCell ref="N14:Q14"/>
    <mergeCell ref="R14:T14"/>
    <mergeCell ref="N22:Q22"/>
    <mergeCell ref="R22:T22"/>
    <mergeCell ref="K21:T21"/>
    <mergeCell ref="K22:M22"/>
    <mergeCell ref="K14:M14"/>
  </mergeCells>
  <conditionalFormatting sqref="A1:XFD6 A38:XFD41 AL7:XFD37 A47:XFD1048576 X42:XFD45 A42:C46 F46:XFD46 A7:AC37 F42:U45">
    <cfRule type="cellIs" dxfId="55" priority="45" operator="equal">
      <formula>0</formula>
    </cfRule>
  </conditionalFormatting>
  <conditionalFormatting sqref="AD28:AI28 AD23:AI23 AD15:AI16 AD20:AJ22 AD17:AE17 AG17:AH17 AD18:AI19">
    <cfRule type="cellIs" dxfId="54" priority="44" operator="equal">
      <formula>0</formula>
    </cfRule>
  </conditionalFormatting>
  <conditionalFormatting sqref="AD32:AI32 AK33:AK35 AG33 AI33 AE34:AI34 AE35:AJ35 AE36:AK37">
    <cfRule type="cellIs" dxfId="53" priority="43" operator="equal">
      <formula>0</formula>
    </cfRule>
  </conditionalFormatting>
  <conditionalFormatting sqref="AK15 AK20:AK23">
    <cfRule type="cellIs" dxfId="52" priority="41" operator="equal">
      <formula>0</formula>
    </cfRule>
  </conditionalFormatting>
  <conditionalFormatting sqref="AK32">
    <cfRule type="cellIs" dxfId="51" priority="39" operator="equal">
      <formula>0</formula>
    </cfRule>
  </conditionalFormatting>
  <conditionalFormatting sqref="AJ15">
    <cfRule type="cellIs" dxfId="50" priority="33" operator="equal">
      <formula>0</formula>
    </cfRule>
  </conditionalFormatting>
  <conditionalFormatting sqref="AD9:AK9">
    <cfRule type="cellIs" dxfId="49" priority="36" operator="equal">
      <formula>0</formula>
    </cfRule>
  </conditionalFormatting>
  <conditionalFormatting sqref="AJ23">
    <cfRule type="cellIs" dxfId="48" priority="32" operator="equal">
      <formula>0</formula>
    </cfRule>
  </conditionalFormatting>
  <conditionalFormatting sqref="AJ32">
    <cfRule type="cellIs" dxfId="47" priority="31" operator="equal">
      <formula>0</formula>
    </cfRule>
  </conditionalFormatting>
  <conditionalFormatting sqref="AI17">
    <cfRule type="cellIs" dxfId="46" priority="24" operator="equal">
      <formula>0</formula>
    </cfRule>
  </conditionalFormatting>
  <conditionalFormatting sqref="AJ17">
    <cfRule type="cellIs" dxfId="45" priority="23" operator="equal">
      <formula>0</formula>
    </cfRule>
  </conditionalFormatting>
  <conditionalFormatting sqref="AF17">
    <cfRule type="cellIs" dxfId="44" priority="27" operator="equal">
      <formula>0</formula>
    </cfRule>
  </conditionalFormatting>
  <conditionalFormatting sqref="AJ16">
    <cfRule type="cellIs" dxfId="43" priority="26" operator="equal">
      <formula>0</formula>
    </cfRule>
  </conditionalFormatting>
  <conditionalFormatting sqref="AK16">
    <cfRule type="cellIs" dxfId="42" priority="25" operator="equal">
      <formula>0</formula>
    </cfRule>
  </conditionalFormatting>
  <conditionalFormatting sqref="AK17">
    <cfRule type="cellIs" dxfId="41" priority="22" operator="equal">
      <formula>0</formula>
    </cfRule>
  </conditionalFormatting>
  <conditionalFormatting sqref="AJ18">
    <cfRule type="cellIs" dxfId="40" priority="21" operator="equal">
      <formula>0</formula>
    </cfRule>
  </conditionalFormatting>
  <conditionalFormatting sqref="AK18">
    <cfRule type="cellIs" dxfId="39" priority="20" operator="equal">
      <formula>0</formula>
    </cfRule>
  </conditionalFormatting>
  <conditionalFormatting sqref="AJ19">
    <cfRule type="cellIs" dxfId="38" priority="19" operator="equal">
      <formula>0</formula>
    </cfRule>
  </conditionalFormatting>
  <conditionalFormatting sqref="AK19">
    <cfRule type="cellIs" dxfId="37" priority="18" operator="equal">
      <formula>0</formula>
    </cfRule>
  </conditionalFormatting>
  <conditionalFormatting sqref="AJ28">
    <cfRule type="cellIs" dxfId="36" priority="17" operator="equal">
      <formula>0</formula>
    </cfRule>
  </conditionalFormatting>
  <conditionalFormatting sqref="AK28">
    <cfRule type="cellIs" dxfId="35" priority="16" operator="equal">
      <formula>0</formula>
    </cfRule>
  </conditionalFormatting>
  <conditionalFormatting sqref="AJ33">
    <cfRule type="cellIs" dxfId="34" priority="15" operator="equal">
      <formula>0</formula>
    </cfRule>
  </conditionalFormatting>
  <conditionalFormatting sqref="AJ34">
    <cfRule type="cellIs" dxfId="33" priority="14" operator="equal">
      <formula>0</formula>
    </cfRule>
  </conditionalFormatting>
  <conditionalFormatting sqref="AH33">
    <cfRule type="cellIs" dxfId="32" priority="13" operator="equal">
      <formula>0</formula>
    </cfRule>
  </conditionalFormatting>
  <conditionalFormatting sqref="AE33">
    <cfRule type="cellIs" dxfId="31" priority="12" operator="equal">
      <formula>0</formula>
    </cfRule>
  </conditionalFormatting>
  <conditionalFormatting sqref="AF33">
    <cfRule type="cellIs" dxfId="30" priority="11" operator="equal">
      <formula>0</formula>
    </cfRule>
  </conditionalFormatting>
  <conditionalFormatting sqref="AD33:AD37">
    <cfRule type="cellIs" dxfId="29" priority="10" operator="equal">
      <formula>0</formula>
    </cfRule>
  </conditionalFormatting>
  <conditionalFormatting sqref="AD24:AI27">
    <cfRule type="cellIs" dxfId="28" priority="9" operator="equal">
      <formula>0</formula>
    </cfRule>
  </conditionalFormatting>
  <conditionalFormatting sqref="AJ24:AJ27">
    <cfRule type="cellIs" dxfId="27" priority="8" operator="equal">
      <formula>0</formula>
    </cfRule>
  </conditionalFormatting>
  <conditionalFormatting sqref="AK24:AK27">
    <cfRule type="cellIs" dxfId="26" priority="7" operator="equal">
      <formula>0</formula>
    </cfRule>
  </conditionalFormatting>
  <conditionalFormatting sqref="AD7">
    <cfRule type="cellIs" dxfId="25" priority="5" operator="equal">
      <formula>0</formula>
    </cfRule>
  </conditionalFormatting>
  <conditionalFormatting sqref="AK8">
    <cfRule type="cellIs" dxfId="24" priority="3" operator="equal">
      <formula>0</formula>
    </cfRule>
  </conditionalFormatting>
  <conditionalFormatting sqref="AD8:AJ8">
    <cfRule type="cellIs" dxfId="23" priority="4" operator="equal">
      <formula>0</formula>
    </cfRule>
  </conditionalFormatting>
  <conditionalFormatting sqref="V42:W45">
    <cfRule type="cellIs" dxfId="22" priority="2" operator="equal">
      <formula>0</formula>
    </cfRule>
  </conditionalFormatting>
  <conditionalFormatting sqref="D42:E46">
    <cfRule type="cellIs" dxfId="21" priority="1" operator="equal">
      <formula>0</formula>
    </cfRule>
  </conditionalFormatting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3310-ED81-094A-AD53-84DEE4AAB23D}">
  <sheetPr>
    <tabColor theme="3"/>
  </sheetPr>
  <dimension ref="A1:N93"/>
  <sheetViews>
    <sheetView zoomScale="110" zoomScaleNormal="110" workbookViewId="0">
      <selection activeCell="K88" sqref="K88"/>
    </sheetView>
  </sheetViews>
  <sheetFormatPr baseColWidth="10" defaultRowHeight="14" x14ac:dyDescent="0.2"/>
  <cols>
    <col min="1" max="2" width="12" style="50" customWidth="1"/>
    <col min="3" max="3" width="11.19921875" style="50" customWidth="1"/>
    <col min="4" max="4" width="10.3984375" style="51" customWidth="1"/>
    <col min="5" max="5" width="10.3984375" style="39" customWidth="1"/>
    <col min="6" max="6" width="9.59765625" style="3" customWidth="1"/>
    <col min="7" max="7" width="9.796875" style="3" customWidth="1"/>
    <col min="8" max="8" width="9.59765625" style="3" customWidth="1"/>
    <col min="9" max="10" width="10.3984375" style="3" customWidth="1"/>
    <col min="11" max="11" width="9.59765625" style="3" customWidth="1"/>
    <col min="12" max="12" width="10" style="3" customWidth="1"/>
    <col min="13" max="13" width="10.3984375" style="3" customWidth="1"/>
    <col min="14" max="14" width="10.796875" style="3" customWidth="1"/>
    <col min="15" max="15" width="11" style="3" customWidth="1"/>
    <col min="16" max="16384" width="11" style="3"/>
  </cols>
  <sheetData>
    <row r="1" spans="1:14" ht="15" x14ac:dyDescent="0.2">
      <c r="A1" s="162" t="str">
        <f>TEXT(Summary!$B$6,"dd/MM/yyyy")&amp;" - "&amp;TEXT(Summary!$D$6,"dd/MM/yyyy")</f>
        <v>19/01/2022 - 19/01/2022</v>
      </c>
      <c r="B1" s="160"/>
      <c r="C1" s="46"/>
      <c r="D1" s="47" t="s">
        <v>17</v>
      </c>
      <c r="J1" s="221"/>
      <c r="K1" s="221"/>
      <c r="M1" s="222"/>
      <c r="N1" s="222"/>
    </row>
    <row r="2" spans="1:14" ht="16" thickBot="1" x14ac:dyDescent="0.25">
      <c r="A2" s="52"/>
      <c r="D2" s="136" t="str">
        <f>_xlfn.CONCAT(SUM(D3:D12)," ","hrs")</f>
        <v>24 hrs</v>
      </c>
      <c r="F2" s="201" t="s">
        <v>140</v>
      </c>
      <c r="G2" s="227">
        <f>SUM(D3:D5)</f>
        <v>0</v>
      </c>
      <c r="J2" s="163" t="s">
        <v>90</v>
      </c>
      <c r="K2" s="217">
        <f t="shared" ref="K2:K11" si="0">D3</f>
        <v>0</v>
      </c>
      <c r="L2" s="64">
        <f t="shared" ref="L2:L11" si="1">K2/G$6</f>
        <v>0</v>
      </c>
      <c r="M2" s="223"/>
      <c r="N2" s="223"/>
    </row>
    <row r="3" spans="1:14" x14ac:dyDescent="0.2">
      <c r="A3" s="110" t="s">
        <v>143</v>
      </c>
      <c r="B3" s="111" t="s">
        <v>90</v>
      </c>
      <c r="C3" s="111"/>
      <c r="D3" s="130">
        <f>Summary!K16</f>
        <v>0</v>
      </c>
      <c r="F3" s="201" t="s">
        <v>141</v>
      </c>
      <c r="G3" s="227">
        <f>SUM(D6:D9)</f>
        <v>24</v>
      </c>
      <c r="J3" s="163" t="s">
        <v>91</v>
      </c>
      <c r="K3" s="217">
        <f t="shared" si="0"/>
        <v>0</v>
      </c>
      <c r="L3" s="64">
        <f t="shared" si="1"/>
        <v>0</v>
      </c>
    </row>
    <row r="4" spans="1:14" x14ac:dyDescent="0.2">
      <c r="A4" s="112"/>
      <c r="B4" s="49" t="s">
        <v>91</v>
      </c>
      <c r="C4" s="49"/>
      <c r="D4" s="131">
        <f>Summary!L16</f>
        <v>0</v>
      </c>
      <c r="F4" s="201" t="s">
        <v>147</v>
      </c>
      <c r="G4" s="227">
        <f>SUM(D10:D12)</f>
        <v>0</v>
      </c>
      <c r="J4" s="163" t="s">
        <v>45</v>
      </c>
      <c r="K4" s="217">
        <f t="shared" si="0"/>
        <v>0</v>
      </c>
      <c r="L4" s="64">
        <f t="shared" si="1"/>
        <v>0</v>
      </c>
    </row>
    <row r="5" spans="1:14" ht="15" thickBot="1" x14ac:dyDescent="0.25">
      <c r="A5" s="113"/>
      <c r="B5" s="114" t="s">
        <v>92</v>
      </c>
      <c r="C5" s="114"/>
      <c r="D5" s="132">
        <f>Summary!M16</f>
        <v>0</v>
      </c>
      <c r="F5" s="201" t="s">
        <v>19</v>
      </c>
      <c r="G5" s="227">
        <f>G6-SUM(G2:G4)</f>
        <v>0</v>
      </c>
      <c r="J5" s="163" t="s">
        <v>109</v>
      </c>
      <c r="K5" s="217">
        <f t="shared" si="0"/>
        <v>0</v>
      </c>
      <c r="L5" s="64">
        <f t="shared" si="1"/>
        <v>0</v>
      </c>
    </row>
    <row r="6" spans="1:14" x14ac:dyDescent="0.2">
      <c r="A6" s="107" t="s">
        <v>144</v>
      </c>
      <c r="B6" s="108" t="s">
        <v>93</v>
      </c>
      <c r="C6" s="108"/>
      <c r="D6" s="133">
        <f>Summary!N16</f>
        <v>0</v>
      </c>
      <c r="F6" s="201"/>
      <c r="G6" s="228">
        <f>Summary!H16</f>
        <v>24</v>
      </c>
      <c r="J6" s="163" t="s">
        <v>110</v>
      </c>
      <c r="K6" s="217">
        <f t="shared" si="0"/>
        <v>0</v>
      </c>
      <c r="L6" s="64">
        <f t="shared" si="1"/>
        <v>0</v>
      </c>
    </row>
    <row r="7" spans="1:14" x14ac:dyDescent="0.2">
      <c r="A7" s="48" t="s">
        <v>145</v>
      </c>
      <c r="B7" s="49" t="s">
        <v>94</v>
      </c>
      <c r="C7" s="49"/>
      <c r="D7" s="134">
        <f>Summary!O16</f>
        <v>0</v>
      </c>
      <c r="J7" s="163" t="s">
        <v>95</v>
      </c>
      <c r="K7" s="217">
        <f t="shared" si="0"/>
        <v>0</v>
      </c>
      <c r="L7" s="64">
        <f t="shared" si="1"/>
        <v>0</v>
      </c>
    </row>
    <row r="8" spans="1:14" x14ac:dyDescent="0.2">
      <c r="A8" s="48"/>
      <c r="B8" s="49" t="s">
        <v>95</v>
      </c>
      <c r="C8" s="49"/>
      <c r="D8" s="134">
        <f>Summary!P16</f>
        <v>0</v>
      </c>
      <c r="J8" s="163" t="s">
        <v>118</v>
      </c>
      <c r="K8" s="217">
        <f t="shared" si="0"/>
        <v>24</v>
      </c>
      <c r="L8" s="64">
        <f t="shared" si="1"/>
        <v>1</v>
      </c>
    </row>
    <row r="9" spans="1:14" x14ac:dyDescent="0.2">
      <c r="A9" s="48"/>
      <c r="B9" s="49" t="s">
        <v>115</v>
      </c>
      <c r="C9" s="49"/>
      <c r="D9" s="134">
        <f>Summary!Q16</f>
        <v>24</v>
      </c>
      <c r="J9" s="163" t="s">
        <v>117</v>
      </c>
      <c r="K9" s="217">
        <f t="shared" si="0"/>
        <v>0</v>
      </c>
      <c r="L9" s="64">
        <f t="shared" si="1"/>
        <v>0</v>
      </c>
    </row>
    <row r="10" spans="1:14" x14ac:dyDescent="0.2">
      <c r="A10" s="48" t="s">
        <v>146</v>
      </c>
      <c r="B10" s="49" t="s">
        <v>119</v>
      </c>
      <c r="C10" s="49"/>
      <c r="D10" s="134">
        <f>Summary!R16</f>
        <v>0</v>
      </c>
      <c r="J10" s="163" t="s">
        <v>33</v>
      </c>
      <c r="K10" s="217">
        <f t="shared" si="0"/>
        <v>0</v>
      </c>
      <c r="L10" s="64">
        <f t="shared" si="1"/>
        <v>0</v>
      </c>
    </row>
    <row r="11" spans="1:14" x14ac:dyDescent="0.2">
      <c r="A11" s="48" t="s">
        <v>145</v>
      </c>
      <c r="B11" s="49" t="s">
        <v>96</v>
      </c>
      <c r="C11" s="49"/>
      <c r="D11" s="134">
        <f>Summary!S16</f>
        <v>0</v>
      </c>
      <c r="J11" s="163" t="s">
        <v>34</v>
      </c>
      <c r="K11" s="217">
        <f t="shared" si="0"/>
        <v>0</v>
      </c>
      <c r="L11" s="64">
        <f t="shared" si="1"/>
        <v>0</v>
      </c>
    </row>
    <row r="12" spans="1:14" x14ac:dyDescent="0.2">
      <c r="A12" s="49"/>
      <c r="B12" s="49" t="s">
        <v>97</v>
      </c>
      <c r="C12" s="49"/>
      <c r="D12" s="134">
        <f>Summary!T16</f>
        <v>0</v>
      </c>
    </row>
    <row r="13" spans="1:14" x14ac:dyDescent="0.2">
      <c r="A13" s="49"/>
      <c r="B13" s="286" t="s">
        <v>20</v>
      </c>
      <c r="C13" s="286"/>
      <c r="D13" s="139">
        <f>SUMIFS('Factory Log'!D:D,'Factory Log'!B:B,Hybrid!D1,'Factory Log'!C:C,Hybrid!B13)</f>
        <v>0</v>
      </c>
    </row>
    <row r="14" spans="1:14" x14ac:dyDescent="0.2">
      <c r="A14" s="49"/>
      <c r="B14" s="286" t="s">
        <v>21</v>
      </c>
      <c r="C14" s="286"/>
      <c r="D14" s="139">
        <f>SUMIFS('Factory Log'!D:D,'Factory Log'!B:B,Hybrid!D1,'Factory Log'!C:C,Hybrid!B14)</f>
        <v>0</v>
      </c>
    </row>
    <row r="15" spans="1:14" x14ac:dyDescent="0.2">
      <c r="A15" s="49"/>
      <c r="B15" s="286" t="s">
        <v>22</v>
      </c>
      <c r="C15" s="286"/>
      <c r="D15" s="139">
        <f>SUMIFS('Factory Log'!D:D,'Factory Log'!B:B,Hybrid!D1,'Factory Log'!C:C,Hybrid!B15)</f>
        <v>0</v>
      </c>
    </row>
    <row r="16" spans="1:14" x14ac:dyDescent="0.2">
      <c r="A16" s="49"/>
      <c r="B16" s="286" t="s">
        <v>23</v>
      </c>
      <c r="C16" s="286"/>
      <c r="D16" s="139">
        <f>SUMIFS('Factory Log'!D:D,'Factory Log'!B:B,Hybrid!D1,'Factory Log'!C:C,Hybrid!B16)</f>
        <v>0</v>
      </c>
    </row>
    <row r="17" spans="1:14" x14ac:dyDescent="0.2">
      <c r="A17" s="49"/>
      <c r="B17" s="286" t="s">
        <v>12</v>
      </c>
      <c r="C17" s="286"/>
      <c r="D17" s="139">
        <f>SUMIFS('Factory Log'!D:D,'Factory Log'!B:B,Hybrid!D1,'Factory Log'!C:C,Hybrid!B17)</f>
        <v>0</v>
      </c>
    </row>
    <row r="18" spans="1:14" x14ac:dyDescent="0.2">
      <c r="A18" s="49"/>
      <c r="B18" s="286" t="s">
        <v>18</v>
      </c>
      <c r="C18" s="286"/>
      <c r="D18" s="139">
        <f>SUMIFS('Factory Log'!D:D,'Factory Log'!B:B,Hybrid!D1,'Factory Log'!C:C,Hybrid!B18)</f>
        <v>0</v>
      </c>
    </row>
    <row r="19" spans="1:14" x14ac:dyDescent="0.2">
      <c r="A19" s="109"/>
      <c r="B19" s="109"/>
      <c r="C19" s="109"/>
      <c r="D19" s="109"/>
    </row>
    <row r="20" spans="1:14" x14ac:dyDescent="0.2">
      <c r="B20" s="50" t="s">
        <v>159</v>
      </c>
      <c r="C20" s="218">
        <f>Summary!AD16</f>
        <v>0</v>
      </c>
      <c r="E20" s="144" t="s">
        <v>100</v>
      </c>
      <c r="F20" s="66" t="s">
        <v>101</v>
      </c>
      <c r="G20" s="66"/>
      <c r="H20" s="66"/>
      <c r="I20" s="66"/>
      <c r="J20" s="66" t="s">
        <v>102</v>
      </c>
      <c r="K20" s="66"/>
      <c r="L20" s="66"/>
      <c r="M20" s="66" t="s">
        <v>103</v>
      </c>
      <c r="N20" s="233" t="s">
        <v>104</v>
      </c>
    </row>
    <row r="21" spans="1:14" ht="14" customHeight="1" x14ac:dyDescent="0.2">
      <c r="B21" s="50" t="s">
        <v>160</v>
      </c>
      <c r="C21" s="218">
        <f>Summary!AE16</f>
        <v>0</v>
      </c>
      <c r="M21" s="58"/>
      <c r="N21" s="4"/>
    </row>
    <row r="22" spans="1:14" ht="14" customHeight="1" x14ac:dyDescent="0.2">
      <c r="B22" s="50" t="s">
        <v>154</v>
      </c>
      <c r="C22" s="218">
        <f>Summary!AF16</f>
        <v>0</v>
      </c>
      <c r="M22" s="58"/>
      <c r="N22" s="4"/>
    </row>
    <row r="23" spans="1:14" ht="14" customHeight="1" x14ac:dyDescent="0.2">
      <c r="B23" s="50" t="s">
        <v>161</v>
      </c>
      <c r="C23" s="218">
        <f>Summary!AG16</f>
        <v>0</v>
      </c>
      <c r="M23" s="58"/>
      <c r="N23" s="4"/>
    </row>
    <row r="24" spans="1:14" ht="14" customHeight="1" x14ac:dyDescent="0.2">
      <c r="B24" s="50" t="s">
        <v>162</v>
      </c>
      <c r="C24" s="218">
        <f>Summary!AH16</f>
        <v>0</v>
      </c>
      <c r="M24" s="58"/>
      <c r="N24" s="4"/>
    </row>
    <row r="25" spans="1:14" x14ac:dyDescent="0.2">
      <c r="B25" s="50" t="s">
        <v>157</v>
      </c>
      <c r="C25" s="218">
        <f>Summary!AI16</f>
        <v>0</v>
      </c>
      <c r="M25" s="58"/>
      <c r="N25" s="4"/>
    </row>
    <row r="26" spans="1:14" x14ac:dyDescent="0.2">
      <c r="M26" s="58"/>
      <c r="N26" s="4"/>
    </row>
    <row r="27" spans="1:14" ht="14" customHeight="1" x14ac:dyDescent="0.2">
      <c r="M27" s="58"/>
      <c r="N27" s="4"/>
    </row>
    <row r="28" spans="1:14" ht="14" customHeight="1" x14ac:dyDescent="0.2">
      <c r="M28" s="58"/>
      <c r="N28" s="4"/>
    </row>
    <row r="29" spans="1:14" ht="14" customHeight="1" thickBot="1" x14ac:dyDescent="0.25">
      <c r="M29" s="58"/>
      <c r="N29" s="4"/>
    </row>
    <row r="30" spans="1:14" ht="46" customHeight="1" x14ac:dyDescent="0.2">
      <c r="A30" s="165" t="s">
        <v>171</v>
      </c>
      <c r="B30" s="225" t="s">
        <v>172</v>
      </c>
      <c r="C30" s="80" t="s">
        <v>29</v>
      </c>
      <c r="D30" s="81" t="s">
        <v>30</v>
      </c>
      <c r="E30" s="79" t="s">
        <v>39</v>
      </c>
      <c r="F30" s="77" t="s">
        <v>40</v>
      </c>
      <c r="G30" s="74" t="s">
        <v>31</v>
      </c>
      <c r="H30" s="75" t="s">
        <v>32</v>
      </c>
      <c r="I30" s="78" t="s">
        <v>35</v>
      </c>
      <c r="J30" s="76" t="s">
        <v>139</v>
      </c>
      <c r="K30" s="76" t="s">
        <v>82</v>
      </c>
      <c r="L30" s="77" t="s">
        <v>41</v>
      </c>
      <c r="M30" s="77" t="s">
        <v>42</v>
      </c>
      <c r="N30" s="78" t="s">
        <v>38</v>
      </c>
    </row>
    <row r="31" spans="1:14" ht="25" customHeight="1" thickBot="1" x14ac:dyDescent="0.25">
      <c r="A31" s="224">
        <f>Summary!B16</f>
        <v>0</v>
      </c>
      <c r="B31" s="226">
        <f>Summary!C16</f>
        <v>0</v>
      </c>
      <c r="C31" s="125">
        <f>Summary!D16</f>
        <v>0</v>
      </c>
      <c r="D31" s="126">
        <f>Summary!E16</f>
        <v>0</v>
      </c>
      <c r="E31" s="127">
        <f>Summary!F16</f>
        <v>0</v>
      </c>
      <c r="F31" s="128">
        <f>Summary!G16</f>
        <v>0</v>
      </c>
      <c r="G31" s="115">
        <f>Summary!H16</f>
        <v>24</v>
      </c>
      <c r="H31" s="116">
        <f>Summary!I16</f>
        <v>24</v>
      </c>
      <c r="I31" s="129">
        <f>Summary!U16</f>
        <v>3600</v>
      </c>
      <c r="J31" s="117">
        <f>Summary!V16</f>
        <v>0</v>
      </c>
      <c r="K31" s="117">
        <f>Summary!W16</f>
        <v>0</v>
      </c>
      <c r="L31" s="118">
        <f>Summary!X16</f>
        <v>0</v>
      </c>
      <c r="M31" s="118">
        <f>Summary!Y16</f>
        <v>0</v>
      </c>
      <c r="N31" s="119">
        <f>Summary!AB16</f>
        <v>1</v>
      </c>
    </row>
    <row r="32" spans="1:14" x14ac:dyDescent="0.2">
      <c r="A32" s="162" t="str">
        <f>TEXT(Summary!$B$6,"dd/MM/yyyy")&amp;" - "&amp;TEXT(Summary!$D$6,"dd/MM/yyyy")</f>
        <v>19/01/2022 - 19/01/2022</v>
      </c>
      <c r="B32" s="161"/>
      <c r="C32" s="55"/>
      <c r="D32" s="47" t="s">
        <v>24</v>
      </c>
    </row>
    <row r="33" spans="1:12" ht="15" thickBot="1" x14ac:dyDescent="0.25">
      <c r="A33" s="52"/>
      <c r="D33" s="136" t="str">
        <f>_xlfn.CONCAT(SUM(D34:D43)," ","hrs")</f>
        <v>24 hrs</v>
      </c>
      <c r="F33" s="201" t="s">
        <v>140</v>
      </c>
      <c r="G33" s="227">
        <f>SUM(D34:D36)</f>
        <v>6.2</v>
      </c>
      <c r="J33" s="3" t="s">
        <v>90</v>
      </c>
      <c r="K33" s="217">
        <f t="shared" ref="K33:K42" si="2">D34</f>
        <v>1</v>
      </c>
      <c r="L33" s="64">
        <f t="shared" ref="L33:L42" si="3">K33/G$6</f>
        <v>4.1666666666666664E-2</v>
      </c>
    </row>
    <row r="34" spans="1:12" x14ac:dyDescent="0.2">
      <c r="A34" s="110" t="s">
        <v>143</v>
      </c>
      <c r="B34" s="111" t="s">
        <v>90</v>
      </c>
      <c r="C34" s="111"/>
      <c r="D34" s="130">
        <f>Summary!K18</f>
        <v>1</v>
      </c>
      <c r="F34" s="201" t="s">
        <v>141</v>
      </c>
      <c r="G34" s="227">
        <f>SUM(D37:D40)</f>
        <v>17.8</v>
      </c>
      <c r="J34" s="3" t="s">
        <v>91</v>
      </c>
      <c r="K34" s="217">
        <f t="shared" si="2"/>
        <v>5.2</v>
      </c>
      <c r="L34" s="64">
        <f t="shared" si="3"/>
        <v>0.21666666666666667</v>
      </c>
    </row>
    <row r="35" spans="1:12" x14ac:dyDescent="0.2">
      <c r="A35" s="112"/>
      <c r="B35" s="49" t="s">
        <v>91</v>
      </c>
      <c r="C35" s="49"/>
      <c r="D35" s="131">
        <f>Summary!L18</f>
        <v>5.2</v>
      </c>
      <c r="F35" s="201" t="s">
        <v>147</v>
      </c>
      <c r="G35" s="227">
        <f>SUM(D41:D43)</f>
        <v>0</v>
      </c>
      <c r="J35" s="3" t="s">
        <v>92</v>
      </c>
      <c r="K35" s="217">
        <f t="shared" si="2"/>
        <v>0</v>
      </c>
      <c r="L35" s="64">
        <f t="shared" si="3"/>
        <v>0</v>
      </c>
    </row>
    <row r="36" spans="1:12" ht="15" thickBot="1" x14ac:dyDescent="0.25">
      <c r="A36" s="113"/>
      <c r="B36" s="114" t="s">
        <v>92</v>
      </c>
      <c r="C36" s="114"/>
      <c r="D36" s="132">
        <f>Summary!M18</f>
        <v>0</v>
      </c>
      <c r="F36" s="201" t="s">
        <v>19</v>
      </c>
      <c r="G36" s="227">
        <f>G37-SUM(G33:G35)</f>
        <v>0</v>
      </c>
      <c r="J36" s="3" t="s">
        <v>93</v>
      </c>
      <c r="K36" s="217">
        <f t="shared" si="2"/>
        <v>12</v>
      </c>
      <c r="L36" s="64">
        <f t="shared" si="3"/>
        <v>0.5</v>
      </c>
    </row>
    <row r="37" spans="1:12" x14ac:dyDescent="0.2">
      <c r="A37" s="107" t="s">
        <v>144</v>
      </c>
      <c r="B37" s="108" t="s">
        <v>93</v>
      </c>
      <c r="C37" s="108"/>
      <c r="D37" s="133">
        <f>Summary!N18</f>
        <v>12</v>
      </c>
      <c r="F37" s="201"/>
      <c r="G37" s="228">
        <f>Summary!H18</f>
        <v>24</v>
      </c>
      <c r="J37" s="3" t="s">
        <v>94</v>
      </c>
      <c r="K37" s="217">
        <f t="shared" si="2"/>
        <v>4.3</v>
      </c>
      <c r="L37" s="64">
        <f t="shared" si="3"/>
        <v>0.17916666666666667</v>
      </c>
    </row>
    <row r="38" spans="1:12" x14ac:dyDescent="0.2">
      <c r="A38" s="48" t="s">
        <v>145</v>
      </c>
      <c r="B38" s="49" t="s">
        <v>94</v>
      </c>
      <c r="C38" s="49"/>
      <c r="D38" s="134">
        <f>Summary!O18</f>
        <v>4.3</v>
      </c>
      <c r="J38" s="3" t="s">
        <v>95</v>
      </c>
      <c r="K38" s="217">
        <f t="shared" si="2"/>
        <v>0</v>
      </c>
      <c r="L38" s="64">
        <f t="shared" si="3"/>
        <v>0</v>
      </c>
    </row>
    <row r="39" spans="1:12" x14ac:dyDescent="0.2">
      <c r="A39" s="48"/>
      <c r="B39" s="49" t="s">
        <v>95</v>
      </c>
      <c r="C39" s="49"/>
      <c r="D39" s="134">
        <f>Summary!P18</f>
        <v>0</v>
      </c>
      <c r="J39" s="3" t="s">
        <v>118</v>
      </c>
      <c r="K39" s="217">
        <f t="shared" si="2"/>
        <v>1.5</v>
      </c>
      <c r="L39" s="64">
        <f t="shared" si="3"/>
        <v>6.25E-2</v>
      </c>
    </row>
    <row r="40" spans="1:12" x14ac:dyDescent="0.2">
      <c r="A40" s="48"/>
      <c r="B40" s="49" t="s">
        <v>115</v>
      </c>
      <c r="C40" s="49"/>
      <c r="D40" s="134">
        <f>Summary!Q18</f>
        <v>1.5</v>
      </c>
      <c r="J40" s="3" t="s">
        <v>163</v>
      </c>
      <c r="K40" s="217">
        <f t="shared" si="2"/>
        <v>0</v>
      </c>
      <c r="L40" s="64">
        <f t="shared" si="3"/>
        <v>0</v>
      </c>
    </row>
    <row r="41" spans="1:12" x14ac:dyDescent="0.2">
      <c r="A41" s="48" t="s">
        <v>146</v>
      </c>
      <c r="B41" s="49" t="s">
        <v>119</v>
      </c>
      <c r="C41" s="49"/>
      <c r="D41" s="134">
        <f>Summary!R18</f>
        <v>0</v>
      </c>
      <c r="J41" s="3" t="s">
        <v>96</v>
      </c>
      <c r="K41" s="217">
        <f t="shared" si="2"/>
        <v>0</v>
      </c>
      <c r="L41" s="64">
        <f t="shared" si="3"/>
        <v>0</v>
      </c>
    </row>
    <row r="42" spans="1:12" x14ac:dyDescent="0.2">
      <c r="A42" s="48" t="s">
        <v>145</v>
      </c>
      <c r="B42" s="49" t="s">
        <v>96</v>
      </c>
      <c r="C42" s="49"/>
      <c r="D42" s="134">
        <f>Summary!S18</f>
        <v>0</v>
      </c>
      <c r="J42" s="3" t="s">
        <v>164</v>
      </c>
      <c r="K42" s="217">
        <f t="shared" si="2"/>
        <v>0</v>
      </c>
      <c r="L42" s="64">
        <f t="shared" si="3"/>
        <v>0</v>
      </c>
    </row>
    <row r="43" spans="1:12" x14ac:dyDescent="0.2">
      <c r="A43" s="49"/>
      <c r="B43" s="49" t="s">
        <v>97</v>
      </c>
      <c r="C43" s="49"/>
      <c r="D43" s="134">
        <f>Summary!T18</f>
        <v>0</v>
      </c>
    </row>
    <row r="44" spans="1:12" x14ac:dyDescent="0.2">
      <c r="A44" s="49"/>
      <c r="B44" s="286" t="s">
        <v>20</v>
      </c>
      <c r="C44" s="286"/>
      <c r="D44" s="139">
        <f>SUMIFS('Factory Log'!D:D,'Factory Log'!B:B,Hybrid!D32,'Factory Log'!C:C,Hybrid!B44)</f>
        <v>0</v>
      </c>
    </row>
    <row r="45" spans="1:12" x14ac:dyDescent="0.2">
      <c r="A45" s="49"/>
      <c r="B45" s="286" t="s">
        <v>21</v>
      </c>
      <c r="C45" s="286"/>
      <c r="D45" s="139">
        <f>SUMIFS('Factory Log'!D:D,'Factory Log'!B:B,Hybrid!D32,'Factory Log'!C:C,Hybrid!B45)</f>
        <v>0</v>
      </c>
    </row>
    <row r="46" spans="1:12" x14ac:dyDescent="0.2">
      <c r="A46" s="49"/>
      <c r="B46" s="286" t="s">
        <v>22</v>
      </c>
      <c r="C46" s="286"/>
      <c r="D46" s="139">
        <f>SUMIFS('Factory Log'!D:D,'Factory Log'!B:B,Hybrid!D32,'Factory Log'!C:C,Hybrid!B46)</f>
        <v>0</v>
      </c>
    </row>
    <row r="47" spans="1:12" x14ac:dyDescent="0.2">
      <c r="A47" s="49"/>
      <c r="B47" s="286" t="s">
        <v>23</v>
      </c>
      <c r="C47" s="286"/>
      <c r="D47" s="139">
        <f>SUMIFS('Factory Log'!D:D,'Factory Log'!B:B,Hybrid!D32,'Factory Log'!C:C,Hybrid!B47)</f>
        <v>0</v>
      </c>
    </row>
    <row r="48" spans="1:12" x14ac:dyDescent="0.2">
      <c r="A48" s="49"/>
      <c r="B48" s="286" t="s">
        <v>12</v>
      </c>
      <c r="C48" s="286"/>
      <c r="D48" s="139">
        <f>SUMIFS('Factory Log'!D:D,'Factory Log'!B:B,Hybrid!D32,'Factory Log'!C:C,Hybrid!B48)</f>
        <v>0</v>
      </c>
    </row>
    <row r="49" spans="1:14" x14ac:dyDescent="0.2">
      <c r="A49" s="49"/>
      <c r="B49" s="286" t="s">
        <v>18</v>
      </c>
      <c r="C49" s="286"/>
      <c r="D49" s="139">
        <f>SUMIFS('Factory Log'!D:D,'Factory Log'!B:B,Hybrid!D32,'Factory Log'!C:C,Hybrid!B49)</f>
        <v>0</v>
      </c>
    </row>
    <row r="50" spans="1:14" x14ac:dyDescent="0.2">
      <c r="A50" s="109"/>
      <c r="B50" s="109"/>
      <c r="C50" s="109"/>
      <c r="D50" s="109"/>
    </row>
    <row r="51" spans="1:14" x14ac:dyDescent="0.2">
      <c r="B51" s="50" t="s">
        <v>159</v>
      </c>
      <c r="C51" s="218">
        <f>Summary!AD18</f>
        <v>0</v>
      </c>
      <c r="E51" s="144" t="s">
        <v>100</v>
      </c>
      <c r="F51" s="66" t="s">
        <v>101</v>
      </c>
      <c r="G51" s="66"/>
      <c r="H51" s="66"/>
      <c r="I51" s="66"/>
      <c r="J51" s="66" t="s">
        <v>102</v>
      </c>
      <c r="K51" s="66"/>
      <c r="L51" s="66"/>
      <c r="M51" s="66" t="s">
        <v>103</v>
      </c>
      <c r="N51" s="66" t="s">
        <v>104</v>
      </c>
    </row>
    <row r="52" spans="1:14" ht="14" customHeight="1" x14ac:dyDescent="0.2">
      <c r="A52" s="219"/>
      <c r="B52" s="50" t="s">
        <v>160</v>
      </c>
      <c r="C52" s="218">
        <f>Summary!AE18</f>
        <v>1</v>
      </c>
      <c r="D52" s="219"/>
      <c r="E52" s="39">
        <f>Performance!L4</f>
        <v>349311</v>
      </c>
      <c r="F52" s="3" t="str">
        <f>Performance!M4</f>
        <v>Inspired Thinking Group (ITG) - SPIRIT</v>
      </c>
      <c r="J52" s="3" t="str">
        <f>Performance!O4</f>
        <v>Signage</v>
      </c>
      <c r="M52" s="58">
        <f>Performance!P4</f>
        <v>4.683333333407063</v>
      </c>
      <c r="N52" s="4">
        <f>Performance!Q4</f>
        <v>71</v>
      </c>
    </row>
    <row r="53" spans="1:14" ht="14" customHeight="1" x14ac:dyDescent="0.2">
      <c r="A53" s="219"/>
      <c r="B53" s="50" t="s">
        <v>154</v>
      </c>
      <c r="C53" s="218">
        <f>Summary!AF18</f>
        <v>0</v>
      </c>
      <c r="D53" s="219"/>
      <c r="E53" s="39">
        <f>Performance!L6</f>
        <v>349458</v>
      </c>
      <c r="F53" s="3" t="str">
        <f>Performance!M6</f>
        <v>HH Associates - Asda</v>
      </c>
      <c r="J53" s="3" t="str">
        <f>Performance!O6</f>
        <v>Banner - Retail</v>
      </c>
      <c r="M53" s="58">
        <f>Performance!P6</f>
        <v>1.4500000000116415</v>
      </c>
      <c r="N53" s="4">
        <f>Performance!Q6</f>
        <v>1</v>
      </c>
    </row>
    <row r="54" spans="1:14" ht="14" customHeight="1" x14ac:dyDescent="0.2">
      <c r="A54" s="220"/>
      <c r="B54" s="50" t="s">
        <v>161</v>
      </c>
      <c r="C54" s="218">
        <f>Summary!AG18</f>
        <v>0</v>
      </c>
      <c r="D54" s="219"/>
    </row>
    <row r="55" spans="1:14" ht="14" customHeight="1" x14ac:dyDescent="0.2">
      <c r="A55" s="219"/>
      <c r="B55" s="50" t="s">
        <v>162</v>
      </c>
      <c r="C55" s="218">
        <f>Summary!AH18</f>
        <v>0</v>
      </c>
      <c r="D55" s="219"/>
      <c r="M55" s="58"/>
      <c r="N55" s="4"/>
    </row>
    <row r="56" spans="1:14" x14ac:dyDescent="0.2">
      <c r="B56" s="50" t="s">
        <v>157</v>
      </c>
      <c r="C56" s="218">
        <f>Summary!AI18</f>
        <v>0</v>
      </c>
      <c r="M56" s="58"/>
      <c r="N56" s="4"/>
    </row>
    <row r="57" spans="1:14" x14ac:dyDescent="0.2">
      <c r="M57" s="58"/>
      <c r="N57" s="4"/>
    </row>
    <row r="58" spans="1:14" x14ac:dyDescent="0.2">
      <c r="M58" s="58"/>
      <c r="N58" s="4"/>
    </row>
    <row r="59" spans="1:14" ht="15" thickBot="1" x14ac:dyDescent="0.25">
      <c r="M59" s="58"/>
      <c r="N59" s="4"/>
    </row>
    <row r="60" spans="1:14" ht="45" customHeight="1" x14ac:dyDescent="0.2">
      <c r="A60" s="165" t="s">
        <v>171</v>
      </c>
      <c r="B60" s="225" t="s">
        <v>172</v>
      </c>
      <c r="C60" s="80" t="s">
        <v>29</v>
      </c>
      <c r="D60" s="81" t="s">
        <v>30</v>
      </c>
      <c r="E60" s="79" t="s">
        <v>39</v>
      </c>
      <c r="F60" s="77" t="s">
        <v>40</v>
      </c>
      <c r="G60" s="74" t="s">
        <v>31</v>
      </c>
      <c r="H60" s="75" t="s">
        <v>32</v>
      </c>
      <c r="I60" s="78" t="s">
        <v>35</v>
      </c>
      <c r="J60" s="76" t="s">
        <v>139</v>
      </c>
      <c r="K60" s="76" t="s">
        <v>82</v>
      </c>
      <c r="L60" s="77" t="s">
        <v>41</v>
      </c>
      <c r="M60" s="77" t="s">
        <v>42</v>
      </c>
      <c r="N60" s="78" t="s">
        <v>38</v>
      </c>
    </row>
    <row r="61" spans="1:14" ht="22" customHeight="1" thickBot="1" x14ac:dyDescent="0.25">
      <c r="A61" s="224">
        <f>Summary!B18</f>
        <v>5.1306358140368387E-2</v>
      </c>
      <c r="B61" s="226">
        <f>Summary!C18</f>
        <v>0.10261271628073677</v>
      </c>
      <c r="C61" s="125">
        <f>Summary!D18</f>
        <v>0.25833333333333336</v>
      </c>
      <c r="D61" s="126">
        <f>Summary!E18</f>
        <v>0.51666666666666672</v>
      </c>
      <c r="E61" s="127">
        <f>Summary!F18</f>
        <v>0.20380434782325016</v>
      </c>
      <c r="F61" s="128">
        <f>Summary!G18</f>
        <v>0.97448979591836737</v>
      </c>
      <c r="G61" s="115">
        <f>Summary!H18</f>
        <v>24</v>
      </c>
      <c r="H61" s="116">
        <f>Summary!I18</f>
        <v>12</v>
      </c>
      <c r="I61" s="129">
        <f>Summary!U18</f>
        <v>2670</v>
      </c>
      <c r="J61" s="117">
        <f>Summary!V18</f>
        <v>1.25</v>
      </c>
      <c r="K61" s="117">
        <f>Summary!W18</f>
        <v>6.1333333334187046</v>
      </c>
      <c r="L61" s="118">
        <f>Summary!X18</f>
        <v>2292</v>
      </c>
      <c r="M61" s="118">
        <f>Summary!Y18</f>
        <v>2352</v>
      </c>
      <c r="N61" s="119">
        <f>Summary!AB18</f>
        <v>1</v>
      </c>
    </row>
    <row r="63" spans="1:14" x14ac:dyDescent="0.2">
      <c r="A63" s="162" t="str">
        <f>TEXT(Summary!$B$6,"dd/MM/yyyy")&amp;" - "&amp;TEXT(Summary!$D$6,"dd/MM/yyyy")</f>
        <v>19/01/2022 - 19/01/2022</v>
      </c>
      <c r="B63" s="161"/>
      <c r="C63" s="55"/>
      <c r="D63" s="47" t="s">
        <v>25</v>
      </c>
    </row>
    <row r="64" spans="1:14" ht="15" thickBot="1" x14ac:dyDescent="0.25">
      <c r="A64" s="52"/>
      <c r="D64" s="136" t="str">
        <f>_xlfn.CONCAT(SUM(D65:D74)," ","hrs")</f>
        <v>24 hrs</v>
      </c>
      <c r="F64" s="201" t="s">
        <v>140</v>
      </c>
      <c r="G64" s="227">
        <f>SUM(D65:D67)</f>
        <v>4.5000000000000009</v>
      </c>
      <c r="J64" s="3" t="s">
        <v>90</v>
      </c>
      <c r="K64" s="217">
        <f t="shared" ref="K64:K73" si="4">D65</f>
        <v>4.1000000000000005</v>
      </c>
      <c r="L64" s="64">
        <f t="shared" ref="L64:L73" si="5">K64/G$6</f>
        <v>0.17083333333333336</v>
      </c>
    </row>
    <row r="65" spans="1:12" x14ac:dyDescent="0.2">
      <c r="A65" s="110" t="s">
        <v>143</v>
      </c>
      <c r="B65" s="111" t="s">
        <v>90</v>
      </c>
      <c r="C65" s="111"/>
      <c r="D65" s="130">
        <f>Summary!K17</f>
        <v>4.1000000000000005</v>
      </c>
      <c r="F65" s="201" t="s">
        <v>141</v>
      </c>
      <c r="G65" s="227">
        <f>SUM(D68:D71)</f>
        <v>15.9</v>
      </c>
      <c r="J65" s="3" t="s">
        <v>91</v>
      </c>
      <c r="K65" s="217">
        <f t="shared" si="4"/>
        <v>0.4</v>
      </c>
      <c r="L65" s="64">
        <f t="shared" si="5"/>
        <v>1.6666666666666666E-2</v>
      </c>
    </row>
    <row r="66" spans="1:12" x14ac:dyDescent="0.2">
      <c r="A66" s="112"/>
      <c r="B66" s="49" t="s">
        <v>91</v>
      </c>
      <c r="C66" s="49"/>
      <c r="D66" s="131">
        <f>Summary!L17</f>
        <v>0.4</v>
      </c>
      <c r="F66" s="201" t="s">
        <v>147</v>
      </c>
      <c r="G66" s="227">
        <f>SUM(D72:D74)</f>
        <v>3.6</v>
      </c>
      <c r="J66" s="3" t="s">
        <v>92</v>
      </c>
      <c r="K66" s="217">
        <f t="shared" si="4"/>
        <v>0</v>
      </c>
      <c r="L66" s="64">
        <f t="shared" si="5"/>
        <v>0</v>
      </c>
    </row>
    <row r="67" spans="1:12" ht="15" thickBot="1" x14ac:dyDescent="0.25">
      <c r="A67" s="113"/>
      <c r="B67" s="114" t="s">
        <v>92</v>
      </c>
      <c r="C67" s="114"/>
      <c r="D67" s="132">
        <f>Summary!M17</f>
        <v>0</v>
      </c>
      <c r="F67" s="201" t="s">
        <v>19</v>
      </c>
      <c r="G67" s="227">
        <f>G68-SUM(G64:G66)</f>
        <v>0</v>
      </c>
      <c r="J67" s="3" t="s">
        <v>93</v>
      </c>
      <c r="K67" s="217">
        <f t="shared" si="4"/>
        <v>0</v>
      </c>
      <c r="L67" s="64">
        <f t="shared" si="5"/>
        <v>0</v>
      </c>
    </row>
    <row r="68" spans="1:12" x14ac:dyDescent="0.2">
      <c r="A68" s="107" t="s">
        <v>144</v>
      </c>
      <c r="B68" s="108" t="s">
        <v>93</v>
      </c>
      <c r="C68" s="108"/>
      <c r="D68" s="133">
        <f>Summary!N17</f>
        <v>0</v>
      </c>
      <c r="F68" s="201"/>
      <c r="G68" s="228">
        <f>Summary!H17</f>
        <v>24</v>
      </c>
      <c r="J68" s="3" t="s">
        <v>94</v>
      </c>
      <c r="K68" s="217">
        <f t="shared" si="4"/>
        <v>14.9</v>
      </c>
      <c r="L68" s="64">
        <f t="shared" si="5"/>
        <v>0.62083333333333335</v>
      </c>
    </row>
    <row r="69" spans="1:12" x14ac:dyDescent="0.2">
      <c r="A69" s="48" t="s">
        <v>145</v>
      </c>
      <c r="B69" s="49" t="s">
        <v>94</v>
      </c>
      <c r="C69" s="49"/>
      <c r="D69" s="134">
        <f>Summary!O17</f>
        <v>14.9</v>
      </c>
      <c r="J69" s="3" t="s">
        <v>95</v>
      </c>
      <c r="K69" s="217">
        <f t="shared" si="4"/>
        <v>1</v>
      </c>
      <c r="L69" s="64">
        <f t="shared" si="5"/>
        <v>4.1666666666666664E-2</v>
      </c>
    </row>
    <row r="70" spans="1:12" x14ac:dyDescent="0.2">
      <c r="A70" s="48"/>
      <c r="B70" s="49" t="s">
        <v>95</v>
      </c>
      <c r="C70" s="49"/>
      <c r="D70" s="134">
        <f>Summary!P17</f>
        <v>1</v>
      </c>
      <c r="J70" s="3" t="s">
        <v>118</v>
      </c>
      <c r="K70" s="217">
        <f t="shared" si="4"/>
        <v>0</v>
      </c>
      <c r="L70" s="64">
        <f t="shared" si="5"/>
        <v>0</v>
      </c>
    </row>
    <row r="71" spans="1:12" x14ac:dyDescent="0.2">
      <c r="A71" s="48"/>
      <c r="B71" s="49" t="s">
        <v>115</v>
      </c>
      <c r="C71" s="49"/>
      <c r="D71" s="134">
        <f>Summary!Q17</f>
        <v>0</v>
      </c>
      <c r="J71" s="3" t="s">
        <v>163</v>
      </c>
      <c r="K71" s="217">
        <f t="shared" si="4"/>
        <v>3.6</v>
      </c>
      <c r="L71" s="64">
        <f t="shared" si="5"/>
        <v>0.15</v>
      </c>
    </row>
    <row r="72" spans="1:12" x14ac:dyDescent="0.2">
      <c r="A72" s="48" t="s">
        <v>146</v>
      </c>
      <c r="B72" s="49" t="s">
        <v>119</v>
      </c>
      <c r="C72" s="49"/>
      <c r="D72" s="134">
        <f>Summary!R17</f>
        <v>3.6</v>
      </c>
      <c r="J72" s="3" t="s">
        <v>96</v>
      </c>
      <c r="K72" s="217">
        <f t="shared" si="4"/>
        <v>0</v>
      </c>
      <c r="L72" s="64">
        <f t="shared" si="5"/>
        <v>0</v>
      </c>
    </row>
    <row r="73" spans="1:12" x14ac:dyDescent="0.2">
      <c r="A73" s="48" t="s">
        <v>145</v>
      </c>
      <c r="B73" s="49" t="s">
        <v>96</v>
      </c>
      <c r="C73" s="49"/>
      <c r="D73" s="134">
        <f>Summary!S17</f>
        <v>0</v>
      </c>
      <c r="J73" s="3" t="s">
        <v>164</v>
      </c>
      <c r="K73" s="217">
        <f t="shared" si="4"/>
        <v>0</v>
      </c>
      <c r="L73" s="64">
        <f t="shared" si="5"/>
        <v>0</v>
      </c>
    </row>
    <row r="74" spans="1:12" x14ac:dyDescent="0.2">
      <c r="A74" s="49"/>
      <c r="B74" s="49" t="s">
        <v>97</v>
      </c>
      <c r="C74" s="49"/>
      <c r="D74" s="134">
        <f>Summary!T17</f>
        <v>0</v>
      </c>
    </row>
    <row r="75" spans="1:12" x14ac:dyDescent="0.2">
      <c r="A75" s="49"/>
      <c r="B75" s="286" t="s">
        <v>20</v>
      </c>
      <c r="C75" s="286"/>
      <c r="D75" s="139">
        <f>SUMIFS('Factory Log'!D:D,'Factory Log'!B:B,Hybrid!D63,'Factory Log'!C:C,Hybrid!B75)</f>
        <v>0</v>
      </c>
    </row>
    <row r="76" spans="1:12" x14ac:dyDescent="0.2">
      <c r="A76" s="49"/>
      <c r="B76" s="286" t="s">
        <v>21</v>
      </c>
      <c r="C76" s="286"/>
      <c r="D76" s="139">
        <f>SUMIFS('Factory Log'!D:D,'Factory Log'!B:B,Hybrid!D63,'Factory Log'!C:C,Hybrid!B76)</f>
        <v>0</v>
      </c>
    </row>
    <row r="77" spans="1:12" x14ac:dyDescent="0.2">
      <c r="A77" s="49"/>
      <c r="B77" s="286" t="s">
        <v>22</v>
      </c>
      <c r="C77" s="286"/>
      <c r="D77" s="139">
        <f>SUMIFS('Factory Log'!D:D,'Factory Log'!B:B,Hybrid!D63,'Factory Log'!C:C,Hybrid!B77)</f>
        <v>0</v>
      </c>
    </row>
    <row r="78" spans="1:12" x14ac:dyDescent="0.2">
      <c r="A78" s="49"/>
      <c r="B78" s="286" t="s">
        <v>23</v>
      </c>
      <c r="C78" s="286"/>
      <c r="D78" s="139">
        <f>SUMIFS('Factory Log'!D:D,'Factory Log'!B:B,Hybrid!D63,'Factory Log'!C:C,Hybrid!B78)</f>
        <v>0</v>
      </c>
    </row>
    <row r="79" spans="1:12" x14ac:dyDescent="0.2">
      <c r="A79" s="49"/>
      <c r="B79" s="286" t="s">
        <v>12</v>
      </c>
      <c r="C79" s="286"/>
      <c r="D79" s="139">
        <f>SUMIFS('Factory Log'!D:D,'Factory Log'!B:B,Hybrid!D63,'Factory Log'!C:C,Hybrid!B79)</f>
        <v>0</v>
      </c>
    </row>
    <row r="80" spans="1:12" x14ac:dyDescent="0.2">
      <c r="A80" s="49"/>
      <c r="B80" s="286" t="s">
        <v>18</v>
      </c>
      <c r="C80" s="286"/>
      <c r="D80" s="139">
        <f>SUMIFS('Factory Log'!D:D,'Factory Log'!B:B,Hybrid!D63,'Factory Log'!C:C,Hybrid!B80)</f>
        <v>0</v>
      </c>
    </row>
    <row r="81" spans="1:14" x14ac:dyDescent="0.2">
      <c r="A81" s="109"/>
      <c r="B81" s="109"/>
      <c r="C81" s="109"/>
      <c r="D81" s="109"/>
    </row>
    <row r="82" spans="1:14" x14ac:dyDescent="0.2">
      <c r="B82" s="50" t="s">
        <v>166</v>
      </c>
      <c r="C82" s="218">
        <f>Summary!AD17</f>
        <v>0</v>
      </c>
      <c r="E82" s="144" t="s">
        <v>100</v>
      </c>
      <c r="F82" s="66" t="s">
        <v>101</v>
      </c>
      <c r="G82" s="66"/>
      <c r="H82" s="66"/>
      <c r="I82" s="66"/>
      <c r="J82" s="66" t="s">
        <v>102</v>
      </c>
      <c r="K82" s="66"/>
      <c r="L82" s="66"/>
      <c r="M82" s="66" t="s">
        <v>103</v>
      </c>
      <c r="N82" s="66" t="s">
        <v>104</v>
      </c>
    </row>
    <row r="83" spans="1:14" ht="14" customHeight="1" x14ac:dyDescent="0.2">
      <c r="A83" s="219"/>
      <c r="B83" s="50" t="s">
        <v>167</v>
      </c>
      <c r="C83" s="218">
        <f>Summary!AE17</f>
        <v>1</v>
      </c>
      <c r="D83" s="219"/>
      <c r="E83" s="39">
        <f>Performance!W5</f>
        <v>349430</v>
      </c>
      <c r="F83" s="3" t="str">
        <f>Performance!X5</f>
        <v>Tesco (EDI)</v>
      </c>
      <c r="J83" s="3" t="str">
        <f>Performance!Z5</f>
        <v>Safety Signs</v>
      </c>
      <c r="M83" s="58">
        <f>Performance!AA5</f>
        <v>3.4166666664532386</v>
      </c>
      <c r="N83" s="4">
        <f>Performance!AB5</f>
        <v>1230</v>
      </c>
    </row>
    <row r="84" spans="1:14" ht="14" customHeight="1" x14ac:dyDescent="0.2">
      <c r="A84" s="219"/>
      <c r="B84" s="50" t="s">
        <v>168</v>
      </c>
      <c r="C84" s="218">
        <f>Summary!AG17</f>
        <v>0</v>
      </c>
      <c r="D84" s="219"/>
      <c r="E84" s="39">
        <f>Performance!W6</f>
        <v>348970</v>
      </c>
      <c r="F84" s="3" t="str">
        <f>Performance!X6</f>
        <v>The Sourcer</v>
      </c>
      <c r="J84" s="3" t="str">
        <f>Performance!Z6</f>
        <v>Bollard cover</v>
      </c>
      <c r="M84" s="58">
        <f>Performance!AA6</f>
        <v>1.0666666668257676</v>
      </c>
      <c r="N84" s="4">
        <f>Performance!AB6</f>
        <v>198.4793917863073</v>
      </c>
    </row>
    <row r="85" spans="1:14" ht="14" customHeight="1" x14ac:dyDescent="0.2">
      <c r="A85" s="220"/>
      <c r="B85" s="50" t="s">
        <v>169</v>
      </c>
      <c r="C85" s="218">
        <f>Summary!AH17</f>
        <v>0</v>
      </c>
      <c r="D85" s="219"/>
    </row>
    <row r="86" spans="1:14" ht="14" customHeight="1" x14ac:dyDescent="0.2">
      <c r="A86" s="219"/>
      <c r="D86" s="219"/>
      <c r="M86" s="58"/>
      <c r="N86" s="4"/>
    </row>
    <row r="87" spans="1:14" x14ac:dyDescent="0.2">
      <c r="C87" s="218"/>
      <c r="M87" s="58"/>
      <c r="N87" s="4"/>
    </row>
    <row r="88" spans="1:14" x14ac:dyDescent="0.2">
      <c r="M88" s="58"/>
      <c r="N88" s="4"/>
    </row>
    <row r="89" spans="1:14" x14ac:dyDescent="0.2">
      <c r="M89" s="58"/>
      <c r="N89" s="4"/>
    </row>
    <row r="90" spans="1:14" x14ac:dyDescent="0.2">
      <c r="M90" s="58"/>
      <c r="N90" s="4"/>
    </row>
    <row r="91" spans="1:14" ht="15" thickBot="1" x14ac:dyDescent="0.25">
      <c r="M91" s="58"/>
      <c r="N91" s="4"/>
    </row>
    <row r="92" spans="1:14" ht="48" customHeight="1" x14ac:dyDescent="0.2">
      <c r="A92" s="165" t="s">
        <v>171</v>
      </c>
      <c r="B92" s="225" t="s">
        <v>172</v>
      </c>
      <c r="C92" s="80" t="s">
        <v>29</v>
      </c>
      <c r="D92" s="81" t="s">
        <v>30</v>
      </c>
      <c r="E92" s="79" t="s">
        <v>39</v>
      </c>
      <c r="F92" s="77" t="s">
        <v>40</v>
      </c>
      <c r="G92" s="74" t="s">
        <v>31</v>
      </c>
      <c r="H92" s="75" t="s">
        <v>32</v>
      </c>
      <c r="I92" s="78" t="s">
        <v>35</v>
      </c>
      <c r="J92" s="76" t="s">
        <v>139</v>
      </c>
      <c r="K92" s="76" t="s">
        <v>82</v>
      </c>
      <c r="L92" s="77" t="s">
        <v>41</v>
      </c>
      <c r="M92" s="77" t="s">
        <v>42</v>
      </c>
      <c r="N92" s="78" t="s">
        <v>38</v>
      </c>
    </row>
    <row r="93" spans="1:14" ht="22" customHeight="1" thickBot="1" x14ac:dyDescent="0.25">
      <c r="A93" s="224">
        <f>Summary!B17</f>
        <v>0.13593805694896696</v>
      </c>
      <c r="B93" s="226">
        <f>Summary!C17</f>
        <v>0.13593805694896696</v>
      </c>
      <c r="C93" s="125">
        <f>Summary!D17</f>
        <v>0.18750000000000003</v>
      </c>
      <c r="D93" s="126">
        <f>Summary!E17</f>
        <v>0.18750000000000003</v>
      </c>
      <c r="E93" s="127">
        <f>Summary!F17</f>
        <v>0.73906319707046519</v>
      </c>
      <c r="F93" s="128">
        <f>Summary!G17</f>
        <v>0.98097560975609754</v>
      </c>
      <c r="G93" s="115">
        <f>Summary!H17</f>
        <v>24</v>
      </c>
      <c r="H93" s="116">
        <f>Summary!I17</f>
        <v>24</v>
      </c>
      <c r="I93" s="129">
        <f>Summary!U17</f>
        <v>2925</v>
      </c>
      <c r="J93" s="117">
        <f>Summary!V17</f>
        <v>3.3134666668257675</v>
      </c>
      <c r="K93" s="117">
        <f>Summary!W17</f>
        <v>4.4833333332790062</v>
      </c>
      <c r="L93" s="118">
        <f>Summary!X17</f>
        <v>4022</v>
      </c>
      <c r="M93" s="118">
        <f>Summary!Y17</f>
        <v>4100</v>
      </c>
      <c r="N93" s="119">
        <f>Summary!AB17</f>
        <v>1</v>
      </c>
    </row>
  </sheetData>
  <mergeCells count="18">
    <mergeCell ref="B18:C18"/>
    <mergeCell ref="B49:C49"/>
    <mergeCell ref="B44:C44"/>
    <mergeCell ref="B45:C45"/>
    <mergeCell ref="B46:C46"/>
    <mergeCell ref="B47:C47"/>
    <mergeCell ref="B48:C48"/>
    <mergeCell ref="B13:C13"/>
    <mergeCell ref="B14:C14"/>
    <mergeCell ref="B15:C15"/>
    <mergeCell ref="B16:C16"/>
    <mergeCell ref="B17:C17"/>
    <mergeCell ref="B78:C78"/>
    <mergeCell ref="B80:C80"/>
    <mergeCell ref="B79:C79"/>
    <mergeCell ref="B75:C75"/>
    <mergeCell ref="B76:C76"/>
    <mergeCell ref="B77:C77"/>
  </mergeCells>
  <conditionalFormatting sqref="A54:D54 O54:XFD54 A1:XFD53 A55:XFD82 A86:XFD1048576 A83:D85 O83:XFD85 E83:N84">
    <cfRule type="cellIs" dxfId="20" priority="1" operator="equal">
      <formula>0</formula>
    </cfRule>
  </conditionalFormatting>
  <pageMargins left="0.7" right="0.7" top="0.75" bottom="0.75" header="0.3" footer="0.3"/>
  <pageSetup paperSize="9" orientation="landscape" horizontalDpi="0" verticalDpi="0"/>
  <headerFooter>
    <oddHeader>&amp;C&amp;"Calibri (Body),Regular"&amp;11&amp;A</oddHeader>
    <oddFooter>&amp;C&amp;P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A02E-BF99-A846-BCC8-14ED378E6EB8}">
  <sheetPr>
    <tabColor theme="5" tint="-0.249977111117893"/>
  </sheetPr>
  <dimension ref="A2:N126"/>
  <sheetViews>
    <sheetView zoomScale="110" zoomScaleNormal="110" zoomScalePageLayoutView="120" workbookViewId="0">
      <selection activeCell="J27" sqref="J27"/>
    </sheetView>
  </sheetViews>
  <sheetFormatPr baseColWidth="10" defaultRowHeight="14" x14ac:dyDescent="0.2"/>
  <cols>
    <col min="1" max="1" width="10.796875" style="50" customWidth="1"/>
    <col min="2" max="3" width="11.59765625" style="50" customWidth="1"/>
    <col min="4" max="4" width="10.3984375" style="51" customWidth="1"/>
    <col min="5" max="5" width="10.796875" style="50" customWidth="1"/>
    <col min="6" max="7" width="10" style="50" customWidth="1"/>
    <col min="8" max="8" width="9.3984375" style="50" customWidth="1"/>
    <col min="9" max="11" width="10" style="50" customWidth="1"/>
    <col min="12" max="12" width="9.19921875" style="50" customWidth="1"/>
    <col min="13" max="13" width="10" style="50" customWidth="1"/>
    <col min="14" max="14" width="10.59765625" style="50" customWidth="1"/>
    <col min="15" max="16384" width="11" style="50"/>
  </cols>
  <sheetData>
    <row r="2" spans="1:13" x14ac:dyDescent="0.2">
      <c r="A2" s="162" t="str">
        <f>TEXT(Summary!$B$6,"dd/MM/yyyy")&amp;" - "&amp;TEXT(Summary!$D$6,"dd/MM/yyyy")</f>
        <v>19/01/2022 - 19/01/2022</v>
      </c>
      <c r="B2" s="161"/>
      <c r="C2" s="46"/>
      <c r="D2" s="47" t="s">
        <v>57</v>
      </c>
    </row>
    <row r="3" spans="1:13" ht="15" thickBot="1" x14ac:dyDescent="0.25">
      <c r="A3" s="52"/>
      <c r="D3" s="136" t="str">
        <f>_xlfn.CONCAT(SUM(D4:D13)," ","hrs")</f>
        <v>24 hrs</v>
      </c>
      <c r="F3" s="201" t="s">
        <v>140</v>
      </c>
      <c r="G3" s="227">
        <f>SUM(D4:D6)</f>
        <v>20.2</v>
      </c>
      <c r="J3" s="3" t="s">
        <v>90</v>
      </c>
      <c r="K3" s="217">
        <f t="shared" ref="K3:K12" si="0">D4</f>
        <v>18.5</v>
      </c>
      <c r="L3" s="64">
        <f t="shared" ref="L3:L12" si="1">K3/G$7</f>
        <v>0.77083333333333337</v>
      </c>
    </row>
    <row r="4" spans="1:13" x14ac:dyDescent="0.2">
      <c r="A4" s="110" t="s">
        <v>143</v>
      </c>
      <c r="B4" s="111" t="s">
        <v>90</v>
      </c>
      <c r="C4" s="111"/>
      <c r="D4" s="130">
        <f>Summary!K24</f>
        <v>18.5</v>
      </c>
      <c r="F4" s="201" t="s">
        <v>141</v>
      </c>
      <c r="G4" s="227">
        <f>SUM(D7:D10)</f>
        <v>2.1</v>
      </c>
      <c r="J4" s="3" t="s">
        <v>91</v>
      </c>
      <c r="K4" s="217">
        <f t="shared" si="0"/>
        <v>1.7000000000000002</v>
      </c>
      <c r="L4" s="64">
        <f t="shared" si="1"/>
        <v>7.0833333333333345E-2</v>
      </c>
    </row>
    <row r="5" spans="1:13" x14ac:dyDescent="0.2">
      <c r="A5" s="112"/>
      <c r="B5" s="49" t="s">
        <v>91</v>
      </c>
      <c r="C5" s="49"/>
      <c r="D5" s="131">
        <f>Summary!L24</f>
        <v>1.7000000000000002</v>
      </c>
      <c r="F5" s="201" t="s">
        <v>147</v>
      </c>
      <c r="G5" s="227">
        <f>SUM(D11:D13)</f>
        <v>1.7000000000000002</v>
      </c>
      <c r="J5" s="3" t="s">
        <v>92</v>
      </c>
      <c r="K5" s="217">
        <f t="shared" si="0"/>
        <v>0</v>
      </c>
      <c r="L5" s="64">
        <f t="shared" si="1"/>
        <v>0</v>
      </c>
    </row>
    <row r="6" spans="1:13" ht="15" thickBot="1" x14ac:dyDescent="0.25">
      <c r="A6" s="113"/>
      <c r="B6" s="114" t="s">
        <v>92</v>
      </c>
      <c r="C6" s="114"/>
      <c r="D6" s="132">
        <f>Summary!M24</f>
        <v>0</v>
      </c>
      <c r="F6" s="201" t="s">
        <v>19</v>
      </c>
      <c r="G6" s="227">
        <f>G7-SUM(G3:G5)</f>
        <v>0</v>
      </c>
      <c r="J6" s="3" t="s">
        <v>93</v>
      </c>
      <c r="K6" s="217">
        <f t="shared" si="0"/>
        <v>0</v>
      </c>
      <c r="L6" s="64">
        <f t="shared" si="1"/>
        <v>0</v>
      </c>
    </row>
    <row r="7" spans="1:13" x14ac:dyDescent="0.2">
      <c r="A7" s="107" t="s">
        <v>144</v>
      </c>
      <c r="B7" s="108" t="s">
        <v>93</v>
      </c>
      <c r="C7" s="108"/>
      <c r="D7" s="133">
        <f>Summary!N24</f>
        <v>0</v>
      </c>
      <c r="F7" s="201"/>
      <c r="G7" s="228">
        <f>Summary!H24</f>
        <v>24</v>
      </c>
      <c r="J7" s="3" t="s">
        <v>94</v>
      </c>
      <c r="K7" s="217">
        <f t="shared" si="0"/>
        <v>0</v>
      </c>
      <c r="L7" s="64">
        <f t="shared" si="1"/>
        <v>0</v>
      </c>
    </row>
    <row r="8" spans="1:13" x14ac:dyDescent="0.2">
      <c r="A8" s="48" t="s">
        <v>145</v>
      </c>
      <c r="B8" s="49" t="s">
        <v>94</v>
      </c>
      <c r="C8" s="49"/>
      <c r="D8" s="134">
        <f>Summary!O24</f>
        <v>0</v>
      </c>
      <c r="J8" s="3" t="s">
        <v>95</v>
      </c>
      <c r="K8" s="217">
        <f t="shared" si="0"/>
        <v>1.8</v>
      </c>
      <c r="L8" s="64">
        <f t="shared" si="1"/>
        <v>7.4999999999999997E-2</v>
      </c>
    </row>
    <row r="9" spans="1:13" x14ac:dyDescent="0.2">
      <c r="A9" s="48"/>
      <c r="B9" s="49" t="s">
        <v>95</v>
      </c>
      <c r="C9" s="49"/>
      <c r="D9" s="134">
        <f>Summary!P24</f>
        <v>1.8</v>
      </c>
      <c r="J9" s="3" t="s">
        <v>118</v>
      </c>
      <c r="K9" s="217">
        <f t="shared" si="0"/>
        <v>0.30000000000000004</v>
      </c>
      <c r="L9" s="64">
        <f t="shared" si="1"/>
        <v>1.2500000000000002E-2</v>
      </c>
      <c r="M9" s="73"/>
    </row>
    <row r="10" spans="1:13" x14ac:dyDescent="0.2">
      <c r="A10" s="48"/>
      <c r="B10" s="49" t="s">
        <v>115</v>
      </c>
      <c r="C10" s="49"/>
      <c r="D10" s="134">
        <f>Summary!Q24</f>
        <v>0.30000000000000004</v>
      </c>
      <c r="J10" s="3" t="s">
        <v>163</v>
      </c>
      <c r="K10" s="217">
        <f t="shared" si="0"/>
        <v>0</v>
      </c>
      <c r="L10" s="64">
        <f t="shared" si="1"/>
        <v>0</v>
      </c>
      <c r="M10" s="73"/>
    </row>
    <row r="11" spans="1:13" x14ac:dyDescent="0.2">
      <c r="A11" s="48" t="s">
        <v>146</v>
      </c>
      <c r="B11" s="49" t="s">
        <v>119</v>
      </c>
      <c r="C11" s="49"/>
      <c r="D11" s="134">
        <f>Summary!R24</f>
        <v>0</v>
      </c>
      <c r="J11" s="3" t="s">
        <v>96</v>
      </c>
      <c r="K11" s="217">
        <f t="shared" si="0"/>
        <v>0</v>
      </c>
      <c r="L11" s="64">
        <f t="shared" si="1"/>
        <v>0</v>
      </c>
      <c r="M11" s="73"/>
    </row>
    <row r="12" spans="1:13" x14ac:dyDescent="0.2">
      <c r="A12" s="48" t="s">
        <v>145</v>
      </c>
      <c r="B12" s="49" t="s">
        <v>96</v>
      </c>
      <c r="C12" s="49"/>
      <c r="D12" s="134">
        <f>Summary!S24</f>
        <v>0</v>
      </c>
      <c r="J12" s="3" t="s">
        <v>164</v>
      </c>
      <c r="K12" s="217">
        <f t="shared" si="0"/>
        <v>1.7000000000000002</v>
      </c>
      <c r="L12" s="64">
        <f t="shared" si="1"/>
        <v>7.0833333333333345E-2</v>
      </c>
      <c r="M12" s="73"/>
    </row>
    <row r="13" spans="1:13" x14ac:dyDescent="0.2">
      <c r="A13" s="49"/>
      <c r="B13" s="49" t="s">
        <v>97</v>
      </c>
      <c r="C13" s="49"/>
      <c r="D13" s="134">
        <f>Summary!T24</f>
        <v>1.7000000000000002</v>
      </c>
      <c r="M13" s="73"/>
    </row>
    <row r="14" spans="1:13" x14ac:dyDescent="0.2">
      <c r="A14" s="49"/>
      <c r="B14" s="286" t="s">
        <v>20</v>
      </c>
      <c r="C14" s="286"/>
      <c r="D14" s="139">
        <f>SUMIFS('Factory Log'!D:D,'Factory Log'!B:B,WideFormat!D2,'Factory Log'!C:C,WideFormat!B14)</f>
        <v>0</v>
      </c>
    </row>
    <row r="15" spans="1:13" x14ac:dyDescent="0.2">
      <c r="A15" s="49"/>
      <c r="B15" s="286" t="s">
        <v>21</v>
      </c>
      <c r="C15" s="286"/>
      <c r="D15" s="139">
        <f>SUMIFS('Factory Log'!D:D,'Factory Log'!B:B,WideFormat!D2,'Factory Log'!C:C,WideFormat!B15)</f>
        <v>0</v>
      </c>
    </row>
    <row r="16" spans="1:13" x14ac:dyDescent="0.2">
      <c r="A16" s="49"/>
      <c r="B16" s="286" t="s">
        <v>22</v>
      </c>
      <c r="C16" s="286"/>
      <c r="D16" s="139">
        <f>SUMIFS('Factory Log'!D:D,'Factory Log'!B:B,WideFormat!D2,'Factory Log'!C:C,WideFormat!B16)</f>
        <v>0</v>
      </c>
    </row>
    <row r="17" spans="1:14" x14ac:dyDescent="0.2">
      <c r="A17" s="49"/>
      <c r="B17" s="286" t="s">
        <v>23</v>
      </c>
      <c r="C17" s="286"/>
      <c r="D17" s="139">
        <f>SUMIFS('Factory Log'!D:D,'Factory Log'!B:B,WideFormat!D2,'Factory Log'!C:C,WideFormat!B17)</f>
        <v>0</v>
      </c>
    </row>
    <row r="18" spans="1:14" x14ac:dyDescent="0.2">
      <c r="A18" s="49"/>
      <c r="B18" s="286" t="s">
        <v>12</v>
      </c>
      <c r="C18" s="286"/>
      <c r="D18" s="139">
        <f>SUMIFS('Factory Log'!D:D,'Factory Log'!B:B,WideFormat!D2,'Factory Log'!C:C,WideFormat!B18)</f>
        <v>1.6666666666860692</v>
      </c>
    </row>
    <row r="19" spans="1:14" x14ac:dyDescent="0.2">
      <c r="A19" s="49"/>
      <c r="B19" s="286" t="s">
        <v>18</v>
      </c>
      <c r="C19" s="286"/>
      <c r="D19" s="139">
        <f>SUMIFS('Factory Log'!D:D,'Factory Log'!B:B,WideFormat!D2,'Factory Log'!C:C,WideFormat!B19)</f>
        <v>0</v>
      </c>
    </row>
    <row r="20" spans="1:14" x14ac:dyDescent="0.2">
      <c r="A20" s="109"/>
      <c r="B20" s="109"/>
      <c r="C20" s="109"/>
      <c r="D20" s="109"/>
    </row>
    <row r="21" spans="1:14" x14ac:dyDescent="0.2">
      <c r="B21" s="50" t="s">
        <v>159</v>
      </c>
      <c r="C21" s="218">
        <f>Summary!AD24</f>
        <v>0</v>
      </c>
      <c r="E21" s="144" t="s">
        <v>100</v>
      </c>
      <c r="F21" s="66" t="s">
        <v>101</v>
      </c>
      <c r="G21" s="66"/>
      <c r="H21" s="66"/>
      <c r="I21" s="66"/>
      <c r="J21" s="66" t="s">
        <v>102</v>
      </c>
      <c r="K21" s="66"/>
      <c r="L21" s="66"/>
      <c r="M21" s="66" t="s">
        <v>103</v>
      </c>
      <c r="N21" s="66" t="s">
        <v>104</v>
      </c>
    </row>
    <row r="22" spans="1:14" ht="14" customHeight="1" x14ac:dyDescent="0.2">
      <c r="A22" s="219"/>
      <c r="B22" s="50" t="s">
        <v>160</v>
      </c>
      <c r="C22" s="218">
        <f>Summary!AE24</f>
        <v>0</v>
      </c>
      <c r="D22" s="219"/>
      <c r="E22" s="234">
        <f>Performance!AH4</f>
        <v>347876</v>
      </c>
      <c r="F22" s="50" t="str">
        <f>Performance!AI4</f>
        <v>Asda Stores Ltd</v>
      </c>
      <c r="J22" s="50" t="str">
        <f>Performance!AK4</f>
        <v>Agripa - Fleet - Production</v>
      </c>
      <c r="M22" s="137">
        <f>Performance!AL4</f>
        <v>6.3833333335351199</v>
      </c>
      <c r="N22" s="51">
        <f>Performance!AM4</f>
        <v>126</v>
      </c>
    </row>
    <row r="23" spans="1:14" ht="14" customHeight="1" x14ac:dyDescent="0.2">
      <c r="A23" s="219"/>
      <c r="B23" s="50" t="s">
        <v>154</v>
      </c>
      <c r="C23" s="218">
        <f>Summary!AF24</f>
        <v>1</v>
      </c>
      <c r="D23" s="219"/>
      <c r="E23" s="234">
        <f>Performance!AH5</f>
        <v>347876.01</v>
      </c>
      <c r="F23" s="50" t="str">
        <f>Performance!AI5</f>
        <v>Asda Stores Ltd</v>
      </c>
      <c r="J23" s="50" t="str">
        <f>Performance!AK5</f>
        <v>Agripa - Fleet - Production</v>
      </c>
      <c r="M23" s="137">
        <f>Performance!AL5</f>
        <v>7.5499999999883585</v>
      </c>
      <c r="N23" s="51">
        <f>Performance!AM5</f>
        <v>24</v>
      </c>
    </row>
    <row r="24" spans="1:14" ht="14" customHeight="1" x14ac:dyDescent="0.2">
      <c r="A24" s="220"/>
      <c r="B24" s="50" t="s">
        <v>161</v>
      </c>
      <c r="C24" s="218">
        <f>Summary!AG24</f>
        <v>0</v>
      </c>
      <c r="D24" s="220"/>
      <c r="E24" s="234">
        <f>Performance!AH7</f>
        <v>349431.02</v>
      </c>
      <c r="F24" s="50" t="str">
        <f>Performance!AI7</f>
        <v>Inspired Thinking Group (ITG) - Halfords</v>
      </c>
      <c r="J24" s="50" t="str">
        <f>Performance!AK7</f>
        <v>General Point of Sale</v>
      </c>
      <c r="M24" s="137">
        <f>Performance!AL7</f>
        <v>6.4333333333488554</v>
      </c>
      <c r="N24" s="51">
        <f>Performance!AM7</f>
        <v>340</v>
      </c>
    </row>
    <row r="25" spans="1:14" ht="14" customHeight="1" x14ac:dyDescent="0.2">
      <c r="A25" s="219"/>
      <c r="B25" s="50" t="s">
        <v>162</v>
      </c>
      <c r="C25" s="218">
        <f>Summary!AH24</f>
        <v>0</v>
      </c>
      <c r="D25" s="220"/>
    </row>
    <row r="26" spans="1:14" x14ac:dyDescent="0.2">
      <c r="B26" s="50" t="s">
        <v>157</v>
      </c>
      <c r="C26" s="218">
        <f>Summary!AI24</f>
        <v>0</v>
      </c>
      <c r="E26" s="234"/>
      <c r="M26" s="137"/>
      <c r="N26" s="51"/>
    </row>
    <row r="27" spans="1:14" x14ac:dyDescent="0.2">
      <c r="E27" s="234"/>
      <c r="M27" s="137"/>
      <c r="N27" s="51"/>
    </row>
    <row r="28" spans="1:14" ht="16" customHeight="1" x14ac:dyDescent="0.2">
      <c r="E28" s="234"/>
      <c r="M28" s="137"/>
      <c r="N28" s="51"/>
    </row>
    <row r="29" spans="1:14" ht="16" customHeight="1" thickBot="1" x14ac:dyDescent="0.25">
      <c r="E29" s="234"/>
      <c r="M29" s="137"/>
      <c r="N29" s="51"/>
    </row>
    <row r="30" spans="1:14" ht="39" x14ac:dyDescent="0.2">
      <c r="A30" s="165" t="s">
        <v>165</v>
      </c>
      <c r="B30" s="225" t="s">
        <v>170</v>
      </c>
      <c r="C30" s="80" t="s">
        <v>29</v>
      </c>
      <c r="D30" s="81" t="s">
        <v>30</v>
      </c>
      <c r="E30" s="79" t="s">
        <v>39</v>
      </c>
      <c r="F30" s="77" t="s">
        <v>40</v>
      </c>
      <c r="G30" s="74" t="s">
        <v>31</v>
      </c>
      <c r="H30" s="75" t="s">
        <v>32</v>
      </c>
      <c r="I30" s="78" t="s">
        <v>35</v>
      </c>
      <c r="J30" s="76" t="s">
        <v>139</v>
      </c>
      <c r="K30" s="76" t="s">
        <v>82</v>
      </c>
      <c r="L30" s="77" t="s">
        <v>41</v>
      </c>
      <c r="M30" s="77" t="s">
        <v>42</v>
      </c>
      <c r="N30" s="78" t="s">
        <v>38</v>
      </c>
    </row>
    <row r="31" spans="1:14" ht="24" customHeight="1" thickBot="1" x14ac:dyDescent="0.25">
      <c r="A31" s="224">
        <f>Summary!B24</f>
        <v>0.47428074642090629</v>
      </c>
      <c r="B31" s="226">
        <f>Summary!C24</f>
        <v>0.47428074642090629</v>
      </c>
      <c r="C31" s="125">
        <f>Summary!D24</f>
        <v>0.84166666666666667</v>
      </c>
      <c r="D31" s="126">
        <f>Summary!E24</f>
        <v>0.84166666666666667</v>
      </c>
      <c r="E31" s="127">
        <f>Summary!F24</f>
        <v>0.57547680211572161</v>
      </c>
      <c r="F31" s="128">
        <f>Summary!G24</f>
        <v>0.97919129817923856</v>
      </c>
      <c r="G31" s="115">
        <f>Summary!H24</f>
        <v>24</v>
      </c>
      <c r="H31" s="116">
        <f>Summary!I24</f>
        <v>24</v>
      </c>
      <c r="I31" s="129">
        <f>Summary!U24</f>
        <v>570</v>
      </c>
      <c r="J31" s="117">
        <f>Summary!V24</f>
        <v>11.720544203208553</v>
      </c>
      <c r="K31" s="117">
        <f>Summary!W24</f>
        <v>20.366666666872334</v>
      </c>
      <c r="L31" s="118">
        <f>Summary!X24</f>
        <v>4141</v>
      </c>
      <c r="M31" s="118">
        <f>Summary!Y24</f>
        <v>4229</v>
      </c>
      <c r="N31" s="119">
        <f>Summary!AB24</f>
        <v>0</v>
      </c>
    </row>
    <row r="33" spans="1:13" x14ac:dyDescent="0.2">
      <c r="A33" s="162" t="str">
        <f>TEXT(Summary!$B$6,"dd/MM/yyyy")&amp;" - "&amp;TEXT(Summary!$D$6,"dd/MM/yyyy")</f>
        <v>19/01/2022 - 19/01/2022</v>
      </c>
      <c r="B33" s="46"/>
      <c r="C33" s="55"/>
      <c r="D33" s="47" t="s">
        <v>58</v>
      </c>
    </row>
    <row r="34" spans="1:13" ht="15" thickBot="1" x14ac:dyDescent="0.25">
      <c r="A34" s="52"/>
      <c r="D34" s="136" t="str">
        <f>_xlfn.CONCAT(SUM(D35:D44)," ","hrs")</f>
        <v>24 hrs</v>
      </c>
      <c r="F34" s="201" t="s">
        <v>140</v>
      </c>
      <c r="G34" s="135">
        <f>SUM(D35:D37)</f>
        <v>23.8</v>
      </c>
      <c r="J34" s="3" t="s">
        <v>90</v>
      </c>
      <c r="K34" s="217">
        <f t="shared" ref="K34:K43" si="2">D35</f>
        <v>23.8</v>
      </c>
      <c r="L34" s="64">
        <f>K34/G$38</f>
        <v>0.9916666666666667</v>
      </c>
    </row>
    <row r="35" spans="1:13" x14ac:dyDescent="0.2">
      <c r="A35" s="110" t="s">
        <v>143</v>
      </c>
      <c r="B35" s="111" t="s">
        <v>90</v>
      </c>
      <c r="C35" s="111"/>
      <c r="D35" s="130">
        <f>Summary!K25</f>
        <v>23.8</v>
      </c>
      <c r="F35" s="201" t="s">
        <v>141</v>
      </c>
      <c r="G35" s="135">
        <f>SUM(D38:D41)</f>
        <v>0.2</v>
      </c>
      <c r="J35" s="3" t="s">
        <v>91</v>
      </c>
      <c r="K35" s="217">
        <f t="shared" si="2"/>
        <v>0</v>
      </c>
      <c r="L35" s="64">
        <f t="shared" ref="L35:L43" si="3">K35/G$38</f>
        <v>0</v>
      </c>
    </row>
    <row r="36" spans="1:13" x14ac:dyDescent="0.2">
      <c r="A36" s="112"/>
      <c r="B36" s="49" t="s">
        <v>91</v>
      </c>
      <c r="C36" s="49"/>
      <c r="D36" s="131">
        <f>Summary!L25</f>
        <v>0</v>
      </c>
      <c r="F36" s="201" t="s">
        <v>147</v>
      </c>
      <c r="G36" s="135">
        <f>SUM(D42:D44)</f>
        <v>0</v>
      </c>
      <c r="J36" s="3" t="s">
        <v>92</v>
      </c>
      <c r="K36" s="217">
        <f t="shared" si="2"/>
        <v>0</v>
      </c>
      <c r="L36" s="64">
        <f t="shared" si="3"/>
        <v>0</v>
      </c>
    </row>
    <row r="37" spans="1:13" ht="15" thickBot="1" x14ac:dyDescent="0.25">
      <c r="A37" s="113"/>
      <c r="B37" s="114" t="s">
        <v>92</v>
      </c>
      <c r="C37" s="114"/>
      <c r="D37" s="132">
        <f>Summary!M25</f>
        <v>0</v>
      </c>
      <c r="F37" s="53" t="s">
        <v>19</v>
      </c>
      <c r="G37" s="135">
        <f>G38-SUM(G34:G36)</f>
        <v>0</v>
      </c>
      <c r="J37" s="3" t="s">
        <v>93</v>
      </c>
      <c r="K37" s="217">
        <f t="shared" si="2"/>
        <v>0</v>
      </c>
      <c r="L37" s="64">
        <f t="shared" si="3"/>
        <v>0</v>
      </c>
    </row>
    <row r="38" spans="1:13" x14ac:dyDescent="0.2">
      <c r="A38" s="107" t="s">
        <v>144</v>
      </c>
      <c r="B38" s="108" t="s">
        <v>93</v>
      </c>
      <c r="C38" s="108"/>
      <c r="D38" s="133">
        <f>Summary!N25</f>
        <v>0</v>
      </c>
      <c r="F38" s="53"/>
      <c r="G38" s="54">
        <f>Summary!H25</f>
        <v>24</v>
      </c>
      <c r="J38" s="3" t="s">
        <v>94</v>
      </c>
      <c r="K38" s="217">
        <f t="shared" si="2"/>
        <v>0</v>
      </c>
      <c r="L38" s="64">
        <f t="shared" si="3"/>
        <v>0</v>
      </c>
    </row>
    <row r="39" spans="1:13" x14ac:dyDescent="0.2">
      <c r="A39" s="48" t="s">
        <v>145</v>
      </c>
      <c r="B39" s="49" t="s">
        <v>94</v>
      </c>
      <c r="C39" s="49"/>
      <c r="D39" s="134">
        <f>Summary!O25</f>
        <v>0</v>
      </c>
      <c r="J39" s="3" t="s">
        <v>95</v>
      </c>
      <c r="K39" s="217">
        <f t="shared" si="2"/>
        <v>0</v>
      </c>
      <c r="L39" s="64">
        <f t="shared" si="3"/>
        <v>0</v>
      </c>
    </row>
    <row r="40" spans="1:13" x14ac:dyDescent="0.2">
      <c r="A40" s="48"/>
      <c r="B40" s="49" t="s">
        <v>95</v>
      </c>
      <c r="C40" s="49"/>
      <c r="D40" s="134">
        <f>Summary!P25</f>
        <v>0</v>
      </c>
      <c r="J40" s="3" t="s">
        <v>118</v>
      </c>
      <c r="K40" s="217">
        <f t="shared" si="2"/>
        <v>0.2</v>
      </c>
      <c r="L40" s="64">
        <f t="shared" si="3"/>
        <v>8.3333333333333332E-3</v>
      </c>
    </row>
    <row r="41" spans="1:13" x14ac:dyDescent="0.2">
      <c r="A41" s="48"/>
      <c r="B41" s="49" t="s">
        <v>115</v>
      </c>
      <c r="C41" s="49"/>
      <c r="D41" s="134">
        <f>Summary!Q25</f>
        <v>0.2</v>
      </c>
      <c r="J41" s="3" t="s">
        <v>163</v>
      </c>
      <c r="K41" s="217">
        <f t="shared" si="2"/>
        <v>0</v>
      </c>
      <c r="L41" s="64">
        <f t="shared" si="3"/>
        <v>0</v>
      </c>
      <c r="M41" s="73"/>
    </row>
    <row r="42" spans="1:13" x14ac:dyDescent="0.2">
      <c r="A42" s="48" t="s">
        <v>146</v>
      </c>
      <c r="B42" s="49" t="s">
        <v>119</v>
      </c>
      <c r="C42" s="49"/>
      <c r="D42" s="134">
        <f>Summary!R25</f>
        <v>0</v>
      </c>
      <c r="J42" s="3" t="s">
        <v>96</v>
      </c>
      <c r="K42" s="217">
        <f t="shared" si="2"/>
        <v>0</v>
      </c>
      <c r="L42" s="64">
        <f>K42/G$38</f>
        <v>0</v>
      </c>
      <c r="M42" s="73"/>
    </row>
    <row r="43" spans="1:13" x14ac:dyDescent="0.2">
      <c r="A43" s="48" t="s">
        <v>145</v>
      </c>
      <c r="B43" s="49" t="s">
        <v>96</v>
      </c>
      <c r="C43" s="49"/>
      <c r="D43" s="134">
        <f>Summary!S25</f>
        <v>0</v>
      </c>
      <c r="J43" s="3" t="s">
        <v>164</v>
      </c>
      <c r="K43" s="217">
        <f t="shared" si="2"/>
        <v>0</v>
      </c>
      <c r="L43" s="64">
        <f t="shared" si="3"/>
        <v>0</v>
      </c>
      <c r="M43" s="73"/>
    </row>
    <row r="44" spans="1:13" x14ac:dyDescent="0.2">
      <c r="A44" s="49"/>
      <c r="B44" s="49" t="s">
        <v>97</v>
      </c>
      <c r="C44" s="49"/>
      <c r="D44" s="134">
        <f>Summary!T25</f>
        <v>0</v>
      </c>
      <c r="M44" s="73"/>
    </row>
    <row r="45" spans="1:13" x14ac:dyDescent="0.2">
      <c r="A45" s="49"/>
      <c r="B45" s="286" t="s">
        <v>20</v>
      </c>
      <c r="C45" s="286"/>
      <c r="D45" s="139">
        <f>SUMIFS('Factory Log'!D:D,'Factory Log'!B:B,WideFormat!D33,'Factory Log'!C:C,WideFormat!B45)</f>
        <v>0</v>
      </c>
      <c r="M45" s="73"/>
    </row>
    <row r="46" spans="1:13" x14ac:dyDescent="0.2">
      <c r="A46" s="49"/>
      <c r="B46" s="286" t="s">
        <v>21</v>
      </c>
      <c r="C46" s="286"/>
      <c r="D46" s="139">
        <f>SUMIFS('Factory Log'!D:D,'Factory Log'!B:B,WideFormat!D33,'Factory Log'!C:C,WideFormat!B46)</f>
        <v>0</v>
      </c>
    </row>
    <row r="47" spans="1:13" x14ac:dyDescent="0.2">
      <c r="A47" s="49"/>
      <c r="B47" s="286" t="s">
        <v>22</v>
      </c>
      <c r="C47" s="286"/>
      <c r="D47" s="139">
        <f>SUMIFS('Factory Log'!D:D,'Factory Log'!B:B,WideFormat!D33,'Factory Log'!C:C,WideFormat!B47)</f>
        <v>0</v>
      </c>
    </row>
    <row r="48" spans="1:13" x14ac:dyDescent="0.2">
      <c r="A48" s="49"/>
      <c r="B48" s="286" t="s">
        <v>23</v>
      </c>
      <c r="C48" s="286"/>
      <c r="D48" s="139">
        <f>SUMIFS('Factory Log'!D:D,'Factory Log'!B:B,WideFormat!D33,'Factory Log'!C:C,WideFormat!B48)</f>
        <v>0</v>
      </c>
    </row>
    <row r="49" spans="1:14" x14ac:dyDescent="0.2">
      <c r="A49" s="49"/>
      <c r="B49" s="286" t="s">
        <v>12</v>
      </c>
      <c r="C49" s="286"/>
      <c r="D49" s="139">
        <f>SUMIFS('Factory Log'!D:D,'Factory Log'!B:B,WideFormat!D33,'Factory Log'!C:C,WideFormat!B49)</f>
        <v>0</v>
      </c>
    </row>
    <row r="50" spans="1:14" x14ac:dyDescent="0.2">
      <c r="A50" s="49"/>
      <c r="B50" s="286" t="s">
        <v>18</v>
      </c>
      <c r="C50" s="286"/>
      <c r="D50" s="139">
        <f>SUMIFS('Factory Log'!D:D,'Factory Log'!B:B,WideFormat!D33,'Factory Log'!C:C,WideFormat!B50)</f>
        <v>0</v>
      </c>
    </row>
    <row r="51" spans="1:14" x14ac:dyDescent="0.2">
      <c r="A51" s="109"/>
      <c r="B51" s="109"/>
      <c r="C51" s="109"/>
      <c r="D51" s="109"/>
    </row>
    <row r="52" spans="1:14" x14ac:dyDescent="0.2">
      <c r="B52" s="50" t="s">
        <v>159</v>
      </c>
      <c r="C52" s="218">
        <f>Summary!AD25</f>
        <v>0</v>
      </c>
      <c r="E52" s="144" t="s">
        <v>100</v>
      </c>
      <c r="F52" s="66" t="s">
        <v>101</v>
      </c>
      <c r="G52" s="66"/>
      <c r="H52" s="66"/>
      <c r="I52" s="66"/>
      <c r="J52" s="66" t="s">
        <v>102</v>
      </c>
      <c r="K52" s="66"/>
      <c r="L52" s="66"/>
      <c r="M52" s="66" t="s">
        <v>103</v>
      </c>
      <c r="N52" s="66" t="s">
        <v>104</v>
      </c>
    </row>
    <row r="53" spans="1:14" ht="14" customHeight="1" x14ac:dyDescent="0.2">
      <c r="A53" s="229"/>
      <c r="B53" s="50" t="s">
        <v>160</v>
      </c>
      <c r="C53" s="218">
        <f>Summary!AE25</f>
        <v>0.13170000000000001</v>
      </c>
      <c r="D53" s="229"/>
      <c r="E53" s="234">
        <f>Performance!AS4</f>
        <v>349393.02</v>
      </c>
      <c r="F53" s="50" t="str">
        <f>Performance!AT4</f>
        <v>B&amp;Q Ltd</v>
      </c>
      <c r="J53" s="50" t="str">
        <f>Performance!AV4</f>
        <v>Banner - Retail</v>
      </c>
      <c r="M53" s="137">
        <f>Performance!AW4</f>
        <v>12.266666666662786</v>
      </c>
      <c r="N53" s="51">
        <f>Performance!AX4</f>
        <v>179</v>
      </c>
    </row>
    <row r="54" spans="1:14" ht="14" customHeight="1" x14ac:dyDescent="0.2">
      <c r="A54" s="229"/>
      <c r="B54" s="50" t="s">
        <v>154</v>
      </c>
      <c r="C54" s="218">
        <f>Summary!AF25</f>
        <v>0</v>
      </c>
      <c r="D54" s="229"/>
      <c r="E54" s="234">
        <f>Performance!AS5</f>
        <v>349393.01</v>
      </c>
      <c r="F54" s="50" t="str">
        <f>Performance!AT5</f>
        <v>B&amp;Q Ltd</v>
      </c>
      <c r="J54" s="50" t="str">
        <f>Performance!AV5</f>
        <v>Banner - Retail</v>
      </c>
      <c r="M54" s="137">
        <f>Performance!AW5</f>
        <v>6.566666666592937</v>
      </c>
      <c r="N54" s="51">
        <f>Performance!AX5</f>
        <v>37</v>
      </c>
    </row>
    <row r="55" spans="1:14" ht="14" customHeight="1" x14ac:dyDescent="0.2">
      <c r="A55" s="230"/>
      <c r="B55" s="50" t="s">
        <v>161</v>
      </c>
      <c r="C55" s="218">
        <f>Summary!AG25</f>
        <v>0.8679</v>
      </c>
      <c r="D55" s="230"/>
      <c r="E55" s="234">
        <f>Performance!AS6</f>
        <v>349443</v>
      </c>
      <c r="F55" s="50" t="str">
        <f>Performance!AT6</f>
        <v>Marks &amp; Spencer PLC</v>
      </c>
      <c r="J55" s="50" t="str">
        <f>Performance!AV6</f>
        <v>Banner - Retail</v>
      </c>
      <c r="M55" s="137">
        <f>Performance!AW6</f>
        <v>4.9500000000698492</v>
      </c>
      <c r="N55" s="51">
        <f>Performance!AX6</f>
        <v>54</v>
      </c>
    </row>
    <row r="56" spans="1:14" ht="14" customHeight="1" x14ac:dyDescent="0.2">
      <c r="A56" s="229"/>
      <c r="B56" s="50" t="s">
        <v>162</v>
      </c>
      <c r="C56" s="218">
        <f>Summary!AH25</f>
        <v>0</v>
      </c>
      <c r="D56" s="230"/>
      <c r="E56" s="234"/>
      <c r="M56" s="137"/>
      <c r="N56" s="51"/>
    </row>
    <row r="57" spans="1:14" ht="14" customHeight="1" x14ac:dyDescent="0.2">
      <c r="B57" s="50" t="s">
        <v>157</v>
      </c>
      <c r="C57" s="218">
        <f>Summary!AI25</f>
        <v>0</v>
      </c>
      <c r="E57" s="234"/>
      <c r="M57" s="137"/>
      <c r="N57" s="51"/>
    </row>
    <row r="58" spans="1:14" ht="14" customHeight="1" x14ac:dyDescent="0.2">
      <c r="E58" s="234"/>
      <c r="M58" s="137"/>
      <c r="N58" s="51"/>
    </row>
    <row r="59" spans="1:14" x14ac:dyDescent="0.2">
      <c r="D59" s="50"/>
      <c r="E59" s="234"/>
      <c r="M59" s="137"/>
      <c r="N59" s="51"/>
    </row>
    <row r="60" spans="1:14" ht="17" customHeight="1" thickBot="1" x14ac:dyDescent="0.25">
      <c r="D60" s="50"/>
      <c r="E60" s="234"/>
      <c r="M60" s="137"/>
      <c r="N60" s="51"/>
    </row>
    <row r="61" spans="1:14" ht="38" customHeight="1" x14ac:dyDescent="0.2">
      <c r="A61" s="165" t="s">
        <v>165</v>
      </c>
      <c r="B61" s="225" t="s">
        <v>170</v>
      </c>
      <c r="C61" s="80" t="s">
        <v>29</v>
      </c>
      <c r="D61" s="81" t="s">
        <v>30</v>
      </c>
      <c r="E61" s="79" t="s">
        <v>39</v>
      </c>
      <c r="F61" s="77" t="s">
        <v>40</v>
      </c>
      <c r="G61" s="74" t="s">
        <v>31</v>
      </c>
      <c r="H61" s="75" t="s">
        <v>32</v>
      </c>
      <c r="I61" s="78" t="s">
        <v>35</v>
      </c>
      <c r="J61" s="76" t="s">
        <v>139</v>
      </c>
      <c r="K61" s="76" t="s">
        <v>82</v>
      </c>
      <c r="L61" s="77" t="s">
        <v>41</v>
      </c>
      <c r="M61" s="77" t="s">
        <v>42</v>
      </c>
      <c r="N61" s="78" t="s">
        <v>38</v>
      </c>
    </row>
    <row r="62" spans="1:14" ht="20" customHeight="1" thickBot="1" x14ac:dyDescent="0.25">
      <c r="A62" s="224">
        <f>Summary!B25</f>
        <v>0.7014159203419289</v>
      </c>
      <c r="B62" s="226">
        <f>Summary!C25</f>
        <v>0.7014159203419289</v>
      </c>
      <c r="C62" s="125">
        <f>Summary!D25</f>
        <v>0.9916666666666667</v>
      </c>
      <c r="D62" s="126">
        <f>Summary!E25</f>
        <v>0.9916666666666667</v>
      </c>
      <c r="E62" s="127">
        <f>Summary!F25</f>
        <v>0.72296192478416488</v>
      </c>
      <c r="F62" s="128">
        <f>Summary!G25</f>
        <v>0.97835051546391749</v>
      </c>
      <c r="G62" s="115">
        <f>Summary!H25</f>
        <v>24</v>
      </c>
      <c r="H62" s="116">
        <f>Summary!I25</f>
        <v>24</v>
      </c>
      <c r="I62" s="129">
        <f>Summary!U25</f>
        <v>30</v>
      </c>
      <c r="J62" s="117">
        <f>Summary!V25</f>
        <v>17.194444444444443</v>
      </c>
      <c r="K62" s="117">
        <f>Summary!W25</f>
        <v>23.783333333325572</v>
      </c>
      <c r="L62" s="118">
        <f>Summary!X25</f>
        <v>949</v>
      </c>
      <c r="M62" s="118">
        <f>Summary!Y25</f>
        <v>970</v>
      </c>
      <c r="N62" s="119">
        <f>Summary!AB25</f>
        <v>1</v>
      </c>
    </row>
    <row r="65" spans="1:12" x14ac:dyDescent="0.2">
      <c r="A65" s="162" t="str">
        <f>TEXT(Summary!$B$6,"dd/MM/yyyy")&amp;" - "&amp;TEXT(Summary!$D$6,"dd/MM/yyyy")</f>
        <v>19/01/2022 - 19/01/2022</v>
      </c>
      <c r="B65" s="46"/>
      <c r="C65" s="55"/>
      <c r="D65" s="47" t="s">
        <v>59</v>
      </c>
    </row>
    <row r="66" spans="1:12" ht="15" thickBot="1" x14ac:dyDescent="0.25">
      <c r="A66" s="52"/>
      <c r="D66" s="136" t="str">
        <f>_xlfn.CONCAT(SUM(D67:D76)," ","hrs")</f>
        <v>24 hrs</v>
      </c>
      <c r="F66" s="201" t="s">
        <v>140</v>
      </c>
      <c r="G66" s="135">
        <f>SUM(D67:D69)</f>
        <v>15.3</v>
      </c>
      <c r="J66" s="3" t="s">
        <v>90</v>
      </c>
      <c r="K66" s="217">
        <f t="shared" ref="K66:K75" si="4">D67</f>
        <v>10.600000000000001</v>
      </c>
      <c r="L66" s="64">
        <f>K66/G$70</f>
        <v>0.44166666666666671</v>
      </c>
    </row>
    <row r="67" spans="1:12" x14ac:dyDescent="0.2">
      <c r="A67" s="110" t="s">
        <v>143</v>
      </c>
      <c r="B67" s="111" t="s">
        <v>90</v>
      </c>
      <c r="C67" s="111"/>
      <c r="D67" s="130">
        <f>Summary!K26</f>
        <v>10.600000000000001</v>
      </c>
      <c r="F67" s="201" t="s">
        <v>141</v>
      </c>
      <c r="G67" s="135">
        <f>SUM(D70:D73)</f>
        <v>5.8000000000000007</v>
      </c>
      <c r="J67" s="3" t="s">
        <v>91</v>
      </c>
      <c r="K67" s="217">
        <f t="shared" si="4"/>
        <v>4.7</v>
      </c>
      <c r="L67" s="64">
        <f t="shared" ref="L67:L75" si="5">K67/G$70</f>
        <v>0.19583333333333333</v>
      </c>
    </row>
    <row r="68" spans="1:12" x14ac:dyDescent="0.2">
      <c r="A68" s="112"/>
      <c r="B68" s="49" t="s">
        <v>91</v>
      </c>
      <c r="C68" s="49"/>
      <c r="D68" s="131">
        <f>Summary!L26</f>
        <v>4.7</v>
      </c>
      <c r="F68" s="201" t="s">
        <v>147</v>
      </c>
      <c r="G68" s="135">
        <f>SUM(D74:D76)</f>
        <v>2.9</v>
      </c>
      <c r="J68" s="3" t="s">
        <v>92</v>
      </c>
      <c r="K68" s="217">
        <f t="shared" si="4"/>
        <v>0</v>
      </c>
      <c r="L68" s="64">
        <f t="shared" si="5"/>
        <v>0</v>
      </c>
    </row>
    <row r="69" spans="1:12" ht="15" thickBot="1" x14ac:dyDescent="0.25">
      <c r="A69" s="113"/>
      <c r="B69" s="114" t="s">
        <v>92</v>
      </c>
      <c r="C69" s="114"/>
      <c r="D69" s="132">
        <f>Summary!M26</f>
        <v>0</v>
      </c>
      <c r="F69" s="53" t="s">
        <v>19</v>
      </c>
      <c r="G69" s="135">
        <f>G70-SUM(G66:G68)</f>
        <v>0</v>
      </c>
      <c r="J69" s="3" t="s">
        <v>93</v>
      </c>
      <c r="K69" s="217">
        <f t="shared" si="4"/>
        <v>0</v>
      </c>
      <c r="L69" s="64">
        <f>K69/G$70</f>
        <v>0</v>
      </c>
    </row>
    <row r="70" spans="1:12" x14ac:dyDescent="0.2">
      <c r="A70" s="107" t="s">
        <v>144</v>
      </c>
      <c r="B70" s="108" t="s">
        <v>93</v>
      </c>
      <c r="C70" s="108"/>
      <c r="D70" s="133">
        <f>Summary!N26</f>
        <v>0</v>
      </c>
      <c r="F70" s="53"/>
      <c r="G70" s="54">
        <f>Summary!H26</f>
        <v>24</v>
      </c>
      <c r="J70" s="3" t="s">
        <v>94</v>
      </c>
      <c r="K70" s="217">
        <f t="shared" si="4"/>
        <v>4.8000000000000007</v>
      </c>
      <c r="L70" s="64">
        <f t="shared" si="5"/>
        <v>0.20000000000000004</v>
      </c>
    </row>
    <row r="71" spans="1:12" x14ac:dyDescent="0.2">
      <c r="A71" s="48" t="s">
        <v>145</v>
      </c>
      <c r="B71" s="49" t="s">
        <v>94</v>
      </c>
      <c r="C71" s="49"/>
      <c r="D71" s="134">
        <f>Summary!O26</f>
        <v>4.8000000000000007</v>
      </c>
      <c r="J71" s="3" t="s">
        <v>95</v>
      </c>
      <c r="K71" s="217">
        <f t="shared" si="4"/>
        <v>0</v>
      </c>
      <c r="L71" s="64">
        <f t="shared" si="5"/>
        <v>0</v>
      </c>
    </row>
    <row r="72" spans="1:12" x14ac:dyDescent="0.2">
      <c r="A72" s="48"/>
      <c r="B72" s="49" t="s">
        <v>95</v>
      </c>
      <c r="C72" s="49"/>
      <c r="D72" s="134">
        <f>Summary!P26</f>
        <v>0</v>
      </c>
      <c r="J72" s="3" t="s">
        <v>118</v>
      </c>
      <c r="K72" s="217">
        <f t="shared" si="4"/>
        <v>1</v>
      </c>
      <c r="L72" s="64">
        <f t="shared" si="5"/>
        <v>4.1666666666666664E-2</v>
      </c>
    </row>
    <row r="73" spans="1:12" x14ac:dyDescent="0.2">
      <c r="A73" s="48"/>
      <c r="B73" s="49" t="s">
        <v>115</v>
      </c>
      <c r="C73" s="49"/>
      <c r="D73" s="134">
        <f>Summary!Q26</f>
        <v>1</v>
      </c>
      <c r="J73" s="3" t="s">
        <v>163</v>
      </c>
      <c r="K73" s="217">
        <f t="shared" si="4"/>
        <v>0</v>
      </c>
      <c r="L73" s="64">
        <f t="shared" si="5"/>
        <v>0</v>
      </c>
    </row>
    <row r="74" spans="1:12" x14ac:dyDescent="0.2">
      <c r="A74" s="48" t="s">
        <v>146</v>
      </c>
      <c r="B74" s="49" t="s">
        <v>119</v>
      </c>
      <c r="C74" s="49"/>
      <c r="D74" s="134">
        <f>Summary!R26</f>
        <v>0</v>
      </c>
      <c r="J74" s="3" t="s">
        <v>96</v>
      </c>
      <c r="K74" s="217">
        <f t="shared" si="4"/>
        <v>2.5</v>
      </c>
      <c r="L74" s="64">
        <f t="shared" si="5"/>
        <v>0.10416666666666667</v>
      </c>
    </row>
    <row r="75" spans="1:12" x14ac:dyDescent="0.2">
      <c r="A75" s="48" t="s">
        <v>145</v>
      </c>
      <c r="B75" s="49" t="s">
        <v>96</v>
      </c>
      <c r="C75" s="49"/>
      <c r="D75" s="134">
        <f>Summary!S26</f>
        <v>2.5</v>
      </c>
      <c r="J75" s="3" t="s">
        <v>164</v>
      </c>
      <c r="K75" s="217">
        <f t="shared" si="4"/>
        <v>0.4</v>
      </c>
      <c r="L75" s="64">
        <f t="shared" si="5"/>
        <v>1.6666666666666666E-2</v>
      </c>
    </row>
    <row r="76" spans="1:12" x14ac:dyDescent="0.2">
      <c r="A76" s="49"/>
      <c r="B76" s="49" t="s">
        <v>97</v>
      </c>
      <c r="C76" s="49"/>
      <c r="D76" s="134">
        <f>Summary!T26</f>
        <v>0.4</v>
      </c>
    </row>
    <row r="77" spans="1:12" x14ac:dyDescent="0.2">
      <c r="A77" s="49"/>
      <c r="B77" s="286" t="s">
        <v>20</v>
      </c>
      <c r="C77" s="286"/>
      <c r="D77" s="139">
        <f>SUMIFS('Factory Log'!D:D,'Factory Log'!B:B,WideFormat!D65,'Factory Log'!C:C,WideFormat!B77)</f>
        <v>0.44999999989522621</v>
      </c>
    </row>
    <row r="78" spans="1:12" x14ac:dyDescent="0.2">
      <c r="A78" s="49"/>
      <c r="B78" s="286" t="s">
        <v>21</v>
      </c>
      <c r="C78" s="286"/>
      <c r="D78" s="139">
        <f>SUMIFS('Factory Log'!D:D,'Factory Log'!B:B,WideFormat!D65,'Factory Log'!C:C,WideFormat!B78)</f>
        <v>0</v>
      </c>
    </row>
    <row r="79" spans="1:12" x14ac:dyDescent="0.2">
      <c r="A79" s="49"/>
      <c r="B79" s="286" t="s">
        <v>22</v>
      </c>
      <c r="C79" s="286"/>
      <c r="D79" s="139">
        <f>SUMIFS('Factory Log'!D:D,'Factory Log'!B:B,WideFormat!D65,'Factory Log'!C:C,WideFormat!B79)</f>
        <v>0</v>
      </c>
    </row>
    <row r="80" spans="1:12" x14ac:dyDescent="0.2">
      <c r="A80" s="49"/>
      <c r="B80" s="286" t="s">
        <v>23</v>
      </c>
      <c r="C80" s="286"/>
      <c r="D80" s="139">
        <f>SUMIFS('Factory Log'!D:D,'Factory Log'!B:B,WideFormat!D65,'Factory Log'!C:C,WideFormat!B80)</f>
        <v>0</v>
      </c>
    </row>
    <row r="81" spans="1:14" x14ac:dyDescent="0.2">
      <c r="A81" s="49"/>
      <c r="B81" s="286" t="s">
        <v>12</v>
      </c>
      <c r="C81" s="286"/>
      <c r="D81" s="139">
        <f>SUMIFS('Factory Log'!D:D,'Factory Log'!B:B,WideFormat!D65,'Factory Log'!C:C,WideFormat!B81)</f>
        <v>0</v>
      </c>
    </row>
    <row r="82" spans="1:14" x14ac:dyDescent="0.2">
      <c r="A82" s="49"/>
      <c r="B82" s="286" t="s">
        <v>18</v>
      </c>
      <c r="C82" s="286"/>
      <c r="D82" s="139">
        <f>SUMIFS('Factory Log'!D:D,'Factory Log'!B:B,WideFormat!D65,'Factory Log'!C:C,WideFormat!B82)</f>
        <v>0</v>
      </c>
    </row>
    <row r="83" spans="1:14" x14ac:dyDescent="0.2">
      <c r="A83" s="109"/>
      <c r="B83" s="109"/>
      <c r="C83" s="109"/>
      <c r="D83" s="109"/>
    </row>
    <row r="84" spans="1:14" x14ac:dyDescent="0.2">
      <c r="B84" s="50" t="s">
        <v>159</v>
      </c>
      <c r="C84" s="218">
        <f>Summary!AD26</f>
        <v>0</v>
      </c>
      <c r="E84" s="144" t="s">
        <v>100</v>
      </c>
      <c r="F84" s="66" t="s">
        <v>101</v>
      </c>
      <c r="G84" s="66"/>
      <c r="H84" s="66"/>
      <c r="I84" s="66"/>
      <c r="J84" s="66" t="s">
        <v>102</v>
      </c>
      <c r="K84" s="66"/>
      <c r="L84" s="66"/>
      <c r="M84" s="66" t="s">
        <v>103</v>
      </c>
      <c r="N84" s="66" t="s">
        <v>104</v>
      </c>
    </row>
    <row r="85" spans="1:14" ht="14" customHeight="1" x14ac:dyDescent="0.2">
      <c r="A85" s="219"/>
      <c r="B85" s="50" t="s">
        <v>160</v>
      </c>
      <c r="C85" s="218">
        <f>Summary!AE26</f>
        <v>0</v>
      </c>
      <c r="D85" s="219"/>
      <c r="E85" s="234">
        <f>Performance!BD4</f>
        <v>349423.04</v>
      </c>
      <c r="F85" s="50" t="str">
        <f>Performance!BE4</f>
        <v>ABCDesigns</v>
      </c>
      <c r="J85" s="50" t="str">
        <f>Performance!BG4</f>
        <v>Banner - Event</v>
      </c>
      <c r="M85" s="137">
        <f>Performance!BH4</f>
        <v>5.1666666667442769</v>
      </c>
      <c r="N85" s="51">
        <f>Performance!BI4</f>
        <v>8</v>
      </c>
    </row>
    <row r="86" spans="1:14" ht="14" customHeight="1" x14ac:dyDescent="0.2">
      <c r="A86" s="219"/>
      <c r="B86" s="50" t="s">
        <v>154</v>
      </c>
      <c r="C86" s="218">
        <f>Summary!AF26</f>
        <v>0</v>
      </c>
      <c r="D86" s="219"/>
      <c r="E86" s="234">
        <f>Performance!BD6</f>
        <v>349423.03</v>
      </c>
      <c r="F86" s="50" t="str">
        <f>Performance!BE6</f>
        <v>ABCDesigns</v>
      </c>
      <c r="J86" s="50" t="str">
        <f>Performance!BG6</f>
        <v>Banner - Event</v>
      </c>
      <c r="M86" s="137">
        <f>Performance!BH6</f>
        <v>0.1499999999650754</v>
      </c>
      <c r="N86" s="51">
        <f>Performance!BI6</f>
        <v>6</v>
      </c>
    </row>
    <row r="87" spans="1:14" ht="14" customHeight="1" x14ac:dyDescent="0.2">
      <c r="A87" s="220"/>
      <c r="B87" s="50" t="s">
        <v>161</v>
      </c>
      <c r="C87" s="218">
        <f>Summary!AG26</f>
        <v>1</v>
      </c>
      <c r="D87" s="220"/>
      <c r="E87" s="234">
        <f>Performance!BD7</f>
        <v>349423.01</v>
      </c>
      <c r="F87" s="50" t="str">
        <f>Performance!BE7</f>
        <v>ABCDesigns</v>
      </c>
      <c r="J87" s="50" t="str">
        <f>Performance!BG7</f>
        <v>Banner - Retail</v>
      </c>
      <c r="M87" s="137">
        <f>Performance!BH7</f>
        <v>9.4166666668024845</v>
      </c>
      <c r="N87" s="51">
        <f>Performance!BI7</f>
        <v>7</v>
      </c>
    </row>
    <row r="88" spans="1:14" ht="14" customHeight="1" x14ac:dyDescent="0.2">
      <c r="A88" s="219"/>
      <c r="B88" s="50" t="s">
        <v>162</v>
      </c>
      <c r="C88" s="218">
        <f>Summary!AH26</f>
        <v>0</v>
      </c>
      <c r="D88" s="220"/>
      <c r="E88" s="234">
        <f>Performance!BD8</f>
        <v>349423.02</v>
      </c>
      <c r="F88" s="50" t="str">
        <f>Performance!BE8</f>
        <v>ABCDesigns</v>
      </c>
      <c r="J88" s="50" t="str">
        <f>Performance!BG8</f>
        <v>Banner - Retail</v>
      </c>
      <c r="M88" s="137">
        <f>Performance!BH8</f>
        <v>0.51666666677920148</v>
      </c>
      <c r="N88" s="51">
        <f>Performance!BI8</f>
        <v>4</v>
      </c>
    </row>
    <row r="89" spans="1:14" x14ac:dyDescent="0.2">
      <c r="B89" s="50" t="s">
        <v>157</v>
      </c>
      <c r="C89" s="218">
        <f>Summary!AI26</f>
        <v>0</v>
      </c>
      <c r="E89" s="234"/>
      <c r="M89" s="137"/>
      <c r="N89" s="51"/>
    </row>
    <row r="90" spans="1:14" x14ac:dyDescent="0.2">
      <c r="D90" s="50"/>
    </row>
    <row r="91" spans="1:14" ht="15" customHeight="1" x14ac:dyDescent="0.2">
      <c r="D91" s="50"/>
      <c r="E91" s="234"/>
      <c r="M91" s="137"/>
      <c r="N91" s="51"/>
    </row>
    <row r="92" spans="1:14" ht="15" thickBot="1" x14ac:dyDescent="0.25">
      <c r="E92" s="234"/>
      <c r="M92" s="137"/>
      <c r="N92" s="51"/>
    </row>
    <row r="93" spans="1:14" ht="39" x14ac:dyDescent="0.2">
      <c r="A93" s="165" t="s">
        <v>165</v>
      </c>
      <c r="B93" s="225" t="s">
        <v>170</v>
      </c>
      <c r="C93" s="80" t="s">
        <v>29</v>
      </c>
      <c r="D93" s="81" t="s">
        <v>30</v>
      </c>
      <c r="E93" s="79" t="s">
        <v>39</v>
      </c>
      <c r="F93" s="77" t="s">
        <v>40</v>
      </c>
      <c r="G93" s="74" t="s">
        <v>31</v>
      </c>
      <c r="H93" s="75" t="s">
        <v>32</v>
      </c>
      <c r="I93" s="78" t="s">
        <v>35</v>
      </c>
      <c r="J93" s="76" t="s">
        <v>139</v>
      </c>
      <c r="K93" s="76" t="s">
        <v>82</v>
      </c>
      <c r="L93" s="77" t="s">
        <v>41</v>
      </c>
      <c r="M93" s="77" t="s">
        <v>42</v>
      </c>
      <c r="N93" s="78" t="s">
        <v>38</v>
      </c>
    </row>
    <row r="94" spans="1:14" ht="22" customHeight="1" thickBot="1" x14ac:dyDescent="0.25">
      <c r="A94" s="224">
        <f>Summary!B26</f>
        <v>0.33480175047985661</v>
      </c>
      <c r="B94" s="226">
        <f>Summary!C26</f>
        <v>0.33480175047985661</v>
      </c>
      <c r="C94" s="125">
        <f>Summary!D26</f>
        <v>0.63750000000000007</v>
      </c>
      <c r="D94" s="126">
        <f>Summary!E26</f>
        <v>0.63750000000000007</v>
      </c>
      <c r="E94" s="127">
        <f>Summary!F26</f>
        <v>0.54360655736667463</v>
      </c>
      <c r="F94" s="128">
        <f>Summary!G26</f>
        <v>0.96610169491525422</v>
      </c>
      <c r="G94" s="115">
        <f>Summary!H26</f>
        <v>24</v>
      </c>
      <c r="H94" s="116">
        <f>Summary!I26</f>
        <v>24</v>
      </c>
      <c r="I94" s="129">
        <f>Summary!U26</f>
        <v>1305.0000000000002</v>
      </c>
      <c r="J94" s="117">
        <f>Summary!V26</f>
        <v>8.2899999999999991</v>
      </c>
      <c r="K94" s="117">
        <f>Summary!W26</f>
        <v>15.250000000291038</v>
      </c>
      <c r="L94" s="118">
        <f>Summary!X26</f>
        <v>171</v>
      </c>
      <c r="M94" s="118">
        <f>Summary!Y26</f>
        <v>177</v>
      </c>
      <c r="N94" s="119">
        <f>Summary!AB26</f>
        <v>1</v>
      </c>
    </row>
    <row r="97" spans="1:13" x14ac:dyDescent="0.2">
      <c r="A97" s="162" t="str">
        <f>TEXT(Summary!$B$6,"dd/MM/yyyy")&amp;" - "&amp;TEXT(Summary!$D$6,"dd/MM/yyyy")</f>
        <v>19/01/2022 - 19/01/2022</v>
      </c>
      <c r="B97" s="46"/>
      <c r="C97" s="55"/>
      <c r="D97" s="47" t="s">
        <v>60</v>
      </c>
    </row>
    <row r="98" spans="1:13" ht="15" thickBot="1" x14ac:dyDescent="0.25">
      <c r="A98" s="52"/>
      <c r="D98" s="136" t="str">
        <f>_xlfn.CONCAT(SUM(D99:D108)," ","hrs")</f>
        <v>24 hrs</v>
      </c>
      <c r="F98" s="201" t="s">
        <v>140</v>
      </c>
      <c r="G98" s="135">
        <f>SUM(D99:D101)</f>
        <v>10.5</v>
      </c>
      <c r="J98" s="3" t="s">
        <v>90</v>
      </c>
      <c r="K98" s="217">
        <f t="shared" ref="K98:K107" si="6">D99</f>
        <v>8.3000000000000007</v>
      </c>
      <c r="L98" s="64">
        <f>K98/G$102</f>
        <v>0.34583333333333338</v>
      </c>
    </row>
    <row r="99" spans="1:13" x14ac:dyDescent="0.2">
      <c r="A99" s="110" t="s">
        <v>143</v>
      </c>
      <c r="B99" s="111" t="s">
        <v>90</v>
      </c>
      <c r="C99" s="111"/>
      <c r="D99" s="130">
        <f>Summary!K27</f>
        <v>8.3000000000000007</v>
      </c>
      <c r="F99" s="201" t="s">
        <v>141</v>
      </c>
      <c r="G99" s="135">
        <f>SUM(D102:D105)</f>
        <v>7.5000000000000009</v>
      </c>
      <c r="J99" s="3" t="s">
        <v>91</v>
      </c>
      <c r="K99" s="217">
        <f t="shared" si="6"/>
        <v>2.2000000000000002</v>
      </c>
      <c r="L99" s="64">
        <f t="shared" ref="L99:L107" si="7">K99/G$102</f>
        <v>9.1666666666666674E-2</v>
      </c>
    </row>
    <row r="100" spans="1:13" x14ac:dyDescent="0.2">
      <c r="A100" s="112"/>
      <c r="B100" s="49" t="s">
        <v>91</v>
      </c>
      <c r="C100" s="49"/>
      <c r="D100" s="131">
        <f>Summary!L27</f>
        <v>2.2000000000000002</v>
      </c>
      <c r="F100" s="201" t="s">
        <v>147</v>
      </c>
      <c r="G100" s="135">
        <f>SUM(D106:D108)</f>
        <v>6</v>
      </c>
      <c r="J100" s="3" t="s">
        <v>92</v>
      </c>
      <c r="K100" s="217">
        <f t="shared" si="6"/>
        <v>0</v>
      </c>
      <c r="L100" s="64">
        <f t="shared" si="7"/>
        <v>0</v>
      </c>
    </row>
    <row r="101" spans="1:13" ht="15" thickBot="1" x14ac:dyDescent="0.25">
      <c r="A101" s="113"/>
      <c r="B101" s="114" t="s">
        <v>92</v>
      </c>
      <c r="C101" s="114"/>
      <c r="D101" s="132">
        <f>Summary!M27</f>
        <v>0</v>
      </c>
      <c r="F101" s="53" t="s">
        <v>19</v>
      </c>
      <c r="G101" s="135">
        <f>G102-SUM(G98:G100)</f>
        <v>0</v>
      </c>
      <c r="J101" s="3" t="s">
        <v>93</v>
      </c>
      <c r="K101" s="217">
        <f t="shared" si="6"/>
        <v>0</v>
      </c>
      <c r="L101" s="64">
        <f t="shared" si="7"/>
        <v>0</v>
      </c>
    </row>
    <row r="102" spans="1:13" x14ac:dyDescent="0.2">
      <c r="A102" s="107" t="s">
        <v>144</v>
      </c>
      <c r="B102" s="108" t="s">
        <v>93</v>
      </c>
      <c r="C102" s="108"/>
      <c r="D102" s="133">
        <f>Summary!N27</f>
        <v>0</v>
      </c>
      <c r="F102" s="53"/>
      <c r="G102" s="54">
        <f>Summary!H27</f>
        <v>24</v>
      </c>
      <c r="J102" s="3" t="s">
        <v>94</v>
      </c>
      <c r="K102" s="217">
        <f t="shared" si="6"/>
        <v>7.1000000000000005</v>
      </c>
      <c r="L102" s="64">
        <f t="shared" si="7"/>
        <v>0.29583333333333334</v>
      </c>
    </row>
    <row r="103" spans="1:13" x14ac:dyDescent="0.2">
      <c r="A103" s="48" t="s">
        <v>145</v>
      </c>
      <c r="B103" s="49" t="s">
        <v>94</v>
      </c>
      <c r="C103" s="49"/>
      <c r="D103" s="134">
        <f>Summary!O27</f>
        <v>7.1000000000000005</v>
      </c>
      <c r="J103" s="3" t="s">
        <v>95</v>
      </c>
      <c r="K103" s="217">
        <f t="shared" si="6"/>
        <v>0</v>
      </c>
      <c r="L103" s="64">
        <f t="shared" si="7"/>
        <v>0</v>
      </c>
    </row>
    <row r="104" spans="1:13" x14ac:dyDescent="0.2">
      <c r="A104" s="48"/>
      <c r="B104" s="49" t="s">
        <v>95</v>
      </c>
      <c r="C104" s="49"/>
      <c r="D104" s="134">
        <f>Summary!P27</f>
        <v>0</v>
      </c>
      <c r="J104" s="3" t="s">
        <v>118</v>
      </c>
      <c r="K104" s="217">
        <f t="shared" si="6"/>
        <v>0.4</v>
      </c>
      <c r="L104" s="64">
        <f t="shared" si="7"/>
        <v>1.6666666666666666E-2</v>
      </c>
    </row>
    <row r="105" spans="1:13" x14ac:dyDescent="0.2">
      <c r="A105" s="48"/>
      <c r="B105" s="49" t="s">
        <v>115</v>
      </c>
      <c r="C105" s="49"/>
      <c r="D105" s="134">
        <f>Summary!Q27</f>
        <v>0.4</v>
      </c>
      <c r="J105" s="3" t="s">
        <v>163</v>
      </c>
      <c r="K105" s="217">
        <f t="shared" si="6"/>
        <v>0</v>
      </c>
      <c r="L105" s="64">
        <f t="shared" si="7"/>
        <v>0</v>
      </c>
      <c r="M105" s="73"/>
    </row>
    <row r="106" spans="1:13" x14ac:dyDescent="0.2">
      <c r="A106" s="48" t="s">
        <v>146</v>
      </c>
      <c r="B106" s="49" t="s">
        <v>119</v>
      </c>
      <c r="C106" s="49"/>
      <c r="D106" s="134">
        <f>Summary!R27</f>
        <v>0</v>
      </c>
      <c r="J106" s="3" t="s">
        <v>96</v>
      </c>
      <c r="K106" s="217">
        <f t="shared" si="6"/>
        <v>6</v>
      </c>
      <c r="L106" s="64">
        <f t="shared" si="7"/>
        <v>0.25</v>
      </c>
      <c r="M106" s="73"/>
    </row>
    <row r="107" spans="1:13" x14ac:dyDescent="0.2">
      <c r="A107" s="48" t="s">
        <v>145</v>
      </c>
      <c r="B107" s="49" t="s">
        <v>96</v>
      </c>
      <c r="C107" s="49"/>
      <c r="D107" s="134">
        <f>Summary!S27</f>
        <v>6</v>
      </c>
      <c r="J107" s="3" t="s">
        <v>164</v>
      </c>
      <c r="K107" s="217">
        <f t="shared" si="6"/>
        <v>0</v>
      </c>
      <c r="L107" s="64">
        <f t="shared" si="7"/>
        <v>0</v>
      </c>
      <c r="M107" s="73"/>
    </row>
    <row r="108" spans="1:13" x14ac:dyDescent="0.2">
      <c r="A108" s="49"/>
      <c r="B108" s="49" t="s">
        <v>97</v>
      </c>
      <c r="C108" s="49"/>
      <c r="D108" s="134">
        <f>Summary!T27</f>
        <v>0</v>
      </c>
      <c r="M108" s="73"/>
    </row>
    <row r="109" spans="1:13" x14ac:dyDescent="0.2">
      <c r="A109" s="49"/>
      <c r="B109" s="286" t="s">
        <v>20</v>
      </c>
      <c r="C109" s="286"/>
      <c r="D109" s="139">
        <f>SUMIFS('Factory Log'!D:D,'Factory Log'!B:B,WideFormat!D97,'Factory Log'!C:C,WideFormat!B109)</f>
        <v>0</v>
      </c>
      <c r="M109" s="73"/>
    </row>
    <row r="110" spans="1:13" x14ac:dyDescent="0.2">
      <c r="A110" s="49"/>
      <c r="B110" s="286" t="s">
        <v>21</v>
      </c>
      <c r="C110" s="286"/>
      <c r="D110" s="139">
        <f>SUMIFS('Factory Log'!D:D,'Factory Log'!B:B,WideFormat!D97,'Factory Log'!C:C,WideFormat!B110)</f>
        <v>0</v>
      </c>
    </row>
    <row r="111" spans="1:13" x14ac:dyDescent="0.2">
      <c r="A111" s="49"/>
      <c r="B111" s="286" t="s">
        <v>22</v>
      </c>
      <c r="C111" s="286"/>
      <c r="D111" s="139">
        <f>SUMIFS('Factory Log'!D:D,'Factory Log'!B:B,WideFormat!D97,'Factory Log'!C:C,WideFormat!B111)</f>
        <v>0</v>
      </c>
    </row>
    <row r="112" spans="1:13" x14ac:dyDescent="0.2">
      <c r="A112" s="49"/>
      <c r="B112" s="286" t="s">
        <v>23</v>
      </c>
      <c r="C112" s="286"/>
      <c r="D112" s="139">
        <f>SUMIFS('Factory Log'!D:D,'Factory Log'!B:B,WideFormat!D97,'Factory Log'!C:C,WideFormat!B112)</f>
        <v>0</v>
      </c>
    </row>
    <row r="113" spans="1:14" x14ac:dyDescent="0.2">
      <c r="A113" s="49"/>
      <c r="B113" s="286" t="s">
        <v>12</v>
      </c>
      <c r="C113" s="286"/>
      <c r="D113" s="139">
        <f>SUMIFS('Factory Log'!D:D,'Factory Log'!B:B,WideFormat!D97,'Factory Log'!C:C,WideFormat!B113)</f>
        <v>0</v>
      </c>
    </row>
    <row r="114" spans="1:14" x14ac:dyDescent="0.2">
      <c r="A114" s="49"/>
      <c r="B114" s="286" t="s">
        <v>18</v>
      </c>
      <c r="C114" s="286"/>
      <c r="D114" s="139">
        <f>SUMIFS('Factory Log'!D:D,'Factory Log'!B:B,WideFormat!D97,'Factory Log'!C:C,WideFormat!B114)</f>
        <v>0</v>
      </c>
    </row>
    <row r="115" spans="1:14" x14ac:dyDescent="0.2">
      <c r="A115" s="109"/>
      <c r="B115" s="109"/>
      <c r="C115" s="109"/>
      <c r="D115" s="109"/>
    </row>
    <row r="116" spans="1:14" x14ac:dyDescent="0.2">
      <c r="B116" s="50" t="s">
        <v>159</v>
      </c>
      <c r="C116" s="218">
        <f>Summary!AD27</f>
        <v>0</v>
      </c>
      <c r="E116" s="144" t="s">
        <v>100</v>
      </c>
      <c r="F116" s="66" t="s">
        <v>101</v>
      </c>
      <c r="G116" s="66"/>
      <c r="H116" s="66"/>
      <c r="I116" s="66"/>
      <c r="J116" s="66" t="s">
        <v>102</v>
      </c>
      <c r="K116" s="66"/>
      <c r="L116" s="66"/>
      <c r="M116" s="144" t="s">
        <v>103</v>
      </c>
      <c r="N116" s="233" t="s">
        <v>104</v>
      </c>
    </row>
    <row r="117" spans="1:14" ht="14" customHeight="1" x14ac:dyDescent="0.2">
      <c r="A117" s="219"/>
      <c r="B117" s="50" t="s">
        <v>160</v>
      </c>
      <c r="C117" s="218">
        <f>Summary!AE27</f>
        <v>0</v>
      </c>
      <c r="D117" s="219"/>
      <c r="E117" s="234">
        <f>Performance!BO5</f>
        <v>349447.06</v>
      </c>
      <c r="F117" s="50" t="str">
        <f>Performance!BP5</f>
        <v>Augustus Martin</v>
      </c>
      <c r="J117" s="50" t="str">
        <f>Performance!BR5</f>
        <v>Prems</v>
      </c>
      <c r="M117" s="137">
        <f>Performance!BS5</f>
        <v>7.8833333333604969</v>
      </c>
      <c r="N117" s="51">
        <f>Performance!BT5</f>
        <v>13</v>
      </c>
    </row>
    <row r="118" spans="1:14" ht="14" customHeight="1" x14ac:dyDescent="0.2">
      <c r="A118" s="219"/>
      <c r="B118" s="50" t="s">
        <v>154</v>
      </c>
      <c r="C118" s="218">
        <f>Summary!AF27</f>
        <v>0</v>
      </c>
      <c r="D118" s="219"/>
      <c r="E118" s="234">
        <f>Performance!BO6</f>
        <v>349447.11</v>
      </c>
      <c r="F118" s="50" t="str">
        <f>Performance!BP6</f>
        <v>Augustus Martin</v>
      </c>
      <c r="J118" s="50" t="str">
        <f>Performance!BR6</f>
        <v>Prems</v>
      </c>
      <c r="M118" s="137">
        <f>Performance!BS6</f>
        <v>2.5666666664765216</v>
      </c>
      <c r="N118" s="51">
        <f>Performance!BT6</f>
        <v>13</v>
      </c>
    </row>
    <row r="119" spans="1:14" ht="14" customHeight="1" x14ac:dyDescent="0.2">
      <c r="A119" s="220"/>
      <c r="B119" s="50" t="s">
        <v>161</v>
      </c>
      <c r="C119" s="218">
        <f>Summary!AG27</f>
        <v>1</v>
      </c>
      <c r="D119" s="220"/>
    </row>
    <row r="120" spans="1:14" ht="14" customHeight="1" x14ac:dyDescent="0.2">
      <c r="A120" s="219"/>
      <c r="B120" s="50" t="s">
        <v>162</v>
      </c>
      <c r="C120" s="218">
        <f>Summary!AH27</f>
        <v>0</v>
      </c>
      <c r="D120" s="220"/>
      <c r="E120" s="234"/>
      <c r="M120" s="137"/>
      <c r="N120" s="51"/>
    </row>
    <row r="121" spans="1:14" x14ac:dyDescent="0.2">
      <c r="B121" s="50" t="s">
        <v>157</v>
      </c>
      <c r="C121" s="218">
        <f>Summary!AI27</f>
        <v>0</v>
      </c>
      <c r="E121" s="234"/>
      <c r="M121" s="137"/>
      <c r="N121" s="51"/>
    </row>
    <row r="122" spans="1:14" x14ac:dyDescent="0.2">
      <c r="E122" s="234"/>
      <c r="M122" s="137"/>
      <c r="N122" s="51"/>
    </row>
    <row r="123" spans="1:14" x14ac:dyDescent="0.2">
      <c r="E123" s="234"/>
      <c r="M123" s="137"/>
      <c r="N123" s="51"/>
    </row>
    <row r="124" spans="1:14" ht="15" thickBot="1" x14ac:dyDescent="0.25">
      <c r="E124" s="234"/>
      <c r="M124" s="137"/>
      <c r="N124" s="51"/>
    </row>
    <row r="125" spans="1:14" ht="39" x14ac:dyDescent="0.2">
      <c r="A125" s="165" t="s">
        <v>165</v>
      </c>
      <c r="B125" s="225" t="s">
        <v>170</v>
      </c>
      <c r="C125" s="80" t="s">
        <v>29</v>
      </c>
      <c r="D125" s="81" t="s">
        <v>30</v>
      </c>
      <c r="E125" s="79" t="s">
        <v>39</v>
      </c>
      <c r="F125" s="77" t="s">
        <v>40</v>
      </c>
      <c r="G125" s="74" t="s">
        <v>31</v>
      </c>
      <c r="H125" s="75" t="s">
        <v>32</v>
      </c>
      <c r="I125" s="78" t="s">
        <v>35</v>
      </c>
      <c r="J125" s="76" t="s">
        <v>139</v>
      </c>
      <c r="K125" s="76" t="s">
        <v>82</v>
      </c>
      <c r="L125" s="77" t="s">
        <v>41</v>
      </c>
      <c r="M125" s="77" t="s">
        <v>42</v>
      </c>
      <c r="N125" s="78" t="s">
        <v>38</v>
      </c>
    </row>
    <row r="126" spans="1:14" ht="24" customHeight="1" thickBot="1" x14ac:dyDescent="0.25">
      <c r="A126" s="224">
        <f>Summary!B27</f>
        <v>0.25789473684612746</v>
      </c>
      <c r="B126" s="226">
        <f>Summary!C27</f>
        <v>0.25789473684612746</v>
      </c>
      <c r="C126" s="125">
        <f>Summary!D27</f>
        <v>0.4375</v>
      </c>
      <c r="D126" s="126">
        <f>Summary!E27</f>
        <v>0.4375</v>
      </c>
      <c r="E126" s="127">
        <f>Summary!F27</f>
        <v>0.58947368421971991</v>
      </c>
      <c r="F126" s="128">
        <f>Summary!G27</f>
        <v>1</v>
      </c>
      <c r="G126" s="115">
        <f>Summary!H27</f>
        <v>24</v>
      </c>
      <c r="H126" s="116">
        <f>Summary!I27</f>
        <v>24</v>
      </c>
      <c r="I126" s="129">
        <f>Summary!U27</f>
        <v>2025</v>
      </c>
      <c r="J126" s="117">
        <f>Summary!V27</f>
        <v>6.16</v>
      </c>
      <c r="K126" s="117">
        <f>Summary!W27</f>
        <v>10.449999999837019</v>
      </c>
      <c r="L126" s="118">
        <f>Summary!X27</f>
        <v>84</v>
      </c>
      <c r="M126" s="118">
        <f>Summary!Y27</f>
        <v>84</v>
      </c>
      <c r="N126" s="119">
        <f>Summary!AB27</f>
        <v>0</v>
      </c>
    </row>
  </sheetData>
  <mergeCells count="24">
    <mergeCell ref="B45:C45"/>
    <mergeCell ref="B19:C19"/>
    <mergeCell ref="B14:C14"/>
    <mergeCell ref="B15:C15"/>
    <mergeCell ref="B16:C16"/>
    <mergeCell ref="B17:C17"/>
    <mergeCell ref="B18:C18"/>
    <mergeCell ref="B46:C46"/>
    <mergeCell ref="B47:C47"/>
    <mergeCell ref="B48:C48"/>
    <mergeCell ref="B49:C49"/>
    <mergeCell ref="B50:C50"/>
    <mergeCell ref="B80:C80"/>
    <mergeCell ref="B81:C81"/>
    <mergeCell ref="B82:C82"/>
    <mergeCell ref="B109:C109"/>
    <mergeCell ref="B77:C77"/>
    <mergeCell ref="B78:C78"/>
    <mergeCell ref="B79:C79"/>
    <mergeCell ref="B114:C114"/>
    <mergeCell ref="B110:C110"/>
    <mergeCell ref="B111:C111"/>
    <mergeCell ref="B112:C112"/>
    <mergeCell ref="B113:C113"/>
  </mergeCells>
  <conditionalFormatting sqref="A1:XFD11 B12:XFD12 A44:XFD74 B43:XFD43 B75:XFD75 B107:XFD107 A26:XFD42 A25:D25 O25:XFD25 A13:XFD24 A76:XFD85 A91:XFD106 A86:D90 O86:XFD90 E86:N89 A108:XFD116 A120:XFD1048576 A117:D119 O117:XFD119 E117:N118">
    <cfRule type="cellIs" dxfId="19" priority="5" operator="equal">
      <formula>0</formula>
    </cfRule>
  </conditionalFormatting>
  <conditionalFormatting sqref="A12">
    <cfRule type="cellIs" dxfId="18" priority="4" operator="equal">
      <formula>0</formula>
    </cfRule>
  </conditionalFormatting>
  <conditionalFormatting sqref="A43">
    <cfRule type="cellIs" dxfId="17" priority="3" operator="equal">
      <formula>0</formula>
    </cfRule>
  </conditionalFormatting>
  <conditionalFormatting sqref="A75">
    <cfRule type="cellIs" dxfId="16" priority="2" operator="equal">
      <formula>0</formula>
    </cfRule>
  </conditionalFormatting>
  <conditionalFormatting sqref="A107">
    <cfRule type="cellIs" dxfId="15" priority="1" operator="equal">
      <formula>0</formula>
    </cfRule>
  </conditionalFormatting>
  <pageMargins left="0.7" right="0.7" top="0.75" bottom="0.75" header="0.3" footer="0.3"/>
  <pageSetup paperSize="9" orientation="landscape" horizontalDpi="0" verticalDpi="0"/>
  <headerFooter>
    <oddHeader>&amp;C&amp;"Calibri (Body),Regular"&amp;11&amp;A</oddHeader>
    <oddFooter>&amp;C&amp;P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59C7-CC5D-4F4F-9231-F2DD5359344B}">
  <sheetPr>
    <tabColor theme="9" tint="-0.499984740745262"/>
  </sheetPr>
  <dimension ref="A1:N123"/>
  <sheetViews>
    <sheetView zoomScale="110" zoomScaleNormal="110" workbookViewId="0">
      <selection activeCell="J24" sqref="J24"/>
    </sheetView>
  </sheetViews>
  <sheetFormatPr baseColWidth="10" defaultRowHeight="14" x14ac:dyDescent="0.2"/>
  <cols>
    <col min="1" max="2" width="12.19921875" style="50" customWidth="1"/>
    <col min="3" max="3" width="11" style="50" customWidth="1"/>
    <col min="4" max="4" width="10.3984375" style="51" customWidth="1"/>
    <col min="5" max="5" width="10.59765625" style="50" customWidth="1"/>
    <col min="6" max="6" width="10" style="50" customWidth="1"/>
    <col min="7" max="7" width="9.59765625" style="50" customWidth="1"/>
    <col min="8" max="8" width="9.3984375" style="50" customWidth="1"/>
    <col min="9" max="10" width="10" style="50" customWidth="1"/>
    <col min="11" max="11" width="9.59765625" style="50" customWidth="1"/>
    <col min="12" max="12" width="10" style="50" customWidth="1"/>
    <col min="13" max="13" width="9.3984375" style="50" customWidth="1"/>
    <col min="14" max="14" width="10.796875" style="50" customWidth="1"/>
    <col min="15" max="18" width="11" style="50"/>
    <col min="19" max="19" width="34.3984375" style="50" customWidth="1"/>
    <col min="20" max="16384" width="11" style="50"/>
  </cols>
  <sheetData>
    <row r="1" spans="1:13" x14ac:dyDescent="0.2">
      <c r="A1" s="162" t="str">
        <f>TEXT(Summary!$B$6,"dd/MM/yyyy")&amp;" - "&amp;TEXT(Summary!$D$6,"dd/MM/yyyy")</f>
        <v>19/01/2022 - 19/01/2022</v>
      </c>
      <c r="B1" s="161"/>
      <c r="C1" s="46"/>
      <c r="D1" s="47" t="s">
        <v>124</v>
      </c>
    </row>
    <row r="2" spans="1:13" ht="15" thickBot="1" x14ac:dyDescent="0.25">
      <c r="A2" s="52"/>
      <c r="D2" s="136" t="str">
        <f>_xlfn.CONCAT(SUM(D3:D12)," ","hrs")</f>
        <v>24 hrs</v>
      </c>
      <c r="F2" s="201" t="s">
        <v>140</v>
      </c>
      <c r="G2" s="135">
        <f>SUM(D3:D5)</f>
        <v>0</v>
      </c>
      <c r="J2" s="3" t="s">
        <v>90</v>
      </c>
      <c r="K2" s="217">
        <f t="shared" ref="K2:K11" si="0">D3</f>
        <v>0</v>
      </c>
      <c r="L2" s="64">
        <f>K2/G$6</f>
        <v>0</v>
      </c>
    </row>
    <row r="3" spans="1:13" x14ac:dyDescent="0.2">
      <c r="A3" s="110" t="s">
        <v>143</v>
      </c>
      <c r="B3" s="111" t="s">
        <v>90</v>
      </c>
      <c r="C3" s="111"/>
      <c r="D3" s="130">
        <f>Summary!K33</f>
        <v>0</v>
      </c>
      <c r="F3" s="201" t="s">
        <v>141</v>
      </c>
      <c r="G3" s="135">
        <f>SUM(D6:D9)</f>
        <v>24</v>
      </c>
      <c r="J3" s="3" t="s">
        <v>91</v>
      </c>
      <c r="K3" s="217">
        <f t="shared" si="0"/>
        <v>0</v>
      </c>
      <c r="L3" s="64">
        <f t="shared" ref="L3:L11" si="1">K3/G$6</f>
        <v>0</v>
      </c>
    </row>
    <row r="4" spans="1:13" x14ac:dyDescent="0.2">
      <c r="A4" s="112"/>
      <c r="B4" s="49" t="s">
        <v>91</v>
      </c>
      <c r="C4" s="49"/>
      <c r="D4" s="131">
        <f>Summary!L33</f>
        <v>0</v>
      </c>
      <c r="F4" s="201" t="s">
        <v>147</v>
      </c>
      <c r="G4" s="135">
        <f>SUM(D10:D12)</f>
        <v>0</v>
      </c>
      <c r="J4" s="3" t="s">
        <v>92</v>
      </c>
      <c r="K4" s="217">
        <f t="shared" si="0"/>
        <v>0</v>
      </c>
      <c r="L4" s="64">
        <f t="shared" si="1"/>
        <v>0</v>
      </c>
    </row>
    <row r="5" spans="1:13" ht="15" thickBot="1" x14ac:dyDescent="0.25">
      <c r="A5" s="113"/>
      <c r="B5" s="114" t="s">
        <v>92</v>
      </c>
      <c r="C5" s="114"/>
      <c r="D5" s="132">
        <f>Summary!M33</f>
        <v>0</v>
      </c>
      <c r="F5" s="53" t="s">
        <v>19</v>
      </c>
      <c r="G5" s="135">
        <f>G6-SUM(G2:G4)</f>
        <v>0</v>
      </c>
      <c r="J5" s="3" t="s">
        <v>93</v>
      </c>
      <c r="K5" s="217">
        <f t="shared" si="0"/>
        <v>16</v>
      </c>
      <c r="L5" s="64">
        <f t="shared" si="1"/>
        <v>0.66666666666666663</v>
      </c>
    </row>
    <row r="6" spans="1:13" x14ac:dyDescent="0.2">
      <c r="A6" s="107" t="s">
        <v>144</v>
      </c>
      <c r="B6" s="108" t="s">
        <v>93</v>
      </c>
      <c r="C6" s="108"/>
      <c r="D6" s="133">
        <f>Summary!N33</f>
        <v>16</v>
      </c>
      <c r="F6" s="53"/>
      <c r="G6" s="54">
        <f>Summary!H24</f>
        <v>24</v>
      </c>
      <c r="J6" s="3" t="s">
        <v>94</v>
      </c>
      <c r="K6" s="217">
        <f t="shared" si="0"/>
        <v>8</v>
      </c>
      <c r="L6" s="64">
        <f t="shared" si="1"/>
        <v>0.33333333333333331</v>
      </c>
    </row>
    <row r="7" spans="1:13" x14ac:dyDescent="0.2">
      <c r="A7" s="48" t="s">
        <v>145</v>
      </c>
      <c r="B7" s="49" t="s">
        <v>94</v>
      </c>
      <c r="C7" s="49"/>
      <c r="D7" s="134">
        <f>Summary!O33</f>
        <v>8</v>
      </c>
      <c r="J7" s="3" t="s">
        <v>95</v>
      </c>
      <c r="K7" s="217">
        <f t="shared" si="0"/>
        <v>0</v>
      </c>
      <c r="L7" s="64">
        <f t="shared" si="1"/>
        <v>0</v>
      </c>
    </row>
    <row r="8" spans="1:13" x14ac:dyDescent="0.2">
      <c r="A8" s="48"/>
      <c r="B8" s="49" t="s">
        <v>95</v>
      </c>
      <c r="C8" s="49"/>
      <c r="D8" s="134">
        <f>Summary!P33</f>
        <v>0</v>
      </c>
      <c r="J8" s="3" t="s">
        <v>118</v>
      </c>
      <c r="K8" s="217">
        <f t="shared" si="0"/>
        <v>0</v>
      </c>
      <c r="L8" s="64">
        <f t="shared" si="1"/>
        <v>0</v>
      </c>
      <c r="M8" s="73"/>
    </row>
    <row r="9" spans="1:13" x14ac:dyDescent="0.2">
      <c r="A9" s="48"/>
      <c r="B9" s="49" t="s">
        <v>115</v>
      </c>
      <c r="C9" s="49"/>
      <c r="D9" s="134">
        <f>Summary!Q33</f>
        <v>0</v>
      </c>
      <c r="J9" s="3" t="s">
        <v>163</v>
      </c>
      <c r="K9" s="217">
        <f t="shared" si="0"/>
        <v>0</v>
      </c>
      <c r="L9" s="64">
        <f t="shared" si="1"/>
        <v>0</v>
      </c>
      <c r="M9" s="73"/>
    </row>
    <row r="10" spans="1:13" x14ac:dyDescent="0.2">
      <c r="A10" s="48" t="s">
        <v>146</v>
      </c>
      <c r="B10" s="49" t="s">
        <v>119</v>
      </c>
      <c r="C10" s="49"/>
      <c r="D10" s="134">
        <f>Summary!R33</f>
        <v>0</v>
      </c>
      <c r="J10" s="3" t="s">
        <v>96</v>
      </c>
      <c r="K10" s="217">
        <f t="shared" si="0"/>
        <v>0</v>
      </c>
      <c r="L10" s="64">
        <f t="shared" si="1"/>
        <v>0</v>
      </c>
      <c r="M10" s="73"/>
    </row>
    <row r="11" spans="1:13" x14ac:dyDescent="0.2">
      <c r="A11" s="48" t="s">
        <v>145</v>
      </c>
      <c r="B11" s="49" t="s">
        <v>96</v>
      </c>
      <c r="C11" s="49"/>
      <c r="D11" s="134">
        <f>Summary!S33</f>
        <v>0</v>
      </c>
      <c r="J11" s="3" t="s">
        <v>164</v>
      </c>
      <c r="K11" s="217">
        <f t="shared" si="0"/>
        <v>0</v>
      </c>
      <c r="L11" s="64">
        <f t="shared" si="1"/>
        <v>0</v>
      </c>
      <c r="M11" s="73"/>
    </row>
    <row r="12" spans="1:13" x14ac:dyDescent="0.2">
      <c r="A12" s="49"/>
      <c r="B12" s="49" t="s">
        <v>97</v>
      </c>
      <c r="C12" s="49"/>
      <c r="D12" s="134">
        <f>Summary!T33</f>
        <v>0</v>
      </c>
      <c r="M12" s="73"/>
    </row>
    <row r="13" spans="1:13" x14ac:dyDescent="0.2">
      <c r="A13" s="49"/>
      <c r="B13" s="286" t="s">
        <v>20</v>
      </c>
      <c r="C13" s="286"/>
      <c r="D13" s="139">
        <f>SUMIFS('Factory Log'!D:D,'Factory Log'!B:B,Bureau!D1,'Factory Log'!C:C,Bureau!B13)</f>
        <v>0</v>
      </c>
    </row>
    <row r="14" spans="1:13" x14ac:dyDescent="0.2">
      <c r="A14" s="49"/>
      <c r="B14" s="286" t="s">
        <v>21</v>
      </c>
      <c r="C14" s="286"/>
      <c r="D14" s="139">
        <f>SUMIFS('Factory Log'!D:D,'Factory Log'!B:B,Bureau!D1,'Factory Log'!C:C,Bureau!B14)</f>
        <v>0</v>
      </c>
    </row>
    <row r="15" spans="1:13" x14ac:dyDescent="0.2">
      <c r="A15" s="49"/>
      <c r="B15" s="286" t="s">
        <v>22</v>
      </c>
      <c r="C15" s="286"/>
      <c r="D15" s="139">
        <f>SUMIFS('Factory Log'!D:D,'Factory Log'!B:B,Bureau!D1,'Factory Log'!C:C,Bureau!B15)</f>
        <v>0</v>
      </c>
    </row>
    <row r="16" spans="1:13" x14ac:dyDescent="0.2">
      <c r="A16" s="49"/>
      <c r="B16" s="286" t="s">
        <v>23</v>
      </c>
      <c r="C16" s="286"/>
      <c r="D16" s="139">
        <f>SUMIFS('Factory Log'!D:D,'Factory Log'!B:B,Bureau!D1,'Factory Log'!C:C,Bureau!B16)</f>
        <v>0</v>
      </c>
    </row>
    <row r="17" spans="1:14" x14ac:dyDescent="0.2">
      <c r="A17" s="49"/>
      <c r="B17" s="286" t="s">
        <v>12</v>
      </c>
      <c r="C17" s="286"/>
      <c r="D17" s="139">
        <f>SUMIFS('Factory Log'!D:D,'Factory Log'!B:B,Bureau!D1,'Factory Log'!C:C,Bureau!B17)</f>
        <v>0</v>
      </c>
    </row>
    <row r="18" spans="1:14" x14ac:dyDescent="0.2">
      <c r="A18" s="49"/>
      <c r="B18" s="286" t="s">
        <v>18</v>
      </c>
      <c r="C18" s="286"/>
      <c r="D18" s="139">
        <f>SUMIFS('Factory Log'!D:D,'Factory Log'!B:B,Bureau!D1,'Factory Log'!C:C,Bureau!B18)</f>
        <v>0</v>
      </c>
    </row>
    <row r="19" spans="1:14" x14ac:dyDescent="0.2">
      <c r="A19" s="109"/>
      <c r="B19" s="109"/>
      <c r="C19" s="109"/>
      <c r="D19" s="109"/>
    </row>
    <row r="20" spans="1:14" x14ac:dyDescent="0.2">
      <c r="B20" s="50" t="s">
        <v>188</v>
      </c>
      <c r="C20" s="218">
        <f>Summary!AG33</f>
        <v>0</v>
      </c>
      <c r="E20" s="144" t="s">
        <v>100</v>
      </c>
      <c r="F20" s="66" t="s">
        <v>101</v>
      </c>
      <c r="G20" s="66"/>
      <c r="H20" s="66"/>
      <c r="I20" s="66"/>
      <c r="J20" s="66" t="s">
        <v>102</v>
      </c>
      <c r="K20" s="66"/>
      <c r="L20" s="66"/>
      <c r="M20" s="66" t="s">
        <v>103</v>
      </c>
      <c r="N20" s="66" t="s">
        <v>104</v>
      </c>
    </row>
    <row r="21" spans="1:14" ht="14" customHeight="1" x14ac:dyDescent="0.2">
      <c r="A21" s="219"/>
      <c r="B21" s="50" t="s">
        <v>189</v>
      </c>
      <c r="C21" s="218">
        <f>Summary!AI33</f>
        <v>0</v>
      </c>
      <c r="D21" s="219"/>
      <c r="E21" s="234"/>
      <c r="M21" s="137"/>
      <c r="N21" s="51"/>
    </row>
    <row r="22" spans="1:14" ht="14" customHeight="1" x14ac:dyDescent="0.2">
      <c r="A22" s="219"/>
      <c r="B22" s="50" t="s">
        <v>190</v>
      </c>
      <c r="C22" s="218">
        <f>Summary!AK33</f>
        <v>0</v>
      </c>
      <c r="D22" s="219"/>
      <c r="E22" s="234"/>
      <c r="M22" s="137"/>
      <c r="N22" s="51"/>
    </row>
    <row r="23" spans="1:14" ht="14" customHeight="1" x14ac:dyDescent="0.2">
      <c r="A23" s="220"/>
      <c r="C23" s="218"/>
      <c r="D23" s="220"/>
      <c r="E23" s="234"/>
      <c r="M23" s="137"/>
      <c r="N23" s="51"/>
    </row>
    <row r="24" spans="1:14" ht="14" customHeight="1" x14ac:dyDescent="0.2">
      <c r="A24" s="219"/>
      <c r="C24" s="218"/>
      <c r="D24" s="220"/>
      <c r="E24" s="234"/>
      <c r="M24" s="137"/>
      <c r="N24" s="51"/>
    </row>
    <row r="25" spans="1:14" x14ac:dyDescent="0.2">
      <c r="C25" s="218"/>
      <c r="E25" s="234"/>
      <c r="M25" s="137"/>
      <c r="N25" s="51"/>
    </row>
    <row r="26" spans="1:14" x14ac:dyDescent="0.2">
      <c r="E26" s="234"/>
      <c r="M26" s="137"/>
      <c r="N26" s="51"/>
    </row>
    <row r="27" spans="1:14" ht="16" customHeight="1" x14ac:dyDescent="0.2">
      <c r="E27" s="234"/>
      <c r="M27" s="137"/>
      <c r="N27" s="51"/>
    </row>
    <row r="28" spans="1:14" ht="16" customHeight="1" thickBot="1" x14ac:dyDescent="0.25">
      <c r="E28" s="234"/>
      <c r="M28" s="137"/>
      <c r="N28" s="51"/>
    </row>
    <row r="29" spans="1:14" ht="52" x14ac:dyDescent="0.2">
      <c r="A29" s="165" t="s">
        <v>173</v>
      </c>
      <c r="B29" s="225" t="s">
        <v>170</v>
      </c>
      <c r="C29" s="80" t="s">
        <v>29</v>
      </c>
      <c r="D29" s="81" t="s">
        <v>30</v>
      </c>
      <c r="E29" s="79" t="s">
        <v>39</v>
      </c>
      <c r="F29" s="77" t="s">
        <v>40</v>
      </c>
      <c r="G29" s="74" t="s">
        <v>31</v>
      </c>
      <c r="H29" s="75" t="s">
        <v>32</v>
      </c>
      <c r="I29" s="78" t="s">
        <v>35</v>
      </c>
      <c r="J29" s="76" t="s">
        <v>139</v>
      </c>
      <c r="K29" s="76" t="s">
        <v>82</v>
      </c>
      <c r="L29" s="77" t="s">
        <v>41</v>
      </c>
      <c r="M29" s="77" t="s">
        <v>42</v>
      </c>
      <c r="N29" s="78" t="s">
        <v>38</v>
      </c>
    </row>
    <row r="30" spans="1:14" ht="24" customHeight="1" thickBot="1" x14ac:dyDescent="0.25">
      <c r="A30" s="224">
        <f>Summary!B33</f>
        <v>0</v>
      </c>
      <c r="B30" s="226">
        <f>Summary!C33</f>
        <v>0</v>
      </c>
      <c r="C30" s="125">
        <f>Summary!D33</f>
        <v>0</v>
      </c>
      <c r="D30" s="126">
        <f>Summary!E33</f>
        <v>0</v>
      </c>
      <c r="E30" s="127">
        <f>Summary!F33</f>
        <v>0</v>
      </c>
      <c r="F30" s="128">
        <f>Summary!G33</f>
        <v>0</v>
      </c>
      <c r="G30" s="115">
        <f>Summary!H33</f>
        <v>24</v>
      </c>
      <c r="H30" s="116">
        <f>Summary!I33</f>
        <v>8</v>
      </c>
      <c r="I30" s="129">
        <f>Summary!U33</f>
        <v>3600</v>
      </c>
      <c r="J30" s="117">
        <f>Summary!V33</f>
        <v>0</v>
      </c>
      <c r="K30" s="117">
        <f>Summary!W33</f>
        <v>0</v>
      </c>
      <c r="L30" s="118">
        <f>Summary!X33</f>
        <v>0</v>
      </c>
      <c r="M30" s="118">
        <f>Summary!Y33</f>
        <v>0</v>
      </c>
      <c r="N30" s="119">
        <f>Summary!AB33</f>
        <v>1</v>
      </c>
    </row>
    <row r="32" spans="1:14" x14ac:dyDescent="0.2">
      <c r="A32" s="162" t="str">
        <f>TEXT(Summary!$B$6,"dd/MM/yyyy")&amp;" - "&amp;TEXT(Summary!$D$6,"dd/MM/yyyy")</f>
        <v>19/01/2022 - 19/01/2022</v>
      </c>
      <c r="B32" s="46"/>
      <c r="C32" s="55"/>
      <c r="D32" s="47" t="s">
        <v>123</v>
      </c>
    </row>
    <row r="33" spans="1:13" ht="15" thickBot="1" x14ac:dyDescent="0.25">
      <c r="A33" s="52"/>
      <c r="D33" s="136" t="str">
        <f>_xlfn.CONCAT(SUM(D34:D43)," ","hrs")</f>
        <v>24 hrs</v>
      </c>
      <c r="F33" s="201" t="s">
        <v>140</v>
      </c>
      <c r="G33" s="135">
        <f>SUM(D34:D36)</f>
        <v>6.4</v>
      </c>
      <c r="J33" s="3" t="s">
        <v>90</v>
      </c>
      <c r="K33" s="217">
        <f t="shared" ref="K33:K42" si="2">D34</f>
        <v>6.4</v>
      </c>
      <c r="L33" s="64">
        <f>K33/G$37</f>
        <v>0.26666666666666666</v>
      </c>
    </row>
    <row r="34" spans="1:13" x14ac:dyDescent="0.2">
      <c r="A34" s="110" t="s">
        <v>143</v>
      </c>
      <c r="B34" s="111" t="s">
        <v>90</v>
      </c>
      <c r="C34" s="111"/>
      <c r="D34" s="130">
        <f>Summary!K34</f>
        <v>6.4</v>
      </c>
      <c r="F34" s="201" t="s">
        <v>141</v>
      </c>
      <c r="G34" s="135">
        <f>SUM(D37:D40)</f>
        <v>16.7</v>
      </c>
      <c r="J34" s="3" t="s">
        <v>91</v>
      </c>
      <c r="K34" s="217">
        <f t="shared" si="2"/>
        <v>0</v>
      </c>
      <c r="L34" s="64">
        <f t="shared" ref="L34:L42" si="3">K34/G$37</f>
        <v>0</v>
      </c>
    </row>
    <row r="35" spans="1:13" x14ac:dyDescent="0.2">
      <c r="A35" s="112"/>
      <c r="B35" s="49" t="s">
        <v>91</v>
      </c>
      <c r="C35" s="49"/>
      <c r="D35" s="131">
        <f>Summary!L34</f>
        <v>0</v>
      </c>
      <c r="F35" s="201" t="s">
        <v>147</v>
      </c>
      <c r="G35" s="135">
        <f>SUM(D41:D43)</f>
        <v>0.9</v>
      </c>
      <c r="J35" s="3" t="s">
        <v>92</v>
      </c>
      <c r="K35" s="217">
        <f t="shared" si="2"/>
        <v>0</v>
      </c>
      <c r="L35" s="64">
        <f t="shared" si="3"/>
        <v>0</v>
      </c>
    </row>
    <row r="36" spans="1:13" ht="15" thickBot="1" x14ac:dyDescent="0.25">
      <c r="A36" s="113"/>
      <c r="B36" s="114" t="s">
        <v>92</v>
      </c>
      <c r="C36" s="114"/>
      <c r="D36" s="132">
        <f>Summary!M34</f>
        <v>0</v>
      </c>
      <c r="F36" s="53" t="s">
        <v>19</v>
      </c>
      <c r="G36" s="135">
        <f>G37-SUM(G33:G35)</f>
        <v>0</v>
      </c>
      <c r="J36" s="3" t="s">
        <v>93</v>
      </c>
      <c r="K36" s="217">
        <f t="shared" si="2"/>
        <v>16</v>
      </c>
      <c r="L36" s="64">
        <f t="shared" si="3"/>
        <v>0.66666666666666663</v>
      </c>
    </row>
    <row r="37" spans="1:13" x14ac:dyDescent="0.2">
      <c r="A37" s="107" t="s">
        <v>144</v>
      </c>
      <c r="B37" s="108" t="s">
        <v>93</v>
      </c>
      <c r="C37" s="108"/>
      <c r="D37" s="133">
        <f>Summary!N34</f>
        <v>16</v>
      </c>
      <c r="F37" s="53"/>
      <c r="G37" s="54">
        <f>Summary!H25</f>
        <v>24</v>
      </c>
      <c r="J37" s="3" t="s">
        <v>94</v>
      </c>
      <c r="K37" s="217">
        <f t="shared" si="2"/>
        <v>0</v>
      </c>
      <c r="L37" s="64">
        <f t="shared" si="3"/>
        <v>0</v>
      </c>
    </row>
    <row r="38" spans="1:13" x14ac:dyDescent="0.2">
      <c r="A38" s="48" t="s">
        <v>145</v>
      </c>
      <c r="B38" s="49" t="s">
        <v>94</v>
      </c>
      <c r="C38" s="49"/>
      <c r="D38" s="134">
        <f>Summary!O34</f>
        <v>0</v>
      </c>
      <c r="J38" s="3" t="s">
        <v>95</v>
      </c>
      <c r="K38" s="217">
        <f t="shared" si="2"/>
        <v>0.70000000000000007</v>
      </c>
      <c r="L38" s="64">
        <f t="shared" si="3"/>
        <v>2.9166666666666671E-2</v>
      </c>
    </row>
    <row r="39" spans="1:13" x14ac:dyDescent="0.2">
      <c r="A39" s="48"/>
      <c r="B39" s="49" t="s">
        <v>95</v>
      </c>
      <c r="C39" s="49"/>
      <c r="D39" s="134">
        <f>Summary!P34</f>
        <v>0.70000000000000007</v>
      </c>
      <c r="J39" s="3" t="s">
        <v>118</v>
      </c>
      <c r="K39" s="217">
        <f t="shared" si="2"/>
        <v>0</v>
      </c>
      <c r="L39" s="64">
        <f t="shared" si="3"/>
        <v>0</v>
      </c>
    </row>
    <row r="40" spans="1:13" x14ac:dyDescent="0.2">
      <c r="A40" s="48"/>
      <c r="B40" s="49" t="s">
        <v>115</v>
      </c>
      <c r="C40" s="49"/>
      <c r="D40" s="134">
        <f>Summary!Q34</f>
        <v>0</v>
      </c>
      <c r="J40" s="3" t="s">
        <v>163</v>
      </c>
      <c r="K40" s="217">
        <f t="shared" si="2"/>
        <v>0.9</v>
      </c>
      <c r="L40" s="64">
        <f t="shared" si="3"/>
        <v>3.7499999999999999E-2</v>
      </c>
      <c r="M40" s="73"/>
    </row>
    <row r="41" spans="1:13" x14ac:dyDescent="0.2">
      <c r="A41" s="48" t="s">
        <v>146</v>
      </c>
      <c r="B41" s="49" t="s">
        <v>119</v>
      </c>
      <c r="C41" s="49"/>
      <c r="D41" s="134">
        <f>Summary!R34</f>
        <v>0.9</v>
      </c>
      <c r="J41" s="3" t="s">
        <v>96</v>
      </c>
      <c r="K41" s="217">
        <f t="shared" si="2"/>
        <v>0</v>
      </c>
      <c r="L41" s="64">
        <f t="shared" si="3"/>
        <v>0</v>
      </c>
      <c r="M41" s="73"/>
    </row>
    <row r="42" spans="1:13" x14ac:dyDescent="0.2">
      <c r="A42" s="48" t="s">
        <v>145</v>
      </c>
      <c r="B42" s="49" t="s">
        <v>96</v>
      </c>
      <c r="C42" s="49"/>
      <c r="D42" s="134">
        <f>Summary!S34</f>
        <v>0</v>
      </c>
      <c r="J42" s="3" t="s">
        <v>164</v>
      </c>
      <c r="K42" s="217">
        <f t="shared" si="2"/>
        <v>0</v>
      </c>
      <c r="L42" s="64">
        <f t="shared" si="3"/>
        <v>0</v>
      </c>
      <c r="M42" s="73"/>
    </row>
    <row r="43" spans="1:13" x14ac:dyDescent="0.2">
      <c r="A43" s="49"/>
      <c r="B43" s="49" t="s">
        <v>97</v>
      </c>
      <c r="C43" s="49"/>
      <c r="D43" s="134">
        <f>Summary!T34</f>
        <v>0</v>
      </c>
      <c r="M43" s="73"/>
    </row>
    <row r="44" spans="1:13" x14ac:dyDescent="0.2">
      <c r="A44" s="49"/>
      <c r="B44" s="286" t="s">
        <v>20</v>
      </c>
      <c r="C44" s="286"/>
      <c r="D44" s="139">
        <f>SUMIFS('Factory Log'!D:D,'Factory Log'!B:B,Bureau!D32,'Factory Log'!C:C,Bureau!B44)</f>
        <v>0</v>
      </c>
      <c r="M44" s="73"/>
    </row>
    <row r="45" spans="1:13" x14ac:dyDescent="0.2">
      <c r="A45" s="49"/>
      <c r="B45" s="286" t="s">
        <v>21</v>
      </c>
      <c r="C45" s="286"/>
      <c r="D45" s="139">
        <f>SUMIFS('Factory Log'!D:D,'Factory Log'!B:B,Bureau!D32,'Factory Log'!C:C,Bureau!B45)</f>
        <v>0</v>
      </c>
    </row>
    <row r="46" spans="1:13" x14ac:dyDescent="0.2">
      <c r="A46" s="49"/>
      <c r="B46" s="286" t="s">
        <v>22</v>
      </c>
      <c r="C46" s="286"/>
      <c r="D46" s="139">
        <f>SUMIFS('Factory Log'!D:D,'Factory Log'!B:B,Bureau!D32,'Factory Log'!C:C,Bureau!B46)</f>
        <v>0</v>
      </c>
    </row>
    <row r="47" spans="1:13" x14ac:dyDescent="0.2">
      <c r="A47" s="49"/>
      <c r="B47" s="286" t="s">
        <v>23</v>
      </c>
      <c r="C47" s="286"/>
      <c r="D47" s="139">
        <f>SUMIFS('Factory Log'!D:D,'Factory Log'!B:B,Bureau!D32,'Factory Log'!C:C,Bureau!B47)</f>
        <v>0</v>
      </c>
    </row>
    <row r="48" spans="1:13" x14ac:dyDescent="0.2">
      <c r="A48" s="49"/>
      <c r="B48" s="286" t="s">
        <v>12</v>
      </c>
      <c r="C48" s="286"/>
      <c r="D48" s="139">
        <f>SUMIFS('Factory Log'!D:D,'Factory Log'!B:B,Bureau!D32,'Factory Log'!C:C,Bureau!B48)</f>
        <v>0</v>
      </c>
    </row>
    <row r="49" spans="1:14" x14ac:dyDescent="0.2">
      <c r="A49" s="49"/>
      <c r="B49" s="286" t="s">
        <v>18</v>
      </c>
      <c r="C49" s="286"/>
      <c r="D49" s="139">
        <f>SUMIFS('Factory Log'!D:D,'Factory Log'!B:B,Bureau!D32,'Factory Log'!C:C,Bureau!B49)</f>
        <v>0</v>
      </c>
    </row>
    <row r="50" spans="1:14" x14ac:dyDescent="0.2">
      <c r="A50" s="109"/>
      <c r="B50" s="109"/>
      <c r="C50" s="109"/>
      <c r="D50" s="109"/>
    </row>
    <row r="51" spans="1:14" x14ac:dyDescent="0.2">
      <c r="B51" s="50" t="s">
        <v>191</v>
      </c>
      <c r="C51" s="218">
        <f>Summary!AE34</f>
        <v>0</v>
      </c>
      <c r="E51" s="144" t="s">
        <v>100</v>
      </c>
      <c r="F51" s="66" t="s">
        <v>101</v>
      </c>
      <c r="G51" s="66"/>
      <c r="H51" s="66"/>
      <c r="I51" s="66"/>
      <c r="J51" s="66" t="s">
        <v>102</v>
      </c>
      <c r="K51" s="66"/>
      <c r="L51" s="66"/>
      <c r="M51" s="66" t="s">
        <v>103</v>
      </c>
      <c r="N51" s="66" t="s">
        <v>104</v>
      </c>
    </row>
    <row r="52" spans="1:14" ht="14" customHeight="1" x14ac:dyDescent="0.2">
      <c r="A52" s="219"/>
      <c r="B52" s="50" t="s">
        <v>192</v>
      </c>
      <c r="C52" s="243">
        <f>Summary!AF34</f>
        <v>0</v>
      </c>
      <c r="D52" s="219"/>
      <c r="E52" s="234">
        <f>Performance!CK5</f>
        <v>349429</v>
      </c>
      <c r="F52" s="50" t="str">
        <f>Performance!CL5</f>
        <v>Xerox (UK) Limited</v>
      </c>
      <c r="J52" s="50" t="str">
        <f>Performance!CN5</f>
        <v>Bollard cover</v>
      </c>
      <c r="M52" s="137">
        <f>Performance!CO5</f>
        <v>2.0999999998603016</v>
      </c>
      <c r="N52" s="51">
        <f>Performance!CP5</f>
        <v>14</v>
      </c>
    </row>
    <row r="53" spans="1:14" ht="14" customHeight="1" x14ac:dyDescent="0.2">
      <c r="A53" s="219"/>
      <c r="B53" s="50" t="s">
        <v>193</v>
      </c>
      <c r="C53" s="243">
        <f>Summary!AG34</f>
        <v>1</v>
      </c>
      <c r="D53" s="219"/>
      <c r="E53" s="234">
        <f>Performance!CK6</f>
        <v>349428</v>
      </c>
      <c r="F53" s="50" t="str">
        <f>Performance!CL6</f>
        <v>Tesco Stores (Hertfordshire)</v>
      </c>
      <c r="J53" s="50" t="str">
        <f>Performance!CN6</f>
        <v>Banner - Retail</v>
      </c>
      <c r="M53" s="137">
        <f>Performance!CO6</f>
        <v>0.21666666667442769</v>
      </c>
      <c r="N53" s="51">
        <f>Performance!CP6</f>
        <v>1</v>
      </c>
    </row>
    <row r="54" spans="1:14" ht="14" customHeight="1" x14ac:dyDescent="0.2">
      <c r="A54" s="220"/>
      <c r="B54" s="50" t="s">
        <v>194</v>
      </c>
      <c r="C54" s="243">
        <f>Summary!AH34</f>
        <v>0</v>
      </c>
      <c r="D54" s="220"/>
      <c r="E54" s="234">
        <f>Performance!CK7</f>
        <v>349435</v>
      </c>
      <c r="F54" s="50" t="str">
        <f>Performance!CL7</f>
        <v>Tesco Stores (Hertfordshire)</v>
      </c>
      <c r="J54" s="50" t="str">
        <f>Performance!CN7</f>
        <v>Banner - Retail</v>
      </c>
      <c r="M54" s="137">
        <f>Performance!CO7</f>
        <v>0.75</v>
      </c>
      <c r="N54" s="51">
        <f>Performance!CP7</f>
        <v>4</v>
      </c>
    </row>
    <row r="55" spans="1:14" ht="14" customHeight="1" x14ac:dyDescent="0.2">
      <c r="A55" s="219"/>
      <c r="B55" s="50" t="s">
        <v>195</v>
      </c>
      <c r="C55" s="243">
        <f>Summary!AI34</f>
        <v>0</v>
      </c>
      <c r="D55" s="220"/>
      <c r="E55" s="234">
        <f>Performance!CK8</f>
        <v>349445.01</v>
      </c>
      <c r="F55" s="50" t="str">
        <f>Performance!CL8</f>
        <v>Inspired Thinking Group (ITG) - KFC</v>
      </c>
      <c r="J55" s="50" t="str">
        <f>Performance!CN8</f>
        <v>Banner - Retail</v>
      </c>
      <c r="M55" s="137">
        <f>Performance!CO8</f>
        <v>0.18333333323244005</v>
      </c>
      <c r="N55" s="51">
        <f>Performance!CP8</f>
        <v>1</v>
      </c>
    </row>
    <row r="56" spans="1:14" ht="14" customHeight="1" x14ac:dyDescent="0.2">
      <c r="B56" s="50" t="s">
        <v>196</v>
      </c>
      <c r="C56" s="218">
        <f>Summary!AK34</f>
        <v>0</v>
      </c>
      <c r="E56" s="234">
        <f>Performance!CK9</f>
        <v>349445.02</v>
      </c>
      <c r="F56" s="50" t="str">
        <f>Performance!CL9</f>
        <v>Inspired Thinking Group (ITG) - KFC</v>
      </c>
      <c r="J56" s="50" t="str">
        <f>Performance!CN9</f>
        <v>Banner - Retail</v>
      </c>
      <c r="M56" s="137">
        <f>Performance!CO9</f>
        <v>0.19999999995343387</v>
      </c>
      <c r="N56" s="51">
        <f>Performance!CP9</f>
        <v>1</v>
      </c>
    </row>
    <row r="57" spans="1:14" ht="14" customHeight="1" x14ac:dyDescent="0.2">
      <c r="E57" s="234">
        <f>Performance!CK10</f>
        <v>349401.05</v>
      </c>
      <c r="F57" s="50" t="str">
        <f>Performance!CL10</f>
        <v>Inspired Thinking Group (ITG) - Whitbread</v>
      </c>
      <c r="J57" s="50" t="str">
        <f>Performance!CN10</f>
        <v>Banner - Retail</v>
      </c>
      <c r="M57" s="137">
        <f>Performance!CO10</f>
        <v>1.3333333333139308</v>
      </c>
      <c r="N57" s="51">
        <f>Performance!CP10</f>
        <v>5</v>
      </c>
    </row>
    <row r="58" spans="1:14" x14ac:dyDescent="0.2">
      <c r="D58" s="50"/>
      <c r="E58" s="234">
        <f>Performance!CK11</f>
        <v>349401.06</v>
      </c>
      <c r="F58" s="50" t="str">
        <f>Performance!CL11</f>
        <v>Inspired Thinking Group (ITG) - Whitbread</v>
      </c>
      <c r="J58" s="50" t="str">
        <f>Performance!CN11</f>
        <v>Banner - Retail</v>
      </c>
      <c r="M58" s="137">
        <f>Performance!CO11</f>
        <v>1.6333333332440816</v>
      </c>
      <c r="N58" s="51">
        <f>Performance!CP11</f>
        <v>10</v>
      </c>
    </row>
    <row r="59" spans="1:14" ht="17" customHeight="1" thickBot="1" x14ac:dyDescent="0.25">
      <c r="D59" s="50"/>
      <c r="E59" s="234"/>
      <c r="M59" s="137"/>
      <c r="N59" s="51"/>
    </row>
    <row r="60" spans="1:14" ht="37" customHeight="1" x14ac:dyDescent="0.2">
      <c r="A60" s="165" t="s">
        <v>173</v>
      </c>
      <c r="B60" s="225" t="s">
        <v>170</v>
      </c>
      <c r="C60" s="80" t="s">
        <v>29</v>
      </c>
      <c r="D60" s="81" t="s">
        <v>30</v>
      </c>
      <c r="E60" s="79" t="s">
        <v>39</v>
      </c>
      <c r="F60" s="77" t="s">
        <v>40</v>
      </c>
      <c r="G60" s="74" t="s">
        <v>31</v>
      </c>
      <c r="H60" s="75" t="s">
        <v>32</v>
      </c>
      <c r="I60" s="78" t="s">
        <v>35</v>
      </c>
      <c r="J60" s="76" t="s">
        <v>139</v>
      </c>
      <c r="K60" s="76" t="s">
        <v>82</v>
      </c>
      <c r="L60" s="77" t="s">
        <v>41</v>
      </c>
      <c r="M60" s="77" t="s">
        <v>42</v>
      </c>
      <c r="N60" s="78" t="s">
        <v>38</v>
      </c>
    </row>
    <row r="61" spans="1:14" ht="20" customHeight="1" thickBot="1" x14ac:dyDescent="0.25">
      <c r="A61" s="224">
        <f>Summary!B34</f>
        <v>0.11511688312384487</v>
      </c>
      <c r="B61" s="226">
        <f>Summary!C34</f>
        <v>0.34535064937153459</v>
      </c>
      <c r="C61" s="125">
        <f>Summary!D34</f>
        <v>0.26666666666666666</v>
      </c>
      <c r="D61" s="126">
        <f>Summary!E34</f>
        <v>0.8</v>
      </c>
      <c r="E61" s="127">
        <f>Summary!F34</f>
        <v>0.43168831171441824</v>
      </c>
      <c r="F61" s="128">
        <f>Summary!G34</f>
        <v>1</v>
      </c>
      <c r="G61" s="115">
        <f>Summary!H34</f>
        <v>24</v>
      </c>
      <c r="H61" s="116">
        <f>Summary!I34</f>
        <v>8</v>
      </c>
      <c r="I61" s="129">
        <f>Summary!U34</f>
        <v>2639.9999999999995</v>
      </c>
      <c r="J61" s="117">
        <f>Summary!V34</f>
        <v>2.77</v>
      </c>
      <c r="K61" s="117">
        <f>Summary!W34</f>
        <v>6.4166666662786156</v>
      </c>
      <c r="L61" s="118">
        <f>Summary!X34</f>
        <v>84</v>
      </c>
      <c r="M61" s="118">
        <f>Summary!Y34</f>
        <v>84</v>
      </c>
      <c r="N61" s="119">
        <f>Summary!AB34</f>
        <v>1</v>
      </c>
    </row>
    <row r="64" spans="1:14" x14ac:dyDescent="0.2">
      <c r="A64" s="162" t="str">
        <f>TEXT(Summary!$B$6,"dd/MM/yyyy")&amp;" - "&amp;TEXT(Summary!$D$6,"dd/MM/yyyy")</f>
        <v>19/01/2022 - 19/01/2022</v>
      </c>
      <c r="B64" s="46"/>
      <c r="C64" s="55"/>
      <c r="D64" s="47" t="s">
        <v>122</v>
      </c>
    </row>
    <row r="65" spans="1:12" ht="15" thickBot="1" x14ac:dyDescent="0.25">
      <c r="A65" s="52"/>
      <c r="D65" s="136" t="str">
        <f>_xlfn.CONCAT(SUM(D66:D75)," ","hrs")</f>
        <v>24 hrs</v>
      </c>
      <c r="F65" s="201" t="s">
        <v>140</v>
      </c>
      <c r="G65" s="135">
        <f>SUM(D66:D68)</f>
        <v>3.6</v>
      </c>
      <c r="J65" s="3" t="s">
        <v>90</v>
      </c>
      <c r="K65" s="217">
        <f t="shared" ref="K65:K74" si="4">D66</f>
        <v>3.6</v>
      </c>
      <c r="L65" s="64">
        <f>K65/G$69</f>
        <v>0.15</v>
      </c>
    </row>
    <row r="66" spans="1:12" x14ac:dyDescent="0.2">
      <c r="A66" s="110" t="s">
        <v>143</v>
      </c>
      <c r="B66" s="111" t="s">
        <v>90</v>
      </c>
      <c r="C66" s="111"/>
      <c r="D66" s="130">
        <f>Summary!K35</f>
        <v>3.6</v>
      </c>
      <c r="F66" s="201" t="s">
        <v>141</v>
      </c>
      <c r="G66" s="135">
        <f>SUM(D69:D72)</f>
        <v>20.399999999999999</v>
      </c>
      <c r="J66" s="3" t="s">
        <v>91</v>
      </c>
      <c r="K66" s="217">
        <f t="shared" si="4"/>
        <v>0</v>
      </c>
      <c r="L66" s="64">
        <f t="shared" ref="L66:L74" si="5">K66/G$69</f>
        <v>0</v>
      </c>
    </row>
    <row r="67" spans="1:12" x14ac:dyDescent="0.2">
      <c r="A67" s="112"/>
      <c r="B67" s="49" t="s">
        <v>91</v>
      </c>
      <c r="C67" s="49"/>
      <c r="D67" s="131">
        <f>Summary!L35</f>
        <v>0</v>
      </c>
      <c r="F67" s="201" t="s">
        <v>147</v>
      </c>
      <c r="G67" s="135">
        <f>SUM(D73:D75)</f>
        <v>0</v>
      </c>
      <c r="J67" s="3" t="s">
        <v>92</v>
      </c>
      <c r="K67" s="217">
        <f t="shared" si="4"/>
        <v>0</v>
      </c>
      <c r="L67" s="64">
        <f t="shared" si="5"/>
        <v>0</v>
      </c>
    </row>
    <row r="68" spans="1:12" ht="15" thickBot="1" x14ac:dyDescent="0.25">
      <c r="A68" s="113"/>
      <c r="B68" s="114" t="s">
        <v>92</v>
      </c>
      <c r="C68" s="114"/>
      <c r="D68" s="132">
        <f>Summary!M35</f>
        <v>0</v>
      </c>
      <c r="F68" s="53" t="s">
        <v>19</v>
      </c>
      <c r="G68" s="135">
        <f>G69-SUM(G65:G67)</f>
        <v>0</v>
      </c>
      <c r="J68" s="3" t="s">
        <v>93</v>
      </c>
      <c r="K68" s="217">
        <f t="shared" si="4"/>
        <v>16</v>
      </c>
      <c r="L68" s="64">
        <f t="shared" si="5"/>
        <v>0.66666666666666663</v>
      </c>
    </row>
    <row r="69" spans="1:12" x14ac:dyDescent="0.2">
      <c r="A69" s="107" t="s">
        <v>144</v>
      </c>
      <c r="B69" s="108" t="s">
        <v>93</v>
      </c>
      <c r="C69" s="108"/>
      <c r="D69" s="133">
        <f>Summary!N35</f>
        <v>16</v>
      </c>
      <c r="F69" s="53"/>
      <c r="G69" s="54">
        <f>Summary!H26</f>
        <v>24</v>
      </c>
      <c r="J69" s="3" t="s">
        <v>94</v>
      </c>
      <c r="K69" s="217">
        <f t="shared" si="4"/>
        <v>4.4000000000000004</v>
      </c>
      <c r="L69" s="64">
        <f t="shared" si="5"/>
        <v>0.18333333333333335</v>
      </c>
    </row>
    <row r="70" spans="1:12" x14ac:dyDescent="0.2">
      <c r="A70" s="48" t="s">
        <v>145</v>
      </c>
      <c r="B70" s="49" t="s">
        <v>94</v>
      </c>
      <c r="C70" s="49"/>
      <c r="D70" s="134">
        <f>Summary!O35</f>
        <v>4.4000000000000004</v>
      </c>
      <c r="J70" s="3" t="s">
        <v>95</v>
      </c>
      <c r="K70" s="217">
        <f t="shared" si="4"/>
        <v>0</v>
      </c>
      <c r="L70" s="64">
        <f>K70/G$69</f>
        <v>0</v>
      </c>
    </row>
    <row r="71" spans="1:12" x14ac:dyDescent="0.2">
      <c r="A71" s="48"/>
      <c r="B71" s="49" t="s">
        <v>95</v>
      </c>
      <c r="C71" s="49"/>
      <c r="D71" s="134">
        <f>Summary!P35</f>
        <v>0</v>
      </c>
      <c r="J71" s="3" t="s">
        <v>118</v>
      </c>
      <c r="K71" s="217">
        <f t="shared" si="4"/>
        <v>0</v>
      </c>
      <c r="L71" s="64">
        <f t="shared" si="5"/>
        <v>0</v>
      </c>
    </row>
    <row r="72" spans="1:12" x14ac:dyDescent="0.2">
      <c r="A72" s="48"/>
      <c r="B72" s="49" t="s">
        <v>115</v>
      </c>
      <c r="C72" s="49"/>
      <c r="D72" s="134">
        <f>Summary!Q35</f>
        <v>0</v>
      </c>
      <c r="J72" s="3" t="s">
        <v>163</v>
      </c>
      <c r="K72" s="217">
        <f t="shared" si="4"/>
        <v>0</v>
      </c>
      <c r="L72" s="64">
        <f t="shared" si="5"/>
        <v>0</v>
      </c>
    </row>
    <row r="73" spans="1:12" x14ac:dyDescent="0.2">
      <c r="A73" s="48" t="s">
        <v>146</v>
      </c>
      <c r="B73" s="49" t="s">
        <v>119</v>
      </c>
      <c r="C73" s="49"/>
      <c r="D73" s="134">
        <f>Summary!R35</f>
        <v>0</v>
      </c>
      <c r="J73" s="3" t="s">
        <v>96</v>
      </c>
      <c r="K73" s="217">
        <f t="shared" si="4"/>
        <v>0</v>
      </c>
      <c r="L73" s="64">
        <f t="shared" si="5"/>
        <v>0</v>
      </c>
    </row>
    <row r="74" spans="1:12" x14ac:dyDescent="0.2">
      <c r="A74" s="48" t="s">
        <v>145</v>
      </c>
      <c r="B74" s="49" t="s">
        <v>96</v>
      </c>
      <c r="C74" s="49"/>
      <c r="D74" s="134">
        <f>Summary!S35</f>
        <v>0</v>
      </c>
      <c r="J74" s="3" t="s">
        <v>164</v>
      </c>
      <c r="K74" s="217">
        <f t="shared" si="4"/>
        <v>0</v>
      </c>
      <c r="L74" s="64">
        <f t="shared" si="5"/>
        <v>0</v>
      </c>
    </row>
    <row r="75" spans="1:12" x14ac:dyDescent="0.2">
      <c r="A75" s="49"/>
      <c r="B75" s="49" t="s">
        <v>97</v>
      </c>
      <c r="C75" s="49"/>
      <c r="D75" s="134">
        <f>Summary!T35</f>
        <v>0</v>
      </c>
    </row>
    <row r="76" spans="1:12" x14ac:dyDescent="0.2">
      <c r="A76" s="49"/>
      <c r="B76" s="286" t="s">
        <v>20</v>
      </c>
      <c r="C76" s="286"/>
      <c r="D76" s="139">
        <f>SUMIFS('Factory Log'!D:D,'Factory Log'!B:B,Bureau!D64,'Factory Log'!C:C,Bureau!B76)</f>
        <v>0</v>
      </c>
    </row>
    <row r="77" spans="1:12" x14ac:dyDescent="0.2">
      <c r="A77" s="49"/>
      <c r="B77" s="286" t="s">
        <v>21</v>
      </c>
      <c r="C77" s="286"/>
      <c r="D77" s="139">
        <f>SUMIFS('Factory Log'!D:D,'Factory Log'!B:B,Bureau!D64,'Factory Log'!C:C,Bureau!B77)</f>
        <v>0</v>
      </c>
    </row>
    <row r="78" spans="1:12" x14ac:dyDescent="0.2">
      <c r="A78" s="49"/>
      <c r="B78" s="286" t="s">
        <v>22</v>
      </c>
      <c r="C78" s="286"/>
      <c r="D78" s="139">
        <f>SUMIFS('Factory Log'!D:D,'Factory Log'!B:B,Bureau!D64,'Factory Log'!C:C,Bureau!B78)</f>
        <v>0</v>
      </c>
    </row>
    <row r="79" spans="1:12" x14ac:dyDescent="0.2">
      <c r="A79" s="49"/>
      <c r="B79" s="286" t="s">
        <v>23</v>
      </c>
      <c r="C79" s="286"/>
      <c r="D79" s="139">
        <f>SUMIFS('Factory Log'!D:D,'Factory Log'!B:B,Bureau!D64,'Factory Log'!C:C,Bureau!B79)</f>
        <v>0</v>
      </c>
    </row>
    <row r="80" spans="1:12" x14ac:dyDescent="0.2">
      <c r="A80" s="49"/>
      <c r="B80" s="286" t="s">
        <v>12</v>
      </c>
      <c r="C80" s="286"/>
      <c r="D80" s="139">
        <f>SUMIFS('Factory Log'!D:D,'Factory Log'!B:B,Bureau!D64,'Factory Log'!C:C,Bureau!B80)</f>
        <v>0</v>
      </c>
    </row>
    <row r="81" spans="1:14" x14ac:dyDescent="0.2">
      <c r="A81" s="49"/>
      <c r="B81" s="286" t="s">
        <v>18</v>
      </c>
      <c r="C81" s="286"/>
      <c r="D81" s="139">
        <f>SUMIFS('Factory Log'!D:D,'Factory Log'!B:B,Bureau!D64,'Factory Log'!C:C,Bureau!B81)</f>
        <v>0</v>
      </c>
    </row>
    <row r="82" spans="1:14" x14ac:dyDescent="0.2">
      <c r="A82" s="109"/>
      <c r="B82" s="109"/>
      <c r="C82" s="109"/>
      <c r="D82" s="109"/>
    </row>
    <row r="83" spans="1:14" x14ac:dyDescent="0.2">
      <c r="B83" s="50" t="s">
        <v>153</v>
      </c>
      <c r="C83" s="218">
        <f>Summary!AE35</f>
        <v>0</v>
      </c>
      <c r="E83" s="144" t="s">
        <v>100</v>
      </c>
      <c r="F83" s="66" t="s">
        <v>101</v>
      </c>
      <c r="G83" s="66"/>
      <c r="H83" s="66"/>
      <c r="I83" s="66"/>
      <c r="J83" s="66" t="s">
        <v>102</v>
      </c>
      <c r="K83" s="66"/>
      <c r="L83" s="66"/>
      <c r="M83" s="66" t="s">
        <v>103</v>
      </c>
      <c r="N83" s="66" t="s">
        <v>104</v>
      </c>
    </row>
    <row r="84" spans="1:14" ht="14" customHeight="1" x14ac:dyDescent="0.2">
      <c r="A84" s="219"/>
      <c r="B84" s="50" t="s">
        <v>154</v>
      </c>
      <c r="C84" s="242">
        <f>Summary!AF35</f>
        <v>0</v>
      </c>
      <c r="D84" s="219"/>
      <c r="E84" s="234">
        <f>Performance!CV5</f>
        <v>348974.03</v>
      </c>
      <c r="F84" s="50" t="str">
        <f>Performance!CW5</f>
        <v>N2O Limited</v>
      </c>
      <c r="J84" s="50" t="str">
        <f>Performance!CY5</f>
        <v>Merchandise Unit</v>
      </c>
      <c r="M84" s="137">
        <f>Performance!CZ5</f>
        <v>2.7833333333255723</v>
      </c>
      <c r="N84" s="51">
        <f>Performance!DA5</f>
        <v>100</v>
      </c>
    </row>
    <row r="85" spans="1:14" ht="14" customHeight="1" x14ac:dyDescent="0.2">
      <c r="A85" s="219"/>
      <c r="B85" s="50" t="s">
        <v>155</v>
      </c>
      <c r="C85" s="242">
        <f>Summary!AG35</f>
        <v>0</v>
      </c>
      <c r="D85" s="219"/>
      <c r="E85" s="234">
        <f>Performance!CV6</f>
        <v>349449</v>
      </c>
      <c r="F85" s="50" t="str">
        <f>Performance!CW6</f>
        <v>Communisis Print Management SE</v>
      </c>
      <c r="J85" s="50" t="str">
        <f>Performance!CY6</f>
        <v>Portable Displays/Structure</v>
      </c>
      <c r="M85" s="137">
        <f>Performance!CZ6</f>
        <v>0.79999999998835847</v>
      </c>
      <c r="N85" s="51">
        <f>Performance!DA6</f>
        <v>4</v>
      </c>
    </row>
    <row r="86" spans="1:14" ht="14" customHeight="1" x14ac:dyDescent="0.2">
      <c r="A86" s="220"/>
      <c r="B86" s="50" t="s">
        <v>156</v>
      </c>
      <c r="C86" s="242">
        <f>Summary!AH35</f>
        <v>0</v>
      </c>
      <c r="D86" s="220"/>
    </row>
    <row r="87" spans="1:14" ht="14" customHeight="1" x14ac:dyDescent="0.2">
      <c r="A87" s="219"/>
      <c r="B87" s="50" t="s">
        <v>157</v>
      </c>
      <c r="C87" s="242">
        <f>Summary!AI35</f>
        <v>0</v>
      </c>
      <c r="D87" s="220"/>
      <c r="E87" s="234"/>
      <c r="M87" s="137"/>
      <c r="N87" s="51"/>
    </row>
    <row r="88" spans="1:14" x14ac:dyDescent="0.2">
      <c r="B88" s="50" t="s">
        <v>176</v>
      </c>
      <c r="C88" s="218">
        <f>Summary!AJ35</f>
        <v>0</v>
      </c>
      <c r="E88" s="234"/>
      <c r="M88" s="137"/>
      <c r="N88" s="51"/>
    </row>
    <row r="89" spans="1:14" x14ac:dyDescent="0.2">
      <c r="B89" s="50" t="s">
        <v>187</v>
      </c>
      <c r="C89" s="218">
        <f>Summary!AK35</f>
        <v>1</v>
      </c>
      <c r="D89" s="50"/>
      <c r="E89" s="234"/>
      <c r="M89" s="137"/>
      <c r="N89" s="51"/>
    </row>
    <row r="90" spans="1:14" ht="15" customHeight="1" x14ac:dyDescent="0.2">
      <c r="D90" s="50"/>
      <c r="E90" s="234"/>
      <c r="M90" s="137"/>
      <c r="N90" s="51"/>
    </row>
    <row r="91" spans="1:14" ht="15" thickBot="1" x14ac:dyDescent="0.25">
      <c r="E91" s="234"/>
      <c r="M91" s="137"/>
      <c r="N91" s="51"/>
    </row>
    <row r="92" spans="1:14" ht="52" x14ac:dyDescent="0.2">
      <c r="A92" s="165" t="s">
        <v>173</v>
      </c>
      <c r="B92" s="225" t="s">
        <v>170</v>
      </c>
      <c r="C92" s="80" t="s">
        <v>29</v>
      </c>
      <c r="D92" s="81" t="s">
        <v>30</v>
      </c>
      <c r="E92" s="79" t="s">
        <v>39</v>
      </c>
      <c r="F92" s="77" t="s">
        <v>40</v>
      </c>
      <c r="G92" s="74" t="s">
        <v>31</v>
      </c>
      <c r="H92" s="75" t="s">
        <v>32</v>
      </c>
      <c r="I92" s="78" t="s">
        <v>35</v>
      </c>
      <c r="J92" s="76" t="s">
        <v>139</v>
      </c>
      <c r="K92" s="76" t="s">
        <v>82</v>
      </c>
      <c r="L92" s="77" t="s">
        <v>41</v>
      </c>
      <c r="M92" s="77" t="s">
        <v>42</v>
      </c>
      <c r="N92" s="78" t="s">
        <v>38</v>
      </c>
    </row>
    <row r="93" spans="1:14" ht="22" customHeight="1" thickBot="1" x14ac:dyDescent="0.25">
      <c r="A93" s="224">
        <f>Summary!B35</f>
        <v>0.16451162790786752</v>
      </c>
      <c r="B93" s="226">
        <f>Summary!C35</f>
        <v>0.49353488372360266</v>
      </c>
      <c r="C93" s="125">
        <f>Summary!D35</f>
        <v>0.15</v>
      </c>
      <c r="D93" s="126">
        <f>Summary!E35</f>
        <v>0.45</v>
      </c>
      <c r="E93" s="127">
        <f>Summary!F35</f>
        <v>1.0967441860524503</v>
      </c>
      <c r="F93" s="128">
        <f>Summary!G35</f>
        <v>1</v>
      </c>
      <c r="G93" s="115">
        <f>Summary!H35</f>
        <v>24</v>
      </c>
      <c r="H93" s="116">
        <f>Summary!I35</f>
        <v>8</v>
      </c>
      <c r="I93" s="129">
        <f>Summary!U35</f>
        <v>3060</v>
      </c>
      <c r="J93" s="117">
        <f>Summary!V35</f>
        <v>3.93</v>
      </c>
      <c r="K93" s="117">
        <f>Summary!W35</f>
        <v>3.5833333333139308</v>
      </c>
      <c r="L93" s="118">
        <f>Summary!X35</f>
        <v>85</v>
      </c>
      <c r="M93" s="118">
        <f>Summary!Y35</f>
        <v>68</v>
      </c>
      <c r="N93" s="119">
        <f>Summary!AB35</f>
        <v>1</v>
      </c>
    </row>
    <row r="95" spans="1:14" x14ac:dyDescent="0.2">
      <c r="A95" s="162" t="str">
        <f>TEXT(Summary!$B$6,"dd/MM/yyyy")&amp;" - "&amp;TEXT(Summary!$D$6,"dd/MM/yyyy")</f>
        <v>19/01/2022 - 19/01/2022</v>
      </c>
      <c r="B95" s="46"/>
      <c r="C95" s="55"/>
      <c r="D95" s="47" t="s">
        <v>121</v>
      </c>
    </row>
    <row r="96" spans="1:14" ht="15" thickBot="1" x14ac:dyDescent="0.25">
      <c r="A96" s="52"/>
      <c r="D96" s="136" t="str">
        <f>_xlfn.CONCAT(SUM(D97:D106)," ","hrs")</f>
        <v>24 hrs</v>
      </c>
      <c r="F96" s="201" t="s">
        <v>140</v>
      </c>
      <c r="G96" s="135">
        <f>SUM(D97:D99)</f>
        <v>3.1</v>
      </c>
      <c r="J96" s="3" t="s">
        <v>90</v>
      </c>
      <c r="K96" s="217">
        <f t="shared" ref="K96:K105" si="6">D97</f>
        <v>2.7</v>
      </c>
      <c r="L96" s="64">
        <f>K96/G$100</f>
        <v>0.1125</v>
      </c>
    </row>
    <row r="97" spans="1:13" x14ac:dyDescent="0.2">
      <c r="A97" s="110" t="s">
        <v>143</v>
      </c>
      <c r="B97" s="111" t="s">
        <v>90</v>
      </c>
      <c r="C97" s="111"/>
      <c r="D97" s="130">
        <f>Summary!K36</f>
        <v>2.7</v>
      </c>
      <c r="F97" s="201" t="s">
        <v>141</v>
      </c>
      <c r="G97" s="135">
        <f>SUM(D100:D103)</f>
        <v>20.9</v>
      </c>
      <c r="J97" s="3" t="s">
        <v>91</v>
      </c>
      <c r="K97" s="217">
        <f t="shared" si="6"/>
        <v>0.4</v>
      </c>
      <c r="L97" s="64">
        <f t="shared" ref="L97:L105" si="7">K97/G$100</f>
        <v>1.6666666666666666E-2</v>
      </c>
    </row>
    <row r="98" spans="1:13" x14ac:dyDescent="0.2">
      <c r="A98" s="112"/>
      <c r="B98" s="49" t="s">
        <v>91</v>
      </c>
      <c r="C98" s="49"/>
      <c r="D98" s="131">
        <f>Summary!L36</f>
        <v>0.4</v>
      </c>
      <c r="F98" s="201" t="s">
        <v>147</v>
      </c>
      <c r="G98" s="135">
        <f>SUM(D104:D106)</f>
        <v>0</v>
      </c>
      <c r="J98" s="3" t="s">
        <v>92</v>
      </c>
      <c r="K98" s="217">
        <f t="shared" si="6"/>
        <v>0</v>
      </c>
      <c r="L98" s="64">
        <f t="shared" si="7"/>
        <v>0</v>
      </c>
    </row>
    <row r="99" spans="1:13" ht="15" thickBot="1" x14ac:dyDescent="0.25">
      <c r="A99" s="113"/>
      <c r="B99" s="114" t="s">
        <v>92</v>
      </c>
      <c r="C99" s="114"/>
      <c r="D99" s="132">
        <f>Summary!M36</f>
        <v>0</v>
      </c>
      <c r="F99" s="53" t="s">
        <v>19</v>
      </c>
      <c r="G99" s="135">
        <f>G100-SUM(G96:G98)</f>
        <v>0</v>
      </c>
      <c r="J99" s="3" t="s">
        <v>93</v>
      </c>
      <c r="K99" s="217">
        <f t="shared" si="6"/>
        <v>16</v>
      </c>
      <c r="L99" s="64">
        <f t="shared" si="7"/>
        <v>0.66666666666666663</v>
      </c>
    </row>
    <row r="100" spans="1:13" x14ac:dyDescent="0.2">
      <c r="A100" s="107" t="s">
        <v>144</v>
      </c>
      <c r="B100" s="108" t="s">
        <v>93</v>
      </c>
      <c r="C100" s="108"/>
      <c r="D100" s="133">
        <f>Summary!N36</f>
        <v>16</v>
      </c>
      <c r="F100" s="53"/>
      <c r="G100" s="54">
        <f>Summary!H27</f>
        <v>24</v>
      </c>
      <c r="J100" s="3" t="s">
        <v>94</v>
      </c>
      <c r="K100" s="217">
        <f t="shared" si="6"/>
        <v>4.9000000000000004</v>
      </c>
      <c r="L100" s="64">
        <f t="shared" si="7"/>
        <v>0.20416666666666669</v>
      </c>
    </row>
    <row r="101" spans="1:13" x14ac:dyDescent="0.2">
      <c r="A101" s="48" t="s">
        <v>145</v>
      </c>
      <c r="B101" s="49" t="s">
        <v>94</v>
      </c>
      <c r="C101" s="49"/>
      <c r="D101" s="134">
        <f>Summary!O36</f>
        <v>4.9000000000000004</v>
      </c>
      <c r="J101" s="3" t="s">
        <v>95</v>
      </c>
      <c r="K101" s="217">
        <f t="shared" si="6"/>
        <v>0</v>
      </c>
      <c r="L101" s="64">
        <f t="shared" si="7"/>
        <v>0</v>
      </c>
    </row>
    <row r="102" spans="1:13" x14ac:dyDescent="0.2">
      <c r="A102" s="48"/>
      <c r="B102" s="49" t="s">
        <v>95</v>
      </c>
      <c r="C102" s="49"/>
      <c r="D102" s="134">
        <f>Summary!P36</f>
        <v>0</v>
      </c>
      <c r="J102" s="3" t="s">
        <v>118</v>
      </c>
      <c r="K102" s="217">
        <f t="shared" si="6"/>
        <v>0</v>
      </c>
      <c r="L102" s="64">
        <f t="shared" si="7"/>
        <v>0</v>
      </c>
    </row>
    <row r="103" spans="1:13" x14ac:dyDescent="0.2">
      <c r="A103" s="48"/>
      <c r="B103" s="49" t="s">
        <v>115</v>
      </c>
      <c r="C103" s="49"/>
      <c r="D103" s="134">
        <f>Summary!Q36</f>
        <v>0</v>
      </c>
      <c r="J103" s="3" t="s">
        <v>163</v>
      </c>
      <c r="K103" s="217">
        <f t="shared" si="6"/>
        <v>0</v>
      </c>
      <c r="L103" s="64">
        <f t="shared" si="7"/>
        <v>0</v>
      </c>
      <c r="M103" s="73"/>
    </row>
    <row r="104" spans="1:13" x14ac:dyDescent="0.2">
      <c r="A104" s="48" t="s">
        <v>146</v>
      </c>
      <c r="B104" s="49" t="s">
        <v>119</v>
      </c>
      <c r="C104" s="49"/>
      <c r="D104" s="134">
        <f>Summary!R36</f>
        <v>0</v>
      </c>
      <c r="J104" s="3" t="s">
        <v>96</v>
      </c>
      <c r="K104" s="217">
        <f t="shared" si="6"/>
        <v>0</v>
      </c>
      <c r="L104" s="64">
        <f t="shared" si="7"/>
        <v>0</v>
      </c>
      <c r="M104" s="73"/>
    </row>
    <row r="105" spans="1:13" x14ac:dyDescent="0.2">
      <c r="A105" s="48" t="s">
        <v>145</v>
      </c>
      <c r="B105" s="49" t="s">
        <v>96</v>
      </c>
      <c r="C105" s="49"/>
      <c r="D105" s="134">
        <f>Summary!S36</f>
        <v>0</v>
      </c>
      <c r="J105" s="3" t="s">
        <v>164</v>
      </c>
      <c r="K105" s="217">
        <f t="shared" si="6"/>
        <v>0</v>
      </c>
      <c r="L105" s="64">
        <f t="shared" si="7"/>
        <v>0</v>
      </c>
      <c r="M105" s="73"/>
    </row>
    <row r="106" spans="1:13" x14ac:dyDescent="0.2">
      <c r="A106" s="49"/>
      <c r="B106" s="49" t="s">
        <v>97</v>
      </c>
      <c r="C106" s="49"/>
      <c r="D106" s="134">
        <f>Summary!T36</f>
        <v>0</v>
      </c>
      <c r="M106" s="73"/>
    </row>
    <row r="107" spans="1:13" x14ac:dyDescent="0.2">
      <c r="A107" s="49"/>
      <c r="B107" s="286" t="s">
        <v>20</v>
      </c>
      <c r="C107" s="286"/>
      <c r="D107" s="139">
        <f>SUMIFS('Factory Log'!D:D,'Factory Log'!B:B,Bureau!D95,'Factory Log'!C:C,Bureau!B107)</f>
        <v>0</v>
      </c>
      <c r="M107" s="73"/>
    </row>
    <row r="108" spans="1:13" x14ac:dyDescent="0.2">
      <c r="A108" s="49"/>
      <c r="B108" s="286" t="s">
        <v>21</v>
      </c>
      <c r="C108" s="286"/>
      <c r="D108" s="139">
        <f>SUMIFS('Factory Log'!D:D,'Factory Log'!B:B,Bureau!D95,'Factory Log'!C:C,Bureau!B108)</f>
        <v>0</v>
      </c>
    </row>
    <row r="109" spans="1:13" x14ac:dyDescent="0.2">
      <c r="A109" s="49"/>
      <c r="B109" s="286" t="s">
        <v>22</v>
      </c>
      <c r="C109" s="286"/>
      <c r="D109" s="139">
        <f>SUMIFS('Factory Log'!D:D,'Factory Log'!B:B,Bureau!D95,'Factory Log'!C:C,Bureau!B109)</f>
        <v>0</v>
      </c>
    </row>
    <row r="110" spans="1:13" x14ac:dyDescent="0.2">
      <c r="A110" s="49"/>
      <c r="B110" s="286" t="s">
        <v>23</v>
      </c>
      <c r="C110" s="286"/>
      <c r="D110" s="139">
        <f>SUMIFS('Factory Log'!D:D,'Factory Log'!B:B,Bureau!D95,'Factory Log'!C:C,Bureau!B110)</f>
        <v>0</v>
      </c>
    </row>
    <row r="111" spans="1:13" x14ac:dyDescent="0.2">
      <c r="A111" s="49"/>
      <c r="B111" s="286" t="s">
        <v>12</v>
      </c>
      <c r="C111" s="286"/>
      <c r="D111" s="139">
        <f>SUMIFS('Factory Log'!D:D,'Factory Log'!B:B,Bureau!D95,'Factory Log'!C:C,Bureau!B111)</f>
        <v>0</v>
      </c>
    </row>
    <row r="112" spans="1:13" x14ac:dyDescent="0.2">
      <c r="A112" s="49"/>
      <c r="B112" s="286" t="s">
        <v>18</v>
      </c>
      <c r="C112" s="286"/>
      <c r="D112" s="139">
        <f>SUMIFS('Factory Log'!D:D,'Factory Log'!B:B,Bureau!D95,'Factory Log'!C:C,Bureau!B112)</f>
        <v>0</v>
      </c>
    </row>
    <row r="113" spans="1:14" x14ac:dyDescent="0.2">
      <c r="A113" s="109"/>
      <c r="B113" s="109"/>
      <c r="C113" s="109"/>
      <c r="D113" s="109"/>
    </row>
    <row r="114" spans="1:14" x14ac:dyDescent="0.2">
      <c r="B114" s="50" t="s">
        <v>153</v>
      </c>
      <c r="C114" s="218">
        <f>Summary!AE36</f>
        <v>0</v>
      </c>
      <c r="E114" s="144" t="s">
        <v>100</v>
      </c>
      <c r="F114" s="66" t="s">
        <v>101</v>
      </c>
      <c r="G114" s="66"/>
      <c r="H114" s="66"/>
      <c r="I114" s="66"/>
      <c r="J114" s="66" t="s">
        <v>102</v>
      </c>
      <c r="K114" s="66"/>
      <c r="L114" s="66"/>
      <c r="M114" s="66" t="s">
        <v>103</v>
      </c>
      <c r="N114" s="233" t="s">
        <v>104</v>
      </c>
    </row>
    <row r="115" spans="1:14" ht="14" customHeight="1" x14ac:dyDescent="0.2">
      <c r="A115" s="219"/>
      <c r="B115" s="50" t="s">
        <v>154</v>
      </c>
      <c r="C115" s="242">
        <f>Summary!AF36</f>
        <v>0</v>
      </c>
      <c r="D115" s="219"/>
      <c r="E115" s="234">
        <f>Performance!DG5</f>
        <v>349401.03</v>
      </c>
      <c r="F115" s="50" t="str">
        <f>Performance!DH5</f>
        <v>Inspired Thinking Group (ITG) - Whitbread</v>
      </c>
      <c r="J115" s="50" t="str">
        <f>Performance!DJ5</f>
        <v>Portable Displays/Structure</v>
      </c>
      <c r="M115" s="137">
        <f>Performance!DK5</f>
        <v>0.53333333332557231</v>
      </c>
      <c r="N115" s="51">
        <f>Performance!DL5</f>
        <v>6</v>
      </c>
    </row>
    <row r="116" spans="1:14" ht="14" customHeight="1" x14ac:dyDescent="0.2">
      <c r="A116" s="219"/>
      <c r="B116" s="50" t="s">
        <v>155</v>
      </c>
      <c r="C116" s="242">
        <f>Summary!AG36</f>
        <v>0</v>
      </c>
      <c r="D116" s="219"/>
      <c r="E116" s="234">
        <f>Performance!DG6</f>
        <v>349424</v>
      </c>
      <c r="F116" s="50" t="str">
        <f>Performance!DH6</f>
        <v>HH Associates - Co-op</v>
      </c>
      <c r="J116" s="50" t="str">
        <f>Performance!DJ6</f>
        <v>Portable Displays/Structure</v>
      </c>
      <c r="M116" s="137">
        <f>Performance!DK6</f>
        <v>1.9500000000698492</v>
      </c>
      <c r="N116" s="51">
        <f>Performance!DL6</f>
        <v>13</v>
      </c>
    </row>
    <row r="117" spans="1:14" ht="14" customHeight="1" x14ac:dyDescent="0.2">
      <c r="A117" s="220"/>
      <c r="B117" s="50" t="s">
        <v>156</v>
      </c>
      <c r="C117" s="242">
        <f>Summary!AH36</f>
        <v>0</v>
      </c>
      <c r="D117" s="220"/>
      <c r="E117" s="234">
        <f>Performance!DG7</f>
        <v>349441</v>
      </c>
      <c r="F117" s="50" t="str">
        <f>Performance!DH7</f>
        <v>HH Associates - Co-op</v>
      </c>
      <c r="J117" s="50" t="str">
        <f>Performance!DJ7</f>
        <v>Portable Displays/Structure</v>
      </c>
      <c r="M117" s="137">
        <f>Performance!DK7</f>
        <v>0.56666666676755995</v>
      </c>
      <c r="N117" s="51">
        <f>Performance!DL7</f>
        <v>2</v>
      </c>
    </row>
    <row r="118" spans="1:14" ht="14" customHeight="1" x14ac:dyDescent="0.2">
      <c r="A118" s="219"/>
      <c r="B118" s="50" t="s">
        <v>157</v>
      </c>
      <c r="C118" s="242">
        <f>Summary!AI36</f>
        <v>0</v>
      </c>
      <c r="D118" s="220"/>
    </row>
    <row r="119" spans="1:14" x14ac:dyDescent="0.2">
      <c r="B119" s="50" t="s">
        <v>176</v>
      </c>
      <c r="C119" s="218">
        <f>Summary!AJ36</f>
        <v>0</v>
      </c>
      <c r="E119" s="234"/>
      <c r="M119" s="137"/>
      <c r="N119" s="51"/>
    </row>
    <row r="120" spans="1:14" x14ac:dyDescent="0.2">
      <c r="B120" s="50" t="s">
        <v>187</v>
      </c>
      <c r="C120" s="218">
        <f>Summary!AK36</f>
        <v>1</v>
      </c>
      <c r="E120" s="234"/>
      <c r="M120" s="137"/>
      <c r="N120" s="51"/>
    </row>
    <row r="121" spans="1:14" ht="15" thickBot="1" x14ac:dyDescent="0.25">
      <c r="E121" s="234"/>
      <c r="M121" s="137"/>
      <c r="N121" s="51"/>
    </row>
    <row r="122" spans="1:14" ht="52" x14ac:dyDescent="0.2">
      <c r="A122" s="165" t="s">
        <v>173</v>
      </c>
      <c r="B122" s="225" t="s">
        <v>170</v>
      </c>
      <c r="C122" s="80" t="s">
        <v>29</v>
      </c>
      <c r="D122" s="81" t="s">
        <v>30</v>
      </c>
      <c r="E122" s="79" t="s">
        <v>39</v>
      </c>
      <c r="F122" s="77" t="s">
        <v>40</v>
      </c>
      <c r="G122" s="74" t="s">
        <v>31</v>
      </c>
      <c r="H122" s="75" t="s">
        <v>32</v>
      </c>
      <c r="I122" s="78" t="s">
        <v>35</v>
      </c>
      <c r="J122" s="76" t="s">
        <v>139</v>
      </c>
      <c r="K122" s="76" t="s">
        <v>82</v>
      </c>
      <c r="L122" s="77" t="s">
        <v>41</v>
      </c>
      <c r="M122" s="77" t="s">
        <v>42</v>
      </c>
      <c r="N122" s="78" t="s">
        <v>38</v>
      </c>
    </row>
    <row r="123" spans="1:14" ht="24" customHeight="1" thickBot="1" x14ac:dyDescent="0.25">
      <c r="A123" s="224">
        <f>Summary!B36</f>
        <v>7.411202185396322E-2</v>
      </c>
      <c r="B123" s="226">
        <f>Summary!C36</f>
        <v>0.22233606556188965</v>
      </c>
      <c r="C123" s="125">
        <f>Summary!D36</f>
        <v>0.12916666666666668</v>
      </c>
      <c r="D123" s="126">
        <f>Summary!E36</f>
        <v>0.38750000000000001</v>
      </c>
      <c r="E123" s="127">
        <f>Summary!F36</f>
        <v>0.57377049177261841</v>
      </c>
      <c r="F123" s="128">
        <f>Summary!G36</f>
        <v>1</v>
      </c>
      <c r="G123" s="115">
        <f>Summary!H36</f>
        <v>24</v>
      </c>
      <c r="H123" s="116">
        <f>Summary!I36</f>
        <v>8</v>
      </c>
      <c r="I123" s="129">
        <f>Summary!U36</f>
        <v>3135</v>
      </c>
      <c r="J123" s="117">
        <f>Summary!V36</f>
        <v>1.75</v>
      </c>
      <c r="K123" s="117">
        <f>Summary!W36</f>
        <v>3.0500000001629815</v>
      </c>
      <c r="L123" s="118">
        <f>Summary!X36</f>
        <v>66</v>
      </c>
      <c r="M123" s="118">
        <f>Summary!Y36</f>
        <v>46</v>
      </c>
      <c r="N123" s="119">
        <f>Summary!AB36</f>
        <v>1</v>
      </c>
    </row>
  </sheetData>
  <mergeCells count="24">
    <mergeCell ref="B110:C110"/>
    <mergeCell ref="B111:C111"/>
    <mergeCell ref="B112:C112"/>
    <mergeCell ref="B80:C80"/>
    <mergeCell ref="B81:C81"/>
    <mergeCell ref="B107:C107"/>
    <mergeCell ref="B108:C108"/>
    <mergeCell ref="B109:C109"/>
    <mergeCell ref="B79:C79"/>
    <mergeCell ref="B46:C46"/>
    <mergeCell ref="B47:C47"/>
    <mergeCell ref="B48:C48"/>
    <mergeCell ref="B49:C49"/>
    <mergeCell ref="B76:C76"/>
    <mergeCell ref="B77:C77"/>
    <mergeCell ref="B78:C78"/>
    <mergeCell ref="B45:C45"/>
    <mergeCell ref="B13:C13"/>
    <mergeCell ref="B14:C14"/>
    <mergeCell ref="B15:C15"/>
    <mergeCell ref="B16:C16"/>
    <mergeCell ref="B17:C17"/>
    <mergeCell ref="B18:C18"/>
    <mergeCell ref="B44:C44"/>
  </mergeCells>
  <conditionalFormatting sqref="A1:XFD10 A12:XFD41 B11:XFD11 B42:XFD42 B74:XFD74 B105:XFD105 A43:XFD73 A75:XFD83 A87:XFD104 A84:D86 O84:XFD86 E84:N85 A106:XFD114 A119:XFD1048576 A115:D118 O115:XFD118 E115:N117">
    <cfRule type="cellIs" dxfId="14" priority="5" operator="equal">
      <formula>0</formula>
    </cfRule>
  </conditionalFormatting>
  <conditionalFormatting sqref="A11">
    <cfRule type="cellIs" dxfId="13" priority="4" operator="equal">
      <formula>0</formula>
    </cfRule>
  </conditionalFormatting>
  <conditionalFormatting sqref="A42">
    <cfRule type="cellIs" dxfId="12" priority="3" operator="equal">
      <formula>0</formula>
    </cfRule>
  </conditionalFormatting>
  <conditionalFormatting sqref="A74">
    <cfRule type="cellIs" dxfId="11" priority="2" operator="equal">
      <formula>0</formula>
    </cfRule>
  </conditionalFormatting>
  <conditionalFormatting sqref="A105">
    <cfRule type="cellIs" dxfId="10" priority="1" operator="equal">
      <formula>0</formula>
    </cfRule>
  </conditionalFormatting>
  <pageMargins left="0.7" right="0.7" top="0.75" bottom="0.75" header="0.3" footer="0.3"/>
  <pageSetup paperSize="9" orientation="landscape" horizontalDpi="0" verticalDpi="0"/>
  <headerFooter>
    <oddHeader>&amp;C&amp;"Calibri (Body),Regular"&amp;11Bureau</oddHeader>
    <oddFooter>&amp;C&amp;P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B680-8870-914F-9997-70C9737DA7B0}">
  <sheetPr>
    <tabColor rgb="FF7030A0"/>
  </sheetPr>
  <dimension ref="A2:N125"/>
  <sheetViews>
    <sheetView zoomScale="110" zoomScaleNormal="110" workbookViewId="0">
      <selection activeCell="I120" sqref="I120"/>
    </sheetView>
  </sheetViews>
  <sheetFormatPr baseColWidth="10" defaultRowHeight="14" x14ac:dyDescent="0.2"/>
  <cols>
    <col min="1" max="1" width="12.19921875" style="50" customWidth="1"/>
    <col min="2" max="2" width="12.3984375" style="50" customWidth="1"/>
    <col min="3" max="3" width="11" style="50" customWidth="1"/>
    <col min="4" max="4" width="10.3984375" style="51" customWidth="1"/>
    <col min="5" max="5" width="10.3984375" style="50" customWidth="1"/>
    <col min="6" max="6" width="9.3984375" style="50" customWidth="1"/>
    <col min="7" max="7" width="9.59765625" style="50" customWidth="1"/>
    <col min="8" max="8" width="9.796875" style="50" customWidth="1"/>
    <col min="9" max="9" width="10" style="50" customWidth="1"/>
    <col min="10" max="11" width="9.796875" style="50" customWidth="1"/>
    <col min="12" max="12" width="10" style="50" customWidth="1"/>
    <col min="13" max="13" width="9.796875" style="50" customWidth="1"/>
    <col min="14" max="14" width="11" style="50" customWidth="1"/>
    <col min="15" max="16384" width="11" style="50"/>
  </cols>
  <sheetData>
    <row r="2" spans="1:13" x14ac:dyDescent="0.2">
      <c r="A2" s="162" t="str">
        <f>TEXT(Summary!$B$6,"dd/MM/yyyy")&amp;" - "&amp;TEXT(Summary!$D$6,"dd/MM/yyyy")</f>
        <v>19/01/2022 - 19/01/2022</v>
      </c>
      <c r="B2" s="161"/>
      <c r="C2" s="46"/>
      <c r="D2" s="47" t="s">
        <v>130</v>
      </c>
    </row>
    <row r="3" spans="1:13" ht="15" thickBot="1" x14ac:dyDescent="0.25">
      <c r="A3" s="52"/>
      <c r="D3" s="136" t="str">
        <f>_xlfn.CONCAT(SUM(D4:D13)," ","hrs")</f>
        <v>24 hrs</v>
      </c>
      <c r="F3" s="201" t="s">
        <v>140</v>
      </c>
      <c r="G3" s="135">
        <f>SUM(D4:D6)</f>
        <v>3.7</v>
      </c>
      <c r="J3" s="3" t="s">
        <v>90</v>
      </c>
      <c r="K3" s="217">
        <f t="shared" ref="K3:K12" si="0">D4</f>
        <v>3.7</v>
      </c>
      <c r="L3" s="64">
        <f>K3/G$7</f>
        <v>0.15416666666666667</v>
      </c>
    </row>
    <row r="4" spans="1:13" x14ac:dyDescent="0.2">
      <c r="A4" s="110" t="s">
        <v>143</v>
      </c>
      <c r="B4" s="111" t="s">
        <v>90</v>
      </c>
      <c r="C4" s="111"/>
      <c r="D4" s="130">
        <f>Summary!K42</f>
        <v>3.7</v>
      </c>
      <c r="F4" s="201" t="s">
        <v>141</v>
      </c>
      <c r="G4" s="135">
        <f>SUM(D7:D10)</f>
        <v>20.3</v>
      </c>
      <c r="J4" s="3" t="s">
        <v>91</v>
      </c>
      <c r="K4" s="217">
        <f t="shared" si="0"/>
        <v>0</v>
      </c>
      <c r="L4" s="64">
        <f t="shared" ref="L4:L12" si="1">K4/G$7</f>
        <v>0</v>
      </c>
    </row>
    <row r="5" spans="1:13" x14ac:dyDescent="0.2">
      <c r="A5" s="112"/>
      <c r="B5" s="49" t="s">
        <v>91</v>
      </c>
      <c r="C5" s="49"/>
      <c r="D5" s="131">
        <f>Summary!L42</f>
        <v>0</v>
      </c>
      <c r="F5" s="201" t="s">
        <v>147</v>
      </c>
      <c r="G5" s="135">
        <f>SUM(D11:D13)</f>
        <v>0</v>
      </c>
      <c r="J5" s="3" t="s">
        <v>92</v>
      </c>
      <c r="K5" s="217">
        <f t="shared" si="0"/>
        <v>0</v>
      </c>
      <c r="L5" s="64">
        <f t="shared" si="1"/>
        <v>0</v>
      </c>
    </row>
    <row r="6" spans="1:13" ht="15" thickBot="1" x14ac:dyDescent="0.25">
      <c r="A6" s="113"/>
      <c r="B6" s="114" t="s">
        <v>92</v>
      </c>
      <c r="C6" s="114"/>
      <c r="D6" s="132">
        <f>Summary!M42</f>
        <v>0</v>
      </c>
      <c r="F6" s="53" t="s">
        <v>19</v>
      </c>
      <c r="G6" s="135">
        <f>G7-SUM(G3:G5)</f>
        <v>0</v>
      </c>
      <c r="J6" s="3" t="s">
        <v>93</v>
      </c>
      <c r="K6" s="217">
        <f t="shared" si="0"/>
        <v>9.5</v>
      </c>
      <c r="L6" s="64">
        <f t="shared" si="1"/>
        <v>0.39583333333333331</v>
      </c>
    </row>
    <row r="7" spans="1:13" x14ac:dyDescent="0.2">
      <c r="A7" s="107" t="s">
        <v>144</v>
      </c>
      <c r="B7" s="108" t="s">
        <v>93</v>
      </c>
      <c r="C7" s="108"/>
      <c r="D7" s="133">
        <f>Summary!N42</f>
        <v>9.5</v>
      </c>
      <c r="F7" s="53"/>
      <c r="G7" s="54">
        <f>Summary!H24</f>
        <v>24</v>
      </c>
      <c r="J7" s="3" t="s">
        <v>94</v>
      </c>
      <c r="K7" s="217">
        <f t="shared" si="0"/>
        <v>10.3</v>
      </c>
      <c r="L7" s="64">
        <f t="shared" si="1"/>
        <v>0.4291666666666667</v>
      </c>
    </row>
    <row r="8" spans="1:13" x14ac:dyDescent="0.2">
      <c r="A8" s="48" t="s">
        <v>145</v>
      </c>
      <c r="B8" s="49" t="s">
        <v>94</v>
      </c>
      <c r="C8" s="49"/>
      <c r="D8" s="134">
        <f>Summary!O42</f>
        <v>10.3</v>
      </c>
      <c r="J8" s="3" t="s">
        <v>95</v>
      </c>
      <c r="K8" s="217">
        <f t="shared" si="0"/>
        <v>0</v>
      </c>
      <c r="L8" s="64">
        <f t="shared" si="1"/>
        <v>0</v>
      </c>
    </row>
    <row r="9" spans="1:13" x14ac:dyDescent="0.2">
      <c r="A9" s="48"/>
      <c r="B9" s="49" t="s">
        <v>95</v>
      </c>
      <c r="C9" s="49"/>
      <c r="D9" s="134">
        <f>Summary!P42</f>
        <v>0</v>
      </c>
      <c r="J9" s="3" t="s">
        <v>118</v>
      </c>
      <c r="K9" s="217">
        <f t="shared" si="0"/>
        <v>0.5</v>
      </c>
      <c r="L9" s="64">
        <f t="shared" si="1"/>
        <v>2.0833333333333332E-2</v>
      </c>
      <c r="M9" s="73"/>
    </row>
    <row r="10" spans="1:13" x14ac:dyDescent="0.2">
      <c r="A10" s="48"/>
      <c r="B10" s="49" t="s">
        <v>115</v>
      </c>
      <c r="C10" s="49"/>
      <c r="D10" s="134">
        <f>Summary!Q42</f>
        <v>0.5</v>
      </c>
      <c r="J10" s="3" t="s">
        <v>163</v>
      </c>
      <c r="K10" s="217">
        <f t="shared" si="0"/>
        <v>0</v>
      </c>
      <c r="L10" s="64">
        <f t="shared" si="1"/>
        <v>0</v>
      </c>
      <c r="M10" s="73"/>
    </row>
    <row r="11" spans="1:13" x14ac:dyDescent="0.2">
      <c r="A11" s="48" t="s">
        <v>146</v>
      </c>
      <c r="B11" s="49" t="s">
        <v>119</v>
      </c>
      <c r="C11" s="49"/>
      <c r="D11" s="134">
        <f>Summary!R42</f>
        <v>0</v>
      </c>
      <c r="J11" s="3" t="s">
        <v>96</v>
      </c>
      <c r="K11" s="217">
        <f t="shared" si="0"/>
        <v>0</v>
      </c>
      <c r="L11" s="64">
        <f t="shared" si="1"/>
        <v>0</v>
      </c>
      <c r="M11" s="73"/>
    </row>
    <row r="12" spans="1:13" x14ac:dyDescent="0.2">
      <c r="A12" s="48" t="s">
        <v>145</v>
      </c>
      <c r="B12" s="49" t="s">
        <v>96</v>
      </c>
      <c r="C12" s="49"/>
      <c r="D12" s="134">
        <f>Summary!S42</f>
        <v>0</v>
      </c>
      <c r="J12" s="3" t="s">
        <v>164</v>
      </c>
      <c r="K12" s="217">
        <f t="shared" si="0"/>
        <v>0</v>
      </c>
      <c r="L12" s="64">
        <f t="shared" si="1"/>
        <v>0</v>
      </c>
      <c r="M12" s="73"/>
    </row>
    <row r="13" spans="1:13" x14ac:dyDescent="0.2">
      <c r="A13" s="49"/>
      <c r="B13" s="49" t="s">
        <v>97</v>
      </c>
      <c r="C13" s="49"/>
      <c r="D13" s="134">
        <f>Summary!T42</f>
        <v>0</v>
      </c>
      <c r="M13" s="73"/>
    </row>
    <row r="14" spans="1:13" x14ac:dyDescent="0.2">
      <c r="A14" s="49"/>
      <c r="B14" s="286" t="s">
        <v>20</v>
      </c>
      <c r="C14" s="286"/>
      <c r="D14" s="139">
        <f>SUMIFS('Factory Log'!D:D,'Factory Log'!B:B,Bureau!D1,'Factory Log'!C:C,Bureau!B13)</f>
        <v>0</v>
      </c>
    </row>
    <row r="15" spans="1:13" x14ac:dyDescent="0.2">
      <c r="A15" s="49"/>
      <c r="B15" s="286" t="s">
        <v>21</v>
      </c>
      <c r="C15" s="286"/>
      <c r="D15" s="139">
        <f>SUMIFS('Factory Log'!D:D,'Factory Log'!B:B,Bureau!D1,'Factory Log'!C:C,Bureau!B14)</f>
        <v>0</v>
      </c>
    </row>
    <row r="16" spans="1:13" x14ac:dyDescent="0.2">
      <c r="A16" s="49"/>
      <c r="B16" s="286" t="s">
        <v>22</v>
      </c>
      <c r="C16" s="286"/>
      <c r="D16" s="139">
        <f>SUMIFS('Factory Log'!D:D,'Factory Log'!B:B,Bureau!D1,'Factory Log'!C:C,Bureau!B15)</f>
        <v>0</v>
      </c>
    </row>
    <row r="17" spans="1:14" x14ac:dyDescent="0.2">
      <c r="A17" s="49"/>
      <c r="B17" s="286" t="s">
        <v>23</v>
      </c>
      <c r="C17" s="286"/>
      <c r="D17" s="139">
        <f>SUMIFS('Factory Log'!D:D,'Factory Log'!B:B,Bureau!D1,'Factory Log'!C:C,Bureau!B16)</f>
        <v>0</v>
      </c>
    </row>
    <row r="18" spans="1:14" x14ac:dyDescent="0.2">
      <c r="A18" s="49"/>
      <c r="B18" s="286" t="s">
        <v>12</v>
      </c>
      <c r="C18" s="286"/>
      <c r="D18" s="139">
        <f>SUMIFS('Factory Log'!D:D,'Factory Log'!B:B,Bureau!D1,'Factory Log'!C:C,Bureau!B17)</f>
        <v>0</v>
      </c>
    </row>
    <row r="19" spans="1:14" x14ac:dyDescent="0.2">
      <c r="A19" s="49"/>
      <c r="B19" s="286" t="s">
        <v>18</v>
      </c>
      <c r="C19" s="286"/>
      <c r="D19" s="139">
        <f>SUMIFS('Factory Log'!D:D,'Factory Log'!B:B,Bureau!D1,'Factory Log'!C:C,Bureau!B18)</f>
        <v>0</v>
      </c>
    </row>
    <row r="20" spans="1:14" x14ac:dyDescent="0.2">
      <c r="A20" s="109"/>
      <c r="B20" s="109"/>
      <c r="C20" s="109"/>
      <c r="D20" s="109"/>
    </row>
    <row r="21" spans="1:14" x14ac:dyDescent="0.2">
      <c r="E21" s="144" t="s">
        <v>100</v>
      </c>
      <c r="F21" s="66" t="s">
        <v>101</v>
      </c>
      <c r="G21" s="66"/>
      <c r="H21" s="66"/>
      <c r="I21" s="66"/>
      <c r="J21" s="66" t="s">
        <v>102</v>
      </c>
      <c r="K21" s="66"/>
      <c r="L21" s="66"/>
      <c r="M21" s="66" t="s">
        <v>103</v>
      </c>
      <c r="N21" s="233" t="s">
        <v>104</v>
      </c>
    </row>
    <row r="22" spans="1:14" ht="14" customHeight="1" x14ac:dyDescent="0.2">
      <c r="A22" s="219"/>
      <c r="B22" s="219"/>
      <c r="C22" s="219"/>
      <c r="D22" s="219"/>
      <c r="E22" s="234">
        <f>Performance!DR5</f>
        <v>349297</v>
      </c>
      <c r="F22" s="50" t="str">
        <f>Performance!DS5</f>
        <v>Delta Display Ltd</v>
      </c>
      <c r="J22" s="50" t="str">
        <f>Performance!DU5</f>
        <v>Banner - Retail</v>
      </c>
      <c r="M22" s="137">
        <f>Performance!DV5</f>
        <v>3.7166666665580124</v>
      </c>
      <c r="N22" s="51">
        <f>Performance!DW5</f>
        <v>431</v>
      </c>
    </row>
    <row r="23" spans="1:14" ht="14" customHeight="1" x14ac:dyDescent="0.2">
      <c r="A23" s="219"/>
      <c r="B23" s="219"/>
      <c r="C23" s="219"/>
      <c r="D23" s="219"/>
    </row>
    <row r="24" spans="1:14" ht="14" customHeight="1" x14ac:dyDescent="0.2">
      <c r="A24" s="220"/>
      <c r="B24" s="219"/>
      <c r="C24" s="220"/>
      <c r="D24" s="220"/>
      <c r="E24" s="234"/>
      <c r="M24" s="137"/>
      <c r="N24" s="51"/>
    </row>
    <row r="25" spans="1:14" ht="14" customHeight="1" x14ac:dyDescent="0.2">
      <c r="A25" s="219"/>
      <c r="B25" s="219"/>
      <c r="C25" s="220"/>
      <c r="D25" s="220"/>
      <c r="E25" s="234"/>
      <c r="M25" s="137"/>
      <c r="N25" s="51"/>
    </row>
    <row r="26" spans="1:14" x14ac:dyDescent="0.2">
      <c r="E26" s="234"/>
      <c r="M26" s="137"/>
      <c r="N26" s="51"/>
    </row>
    <row r="27" spans="1:14" x14ac:dyDescent="0.2">
      <c r="E27" s="234"/>
      <c r="M27" s="137"/>
      <c r="N27" s="51"/>
    </row>
    <row r="28" spans="1:14" ht="16" customHeight="1" x14ac:dyDescent="0.2">
      <c r="E28" s="234"/>
      <c r="M28" s="137"/>
      <c r="N28" s="51"/>
    </row>
    <row r="29" spans="1:14" ht="16" customHeight="1" thickBot="1" x14ac:dyDescent="0.25">
      <c r="E29" s="234"/>
      <c r="M29" s="137"/>
      <c r="N29" s="51"/>
    </row>
    <row r="30" spans="1:14" ht="39" x14ac:dyDescent="0.2">
      <c r="A30" s="165" t="s">
        <v>174</v>
      </c>
      <c r="B30" s="225" t="s">
        <v>175</v>
      </c>
      <c r="C30" s="80" t="s">
        <v>29</v>
      </c>
      <c r="D30" s="81" t="s">
        <v>30</v>
      </c>
      <c r="E30" s="79" t="s">
        <v>39</v>
      </c>
      <c r="F30" s="264" t="s">
        <v>40</v>
      </c>
      <c r="G30" s="74" t="s">
        <v>31</v>
      </c>
      <c r="H30" s="75" t="s">
        <v>32</v>
      </c>
      <c r="I30" s="78" t="s">
        <v>35</v>
      </c>
      <c r="J30" s="76" t="s">
        <v>139</v>
      </c>
      <c r="K30" s="76" t="s">
        <v>82</v>
      </c>
      <c r="L30" s="264" t="s">
        <v>41</v>
      </c>
      <c r="M30" s="264" t="s">
        <v>42</v>
      </c>
      <c r="N30" s="264" t="s">
        <v>38</v>
      </c>
    </row>
    <row r="31" spans="1:14" ht="24" customHeight="1" thickBot="1" x14ac:dyDescent="0.25">
      <c r="A31" s="224">
        <f>Summary!B42</f>
        <v>0.46872197310787322</v>
      </c>
      <c r="B31" s="226">
        <f>Summary!C42</f>
        <v>0.77581567962682463</v>
      </c>
      <c r="C31" s="125">
        <f>Summary!D42</f>
        <v>0.15416666666666667</v>
      </c>
      <c r="D31" s="126">
        <f>Summary!E42</f>
        <v>0.25517241379310346</v>
      </c>
      <c r="E31" s="127">
        <f>Summary!F42</f>
        <v>3.0403587444835019</v>
      </c>
      <c r="F31" s="268" t="s">
        <v>202</v>
      </c>
      <c r="G31" s="115">
        <f>Summary!H42</f>
        <v>24</v>
      </c>
      <c r="H31" s="116">
        <f>Summary!I42</f>
        <v>14.5</v>
      </c>
      <c r="I31" s="129">
        <f>Summary!U42</f>
        <v>3045</v>
      </c>
      <c r="J31" s="117">
        <f>Summary!V42</f>
        <v>11.3</v>
      </c>
      <c r="K31" s="117">
        <f>Summary!W42</f>
        <v>3.7166666665580124</v>
      </c>
      <c r="L31" s="265" t="s">
        <v>202</v>
      </c>
      <c r="M31" s="265" t="s">
        <v>202</v>
      </c>
      <c r="N31" s="268" t="s">
        <v>202</v>
      </c>
    </row>
    <row r="33" spans="1:13" x14ac:dyDescent="0.2">
      <c r="A33" s="162" t="str">
        <f>TEXT(Summary!$B$6,"dd/MM/yyyy")&amp;" - "&amp;TEXT(Summary!$D$6,"dd/MM/yyyy")</f>
        <v>19/01/2022 - 19/01/2022</v>
      </c>
      <c r="B33" s="46"/>
      <c r="C33" s="55"/>
      <c r="D33" s="47" t="s">
        <v>136</v>
      </c>
    </row>
    <row r="34" spans="1:13" ht="15" thickBot="1" x14ac:dyDescent="0.25">
      <c r="A34" s="52"/>
      <c r="D34" s="136" t="str">
        <f>_xlfn.CONCAT(SUM(D35:D44)," ","hrs")</f>
        <v>24 hrs</v>
      </c>
      <c r="F34" s="201" t="s">
        <v>140</v>
      </c>
      <c r="G34" s="135">
        <f>SUM(D35:D37)</f>
        <v>0</v>
      </c>
      <c r="J34" s="3" t="s">
        <v>90</v>
      </c>
      <c r="K34" s="217">
        <f t="shared" ref="K34:K43" si="2">D35</f>
        <v>0</v>
      </c>
      <c r="L34" s="64">
        <f>K34/G$38</f>
        <v>0</v>
      </c>
    </row>
    <row r="35" spans="1:13" x14ac:dyDescent="0.2">
      <c r="A35" s="110" t="s">
        <v>143</v>
      </c>
      <c r="B35" s="111" t="s">
        <v>90</v>
      </c>
      <c r="C35" s="111"/>
      <c r="D35" s="130">
        <f>Summary!K43</f>
        <v>0</v>
      </c>
      <c r="F35" s="201" t="s">
        <v>141</v>
      </c>
      <c r="G35" s="135">
        <f>SUM(D38:D41)</f>
        <v>12</v>
      </c>
      <c r="J35" s="3" t="s">
        <v>91</v>
      </c>
      <c r="K35" s="217">
        <f t="shared" si="2"/>
        <v>0</v>
      </c>
      <c r="L35" s="64">
        <f t="shared" ref="L35:L43" si="3">K35/G$38</f>
        <v>0</v>
      </c>
    </row>
    <row r="36" spans="1:13" x14ac:dyDescent="0.2">
      <c r="A36" s="112"/>
      <c r="B36" s="49" t="s">
        <v>91</v>
      </c>
      <c r="C36" s="49"/>
      <c r="D36" s="131">
        <f>Summary!L43</f>
        <v>0</v>
      </c>
      <c r="F36" s="201" t="s">
        <v>147</v>
      </c>
      <c r="G36" s="135">
        <f>SUM(D42:D44)</f>
        <v>12</v>
      </c>
      <c r="J36" s="3" t="s">
        <v>92</v>
      </c>
      <c r="K36" s="217">
        <f t="shared" si="2"/>
        <v>0</v>
      </c>
      <c r="L36" s="64">
        <f t="shared" si="3"/>
        <v>0</v>
      </c>
    </row>
    <row r="37" spans="1:13" ht="15" thickBot="1" x14ac:dyDescent="0.25">
      <c r="A37" s="113"/>
      <c r="B37" s="114" t="s">
        <v>92</v>
      </c>
      <c r="C37" s="114"/>
      <c r="D37" s="132">
        <f>Summary!M43</f>
        <v>0</v>
      </c>
      <c r="F37" s="53" t="s">
        <v>19</v>
      </c>
      <c r="G37" s="135">
        <f>G38-SUM(G34:G36)</f>
        <v>0</v>
      </c>
      <c r="J37" s="3" t="s">
        <v>93</v>
      </c>
      <c r="K37" s="217">
        <f t="shared" si="2"/>
        <v>12</v>
      </c>
      <c r="L37" s="64">
        <f t="shared" si="3"/>
        <v>0.5</v>
      </c>
    </row>
    <row r="38" spans="1:13" x14ac:dyDescent="0.2">
      <c r="A38" s="107" t="s">
        <v>144</v>
      </c>
      <c r="B38" s="108" t="s">
        <v>93</v>
      </c>
      <c r="C38" s="108"/>
      <c r="D38" s="133">
        <f>Summary!N43</f>
        <v>12</v>
      </c>
      <c r="F38" s="53"/>
      <c r="G38" s="54">
        <f>Summary!H25</f>
        <v>24</v>
      </c>
      <c r="J38" s="3" t="s">
        <v>94</v>
      </c>
      <c r="K38" s="217">
        <f t="shared" si="2"/>
        <v>0</v>
      </c>
      <c r="L38" s="64">
        <f t="shared" si="3"/>
        <v>0</v>
      </c>
    </row>
    <row r="39" spans="1:13" x14ac:dyDescent="0.2">
      <c r="A39" s="48" t="s">
        <v>145</v>
      </c>
      <c r="B39" s="49" t="s">
        <v>94</v>
      </c>
      <c r="C39" s="49"/>
      <c r="D39" s="134">
        <f>Summary!O43</f>
        <v>0</v>
      </c>
      <c r="J39" s="3" t="s">
        <v>95</v>
      </c>
      <c r="K39" s="217">
        <f t="shared" si="2"/>
        <v>0</v>
      </c>
      <c r="L39" s="64">
        <f t="shared" si="3"/>
        <v>0</v>
      </c>
    </row>
    <row r="40" spans="1:13" x14ac:dyDescent="0.2">
      <c r="A40" s="48"/>
      <c r="B40" s="49" t="s">
        <v>95</v>
      </c>
      <c r="C40" s="49"/>
      <c r="D40" s="134">
        <f>Summary!P43</f>
        <v>0</v>
      </c>
      <c r="J40" s="3" t="s">
        <v>118</v>
      </c>
      <c r="K40" s="217">
        <f t="shared" si="2"/>
        <v>0</v>
      </c>
      <c r="L40" s="64">
        <f t="shared" si="3"/>
        <v>0</v>
      </c>
    </row>
    <row r="41" spans="1:13" x14ac:dyDescent="0.2">
      <c r="A41" s="48"/>
      <c r="B41" s="49" t="s">
        <v>115</v>
      </c>
      <c r="C41" s="49"/>
      <c r="D41" s="134">
        <f>Summary!Q43</f>
        <v>0</v>
      </c>
      <c r="J41" s="3" t="s">
        <v>163</v>
      </c>
      <c r="K41" s="217">
        <f t="shared" si="2"/>
        <v>0</v>
      </c>
      <c r="L41" s="64">
        <f>K41/G$38</f>
        <v>0</v>
      </c>
      <c r="M41" s="73"/>
    </row>
    <row r="42" spans="1:13" x14ac:dyDescent="0.2">
      <c r="A42" s="48" t="s">
        <v>146</v>
      </c>
      <c r="B42" s="49" t="s">
        <v>119</v>
      </c>
      <c r="C42" s="49"/>
      <c r="D42" s="134">
        <f>Summary!R43</f>
        <v>0</v>
      </c>
      <c r="J42" s="3" t="s">
        <v>96</v>
      </c>
      <c r="K42" s="217">
        <f t="shared" si="2"/>
        <v>12</v>
      </c>
      <c r="L42" s="64">
        <f t="shared" si="3"/>
        <v>0.5</v>
      </c>
      <c r="M42" s="73"/>
    </row>
    <row r="43" spans="1:13" x14ac:dyDescent="0.2">
      <c r="A43" s="48" t="s">
        <v>145</v>
      </c>
      <c r="B43" s="49" t="s">
        <v>96</v>
      </c>
      <c r="C43" s="49"/>
      <c r="D43" s="134">
        <f>Summary!S43</f>
        <v>12</v>
      </c>
      <c r="J43" s="3" t="s">
        <v>164</v>
      </c>
      <c r="K43" s="217">
        <f t="shared" si="2"/>
        <v>0</v>
      </c>
      <c r="L43" s="64">
        <f t="shared" si="3"/>
        <v>0</v>
      </c>
      <c r="M43" s="73"/>
    </row>
    <row r="44" spans="1:13" x14ac:dyDescent="0.2">
      <c r="A44" s="49"/>
      <c r="B44" s="49" t="s">
        <v>97</v>
      </c>
      <c r="C44" s="49"/>
      <c r="D44" s="134">
        <f>Summary!T43</f>
        <v>0</v>
      </c>
      <c r="M44" s="73"/>
    </row>
    <row r="45" spans="1:13" x14ac:dyDescent="0.2">
      <c r="A45" s="49"/>
      <c r="B45" s="286" t="s">
        <v>20</v>
      </c>
      <c r="C45" s="286"/>
      <c r="D45" s="139">
        <f>SUMIFS('Factory Log'!D:D,'Factory Log'!B:B,Bureau!D32,'Factory Log'!C:C,Bureau!B44)</f>
        <v>0</v>
      </c>
      <c r="M45" s="73"/>
    </row>
    <row r="46" spans="1:13" x14ac:dyDescent="0.2">
      <c r="A46" s="49"/>
      <c r="B46" s="286" t="s">
        <v>21</v>
      </c>
      <c r="C46" s="286"/>
      <c r="D46" s="139">
        <f>SUMIFS('Factory Log'!D:D,'Factory Log'!B:B,Bureau!D32,'Factory Log'!C:C,Bureau!B45)</f>
        <v>0</v>
      </c>
    </row>
    <row r="47" spans="1:13" x14ac:dyDescent="0.2">
      <c r="A47" s="49"/>
      <c r="B47" s="286" t="s">
        <v>22</v>
      </c>
      <c r="C47" s="286"/>
      <c r="D47" s="139">
        <f>SUMIFS('Factory Log'!D:D,'Factory Log'!B:B,Bureau!D32,'Factory Log'!C:C,Bureau!B46)</f>
        <v>0</v>
      </c>
    </row>
    <row r="48" spans="1:13" x14ac:dyDescent="0.2">
      <c r="A48" s="49"/>
      <c r="B48" s="286" t="s">
        <v>23</v>
      </c>
      <c r="C48" s="286"/>
      <c r="D48" s="139">
        <f>SUMIFS('Factory Log'!D:D,'Factory Log'!B:B,Bureau!D32,'Factory Log'!C:C,Bureau!B47)</f>
        <v>0</v>
      </c>
    </row>
    <row r="49" spans="1:14" x14ac:dyDescent="0.2">
      <c r="A49" s="49"/>
      <c r="B49" s="286" t="s">
        <v>12</v>
      </c>
      <c r="C49" s="286"/>
      <c r="D49" s="139">
        <f>SUMIFS('Factory Log'!D:D,'Factory Log'!B:B,Bureau!D32,'Factory Log'!C:C,Bureau!B48)</f>
        <v>0</v>
      </c>
    </row>
    <row r="50" spans="1:14" x14ac:dyDescent="0.2">
      <c r="A50" s="49"/>
      <c r="B50" s="286" t="s">
        <v>18</v>
      </c>
      <c r="C50" s="286"/>
      <c r="D50" s="139">
        <f>SUMIFS('Factory Log'!D:D,'Factory Log'!B:B,Bureau!D32,'Factory Log'!C:C,Bureau!B49)</f>
        <v>0</v>
      </c>
    </row>
    <row r="51" spans="1:14" x14ac:dyDescent="0.2">
      <c r="A51" s="109"/>
      <c r="B51" s="109"/>
      <c r="C51" s="109"/>
      <c r="D51" s="109"/>
    </row>
    <row r="52" spans="1:14" x14ac:dyDescent="0.2">
      <c r="E52" s="144" t="s">
        <v>100</v>
      </c>
      <c r="F52" s="66" t="s">
        <v>101</v>
      </c>
      <c r="G52" s="66"/>
      <c r="H52" s="66"/>
      <c r="I52" s="66"/>
      <c r="J52" s="66" t="s">
        <v>102</v>
      </c>
      <c r="K52" s="66"/>
      <c r="L52" s="66"/>
      <c r="M52" s="66" t="s">
        <v>103</v>
      </c>
      <c r="N52" s="66" t="s">
        <v>104</v>
      </c>
    </row>
    <row r="53" spans="1:14" ht="14" customHeight="1" x14ac:dyDescent="0.2">
      <c r="A53" s="219"/>
      <c r="B53" s="219"/>
      <c r="C53" s="219"/>
      <c r="D53" s="219"/>
      <c r="E53" s="234"/>
      <c r="M53" s="137"/>
      <c r="N53" s="51"/>
    </row>
    <row r="54" spans="1:14" ht="14" customHeight="1" x14ac:dyDescent="0.2">
      <c r="A54" s="219"/>
      <c r="B54" s="219"/>
      <c r="C54" s="219"/>
      <c r="D54" s="219"/>
      <c r="E54" s="234"/>
      <c r="M54" s="137"/>
      <c r="N54" s="51"/>
    </row>
    <row r="55" spans="1:14" ht="14" customHeight="1" x14ac:dyDescent="0.2">
      <c r="A55" s="220"/>
      <c r="B55" s="219"/>
      <c r="C55" s="220"/>
      <c r="D55" s="220"/>
      <c r="E55" s="234"/>
      <c r="M55" s="137"/>
      <c r="N55" s="51"/>
    </row>
    <row r="56" spans="1:14" ht="14" customHeight="1" x14ac:dyDescent="0.2">
      <c r="A56" s="219"/>
      <c r="B56" s="219"/>
      <c r="C56" s="220"/>
      <c r="D56" s="220"/>
      <c r="E56" s="234"/>
      <c r="M56" s="137"/>
      <c r="N56" s="51"/>
    </row>
    <row r="57" spans="1:14" ht="14" customHeight="1" x14ac:dyDescent="0.2">
      <c r="E57" s="234"/>
      <c r="M57" s="137"/>
      <c r="N57" s="51"/>
    </row>
    <row r="58" spans="1:14" ht="14" customHeight="1" x14ac:dyDescent="0.2">
      <c r="E58" s="234"/>
      <c r="M58" s="137"/>
      <c r="N58" s="51"/>
    </row>
    <row r="59" spans="1:14" x14ac:dyDescent="0.2">
      <c r="D59" s="50"/>
      <c r="E59" s="234"/>
      <c r="M59" s="137"/>
      <c r="N59" s="51"/>
    </row>
    <row r="60" spans="1:14" ht="17" customHeight="1" thickBot="1" x14ac:dyDescent="0.25">
      <c r="D60" s="50"/>
      <c r="E60" s="234"/>
      <c r="M60" s="137"/>
      <c r="N60" s="51"/>
    </row>
    <row r="61" spans="1:14" ht="37" customHeight="1" x14ac:dyDescent="0.2">
      <c r="A61" s="165" t="s">
        <v>174</v>
      </c>
      <c r="B61" s="225" t="s">
        <v>175</v>
      </c>
      <c r="C61" s="80" t="s">
        <v>29</v>
      </c>
      <c r="D61" s="81" t="s">
        <v>30</v>
      </c>
      <c r="E61" s="79" t="s">
        <v>39</v>
      </c>
      <c r="F61" s="264" t="s">
        <v>40</v>
      </c>
      <c r="G61" s="74" t="s">
        <v>31</v>
      </c>
      <c r="H61" s="75" t="s">
        <v>32</v>
      </c>
      <c r="I61" s="78" t="s">
        <v>35</v>
      </c>
      <c r="J61" s="76" t="s">
        <v>139</v>
      </c>
      <c r="K61" s="76" t="s">
        <v>82</v>
      </c>
      <c r="L61" s="264" t="s">
        <v>41</v>
      </c>
      <c r="M61" s="264" t="s">
        <v>42</v>
      </c>
      <c r="N61" s="78" t="s">
        <v>38</v>
      </c>
    </row>
    <row r="62" spans="1:14" ht="20" customHeight="1" thickBot="1" x14ac:dyDescent="0.25">
      <c r="A62" s="224">
        <f>Summary!B43</f>
        <v>0</v>
      </c>
      <c r="B62" s="226">
        <f>Summary!C43</f>
        <v>0</v>
      </c>
      <c r="C62" s="125">
        <f>Summary!D43</f>
        <v>0</v>
      </c>
      <c r="D62" s="126">
        <f>Summary!E43</f>
        <v>0</v>
      </c>
      <c r="E62" s="127">
        <f>Summary!F43</f>
        <v>0</v>
      </c>
      <c r="F62" s="268" t="s">
        <v>202</v>
      </c>
      <c r="G62" s="115">
        <f>Summary!H43</f>
        <v>24</v>
      </c>
      <c r="H62" s="116">
        <f>Summary!I43</f>
        <v>12</v>
      </c>
      <c r="I62" s="129">
        <f>Summary!U43</f>
        <v>3600</v>
      </c>
      <c r="J62" s="117">
        <f>Summary!V43</f>
        <v>0</v>
      </c>
      <c r="K62" s="117">
        <f>Summary!W43</f>
        <v>0</v>
      </c>
      <c r="L62" s="265" t="s">
        <v>202</v>
      </c>
      <c r="M62" s="265" t="s">
        <v>202</v>
      </c>
      <c r="N62" s="119">
        <f>Summary!AB43</f>
        <v>0</v>
      </c>
    </row>
    <row r="65" spans="1:12" x14ac:dyDescent="0.2">
      <c r="A65" s="162" t="str">
        <f>TEXT(Summary!$B$6,"dd/MM/yyyy")&amp;" - "&amp;TEXT(Summary!$D$6,"dd/MM/yyyy")</f>
        <v>19/01/2022 - 19/01/2022</v>
      </c>
      <c r="B65" s="46"/>
      <c r="C65" s="55"/>
      <c r="D65" s="47" t="s">
        <v>131</v>
      </c>
    </row>
    <row r="66" spans="1:12" ht="15" thickBot="1" x14ac:dyDescent="0.25">
      <c r="A66" s="52"/>
      <c r="D66" s="136" t="str">
        <f>_xlfn.CONCAT(SUM(D67:D76)," ","hrs")</f>
        <v>24 hrs</v>
      </c>
      <c r="F66" s="201" t="s">
        <v>140</v>
      </c>
      <c r="G66" s="135">
        <f>SUM(D67:D69)</f>
        <v>18.5</v>
      </c>
      <c r="J66" s="3" t="s">
        <v>90</v>
      </c>
      <c r="K66" s="217">
        <f t="shared" ref="K66:K75" si="4">D67</f>
        <v>18.5</v>
      </c>
      <c r="L66" s="64">
        <f>K66/G$70</f>
        <v>0.77083333333333337</v>
      </c>
    </row>
    <row r="67" spans="1:12" x14ac:dyDescent="0.2">
      <c r="A67" s="110" t="s">
        <v>143</v>
      </c>
      <c r="B67" s="111" t="s">
        <v>90</v>
      </c>
      <c r="C67" s="111"/>
      <c r="D67" s="130">
        <f>Summary!K44</f>
        <v>18.5</v>
      </c>
      <c r="F67" s="201" t="s">
        <v>141</v>
      </c>
      <c r="G67" s="135">
        <f>SUM(D70:D73)</f>
        <v>5.5000000000000009</v>
      </c>
      <c r="J67" s="3" t="s">
        <v>91</v>
      </c>
      <c r="K67" s="217">
        <f t="shared" si="4"/>
        <v>0</v>
      </c>
      <c r="L67" s="64">
        <f t="shared" ref="L67:L75" si="5">K67/G$70</f>
        <v>0</v>
      </c>
    </row>
    <row r="68" spans="1:12" x14ac:dyDescent="0.2">
      <c r="A68" s="112"/>
      <c r="B68" s="49" t="s">
        <v>91</v>
      </c>
      <c r="C68" s="49"/>
      <c r="D68" s="131">
        <f>Summary!L44</f>
        <v>0</v>
      </c>
      <c r="F68" s="201" t="s">
        <v>147</v>
      </c>
      <c r="G68" s="135">
        <f>SUM(D74:D76)</f>
        <v>0</v>
      </c>
      <c r="J68" s="3" t="s">
        <v>92</v>
      </c>
      <c r="K68" s="217">
        <f t="shared" si="4"/>
        <v>0</v>
      </c>
      <c r="L68" s="64">
        <f t="shared" si="5"/>
        <v>0</v>
      </c>
    </row>
    <row r="69" spans="1:12" ht="15" thickBot="1" x14ac:dyDescent="0.25">
      <c r="A69" s="113"/>
      <c r="B69" s="114" t="s">
        <v>92</v>
      </c>
      <c r="C69" s="114"/>
      <c r="D69" s="132">
        <f>Summary!M44</f>
        <v>0</v>
      </c>
      <c r="F69" s="53" t="s">
        <v>19</v>
      </c>
      <c r="G69" s="135">
        <f>G70-SUM(G66:G68)</f>
        <v>0</v>
      </c>
      <c r="J69" s="3" t="s">
        <v>93</v>
      </c>
      <c r="K69" s="217">
        <f t="shared" si="4"/>
        <v>0</v>
      </c>
      <c r="L69" s="64">
        <f t="shared" si="5"/>
        <v>0</v>
      </c>
    </row>
    <row r="70" spans="1:12" x14ac:dyDescent="0.2">
      <c r="A70" s="107" t="s">
        <v>144</v>
      </c>
      <c r="B70" s="108" t="s">
        <v>93</v>
      </c>
      <c r="C70" s="108"/>
      <c r="D70" s="133">
        <f>Summary!N44</f>
        <v>0</v>
      </c>
      <c r="F70" s="53"/>
      <c r="G70" s="54">
        <f>Summary!H26</f>
        <v>24</v>
      </c>
      <c r="J70" s="3" t="s">
        <v>94</v>
      </c>
      <c r="K70" s="217">
        <f t="shared" si="4"/>
        <v>5.1000000000000005</v>
      </c>
      <c r="L70" s="64">
        <f t="shared" si="5"/>
        <v>0.21250000000000002</v>
      </c>
    </row>
    <row r="71" spans="1:12" x14ac:dyDescent="0.2">
      <c r="A71" s="48" t="s">
        <v>145</v>
      </c>
      <c r="B71" s="49" t="s">
        <v>94</v>
      </c>
      <c r="C71" s="49"/>
      <c r="D71" s="134">
        <f>Summary!O44</f>
        <v>5.1000000000000005</v>
      </c>
      <c r="J71" s="3" t="s">
        <v>95</v>
      </c>
      <c r="K71" s="217">
        <f t="shared" si="4"/>
        <v>0</v>
      </c>
      <c r="L71" s="64">
        <f t="shared" si="5"/>
        <v>0</v>
      </c>
    </row>
    <row r="72" spans="1:12" x14ac:dyDescent="0.2">
      <c r="A72" s="48"/>
      <c r="B72" s="49" t="s">
        <v>95</v>
      </c>
      <c r="C72" s="49"/>
      <c r="D72" s="134">
        <f>Summary!P44</f>
        <v>0</v>
      </c>
      <c r="J72" s="3" t="s">
        <v>118</v>
      </c>
      <c r="K72" s="217">
        <f t="shared" si="4"/>
        <v>0.4</v>
      </c>
      <c r="L72" s="64">
        <f t="shared" si="5"/>
        <v>1.6666666666666666E-2</v>
      </c>
    </row>
    <row r="73" spans="1:12" x14ac:dyDescent="0.2">
      <c r="A73" s="48"/>
      <c r="B73" s="49" t="s">
        <v>115</v>
      </c>
      <c r="C73" s="49"/>
      <c r="D73" s="134">
        <f>Summary!Q44</f>
        <v>0.4</v>
      </c>
      <c r="J73" s="3" t="s">
        <v>163</v>
      </c>
      <c r="K73" s="217">
        <f t="shared" si="4"/>
        <v>0</v>
      </c>
      <c r="L73" s="64">
        <f t="shared" si="5"/>
        <v>0</v>
      </c>
    </row>
    <row r="74" spans="1:12" x14ac:dyDescent="0.2">
      <c r="A74" s="48" t="s">
        <v>146</v>
      </c>
      <c r="B74" s="49" t="s">
        <v>119</v>
      </c>
      <c r="C74" s="49"/>
      <c r="D74" s="134">
        <f>Summary!R44</f>
        <v>0</v>
      </c>
      <c r="J74" s="3" t="s">
        <v>96</v>
      </c>
      <c r="K74" s="217">
        <f t="shared" si="4"/>
        <v>0</v>
      </c>
      <c r="L74" s="64">
        <f t="shared" si="5"/>
        <v>0</v>
      </c>
    </row>
    <row r="75" spans="1:12" x14ac:dyDescent="0.2">
      <c r="A75" s="48" t="s">
        <v>145</v>
      </c>
      <c r="B75" s="49" t="s">
        <v>96</v>
      </c>
      <c r="C75" s="49"/>
      <c r="D75" s="134">
        <f>Summary!S44</f>
        <v>0</v>
      </c>
      <c r="J75" s="3" t="s">
        <v>164</v>
      </c>
      <c r="K75" s="217">
        <f t="shared" si="4"/>
        <v>0</v>
      </c>
      <c r="L75" s="64">
        <f t="shared" si="5"/>
        <v>0</v>
      </c>
    </row>
    <row r="76" spans="1:12" x14ac:dyDescent="0.2">
      <c r="A76" s="49"/>
      <c r="B76" s="49" t="s">
        <v>97</v>
      </c>
      <c r="C76" s="49"/>
      <c r="D76" s="134">
        <f>Summary!T44</f>
        <v>0</v>
      </c>
    </row>
    <row r="77" spans="1:12" x14ac:dyDescent="0.2">
      <c r="A77" s="49"/>
      <c r="B77" s="286" t="s">
        <v>20</v>
      </c>
      <c r="C77" s="286"/>
      <c r="D77" s="139">
        <f>SUMIFS('Factory Log'!D:D,'Factory Log'!B:B,Bureau!D64,'Factory Log'!C:C,Bureau!B76)</f>
        <v>0</v>
      </c>
    </row>
    <row r="78" spans="1:12" x14ac:dyDescent="0.2">
      <c r="A78" s="49"/>
      <c r="B78" s="286" t="s">
        <v>21</v>
      </c>
      <c r="C78" s="286"/>
      <c r="D78" s="139">
        <f>SUMIFS('Factory Log'!D:D,'Factory Log'!B:B,Bureau!D64,'Factory Log'!C:C,Bureau!B77)</f>
        <v>0</v>
      </c>
    </row>
    <row r="79" spans="1:12" x14ac:dyDescent="0.2">
      <c r="A79" s="49"/>
      <c r="B79" s="286" t="s">
        <v>22</v>
      </c>
      <c r="C79" s="286"/>
      <c r="D79" s="139">
        <f>SUMIFS('Factory Log'!D:D,'Factory Log'!B:B,Bureau!D64,'Factory Log'!C:C,Bureau!B78)</f>
        <v>0</v>
      </c>
    </row>
    <row r="80" spans="1:12" x14ac:dyDescent="0.2">
      <c r="A80" s="49"/>
      <c r="B80" s="286" t="s">
        <v>23</v>
      </c>
      <c r="C80" s="286"/>
      <c r="D80" s="139">
        <f>SUMIFS('Factory Log'!D:D,'Factory Log'!B:B,Bureau!D64,'Factory Log'!C:C,Bureau!B79)</f>
        <v>0</v>
      </c>
    </row>
    <row r="81" spans="1:14" x14ac:dyDescent="0.2">
      <c r="A81" s="49"/>
      <c r="B81" s="286" t="s">
        <v>12</v>
      </c>
      <c r="C81" s="286"/>
      <c r="D81" s="139">
        <f>SUMIFS('Factory Log'!D:D,'Factory Log'!B:B,Bureau!D64,'Factory Log'!C:C,Bureau!B80)</f>
        <v>0</v>
      </c>
    </row>
    <row r="82" spans="1:14" x14ac:dyDescent="0.2">
      <c r="A82" s="49"/>
      <c r="B82" s="286" t="s">
        <v>18</v>
      </c>
      <c r="C82" s="286"/>
      <c r="D82" s="139">
        <f>SUMIFS('Factory Log'!D:D,'Factory Log'!B:B,Bureau!D64,'Factory Log'!C:C,Bureau!B81)</f>
        <v>0</v>
      </c>
    </row>
    <row r="83" spans="1:14" x14ac:dyDescent="0.2">
      <c r="A83" s="109"/>
      <c r="B83" s="109"/>
      <c r="C83" s="109"/>
      <c r="D83" s="109"/>
    </row>
    <row r="84" spans="1:14" x14ac:dyDescent="0.2">
      <c r="E84" s="144" t="s">
        <v>100</v>
      </c>
      <c r="F84" s="66" t="s">
        <v>101</v>
      </c>
      <c r="G84" s="66"/>
      <c r="H84" s="66"/>
      <c r="I84" s="66"/>
      <c r="J84" s="66" t="s">
        <v>102</v>
      </c>
      <c r="K84" s="66"/>
      <c r="L84" s="66"/>
      <c r="M84" s="66" t="s">
        <v>103</v>
      </c>
      <c r="N84" s="66" t="s">
        <v>104</v>
      </c>
    </row>
    <row r="85" spans="1:14" ht="14" customHeight="1" x14ac:dyDescent="0.2">
      <c r="A85" s="229"/>
      <c r="B85" s="229"/>
      <c r="C85" s="229"/>
      <c r="D85" s="229"/>
      <c r="E85" s="234">
        <f>Performance!EN4</f>
        <v>349247.01</v>
      </c>
      <c r="F85" s="50" t="str">
        <f>Performance!EO4</f>
        <v>HH Associates - Asda</v>
      </c>
      <c r="J85" s="50" t="str">
        <f>Performance!EQ4</f>
        <v>Wrap</v>
      </c>
      <c r="M85" s="137">
        <f>Performance!ER4</f>
        <v>3.9500000001280569</v>
      </c>
      <c r="N85" s="51">
        <f>Performance!ES4</f>
        <v>70</v>
      </c>
    </row>
    <row r="86" spans="1:14" ht="14" customHeight="1" x14ac:dyDescent="0.2">
      <c r="A86" s="229"/>
      <c r="B86" s="229"/>
      <c r="C86" s="229"/>
      <c r="D86" s="229"/>
      <c r="E86" s="234">
        <f>Performance!EN6</f>
        <v>349069.01</v>
      </c>
      <c r="F86" s="50" t="str">
        <f>Performance!EO6</f>
        <v>HH Associates - Asda</v>
      </c>
      <c r="J86" s="50" t="str">
        <f>Performance!EQ6</f>
        <v>Wrap</v>
      </c>
      <c r="M86" s="137">
        <f>Performance!ER6</f>
        <v>14.533333333209157</v>
      </c>
      <c r="N86" s="51">
        <f>Performance!ES6</f>
        <v>899</v>
      </c>
    </row>
    <row r="87" spans="1:14" ht="14" customHeight="1" x14ac:dyDescent="0.2">
      <c r="A87" s="230"/>
      <c r="B87" s="229"/>
      <c r="C87" s="230"/>
      <c r="D87" s="230"/>
    </row>
    <row r="88" spans="1:14" ht="14" customHeight="1" x14ac:dyDescent="0.2">
      <c r="A88" s="229"/>
      <c r="B88" s="229"/>
      <c r="C88" s="230"/>
      <c r="D88" s="230"/>
      <c r="E88" s="234"/>
      <c r="M88" s="137"/>
      <c r="N88" s="51"/>
    </row>
    <row r="89" spans="1:14" x14ac:dyDescent="0.2">
      <c r="A89" s="231"/>
      <c r="B89" s="231"/>
      <c r="C89" s="231"/>
      <c r="D89" s="232"/>
      <c r="E89" s="234"/>
      <c r="M89" s="137"/>
      <c r="N89" s="51"/>
    </row>
    <row r="90" spans="1:14" x14ac:dyDescent="0.2">
      <c r="D90" s="50"/>
      <c r="E90" s="234"/>
      <c r="M90" s="137"/>
      <c r="N90" s="51"/>
    </row>
    <row r="91" spans="1:14" ht="15" customHeight="1" x14ac:dyDescent="0.2">
      <c r="D91" s="50"/>
      <c r="E91" s="234"/>
      <c r="M91" s="137"/>
      <c r="N91" s="51"/>
    </row>
    <row r="92" spans="1:14" ht="15" thickBot="1" x14ac:dyDescent="0.25">
      <c r="E92" s="234"/>
      <c r="M92" s="137"/>
      <c r="N92" s="51"/>
    </row>
    <row r="93" spans="1:14" ht="39" x14ac:dyDescent="0.2">
      <c r="A93" s="165" t="s">
        <v>174</v>
      </c>
      <c r="B93" s="225" t="s">
        <v>175</v>
      </c>
      <c r="C93" s="80" t="s">
        <v>29</v>
      </c>
      <c r="D93" s="81" t="s">
        <v>30</v>
      </c>
      <c r="E93" s="79" t="s">
        <v>39</v>
      </c>
      <c r="F93" s="264" t="s">
        <v>40</v>
      </c>
      <c r="G93" s="74" t="s">
        <v>31</v>
      </c>
      <c r="H93" s="75" t="s">
        <v>32</v>
      </c>
      <c r="I93" s="78" t="s">
        <v>35</v>
      </c>
      <c r="J93" s="76" t="s">
        <v>139</v>
      </c>
      <c r="K93" s="76" t="s">
        <v>82</v>
      </c>
      <c r="L93" s="264" t="s">
        <v>41</v>
      </c>
      <c r="M93" s="264" t="s">
        <v>42</v>
      </c>
      <c r="N93" s="78" t="s">
        <v>38</v>
      </c>
    </row>
    <row r="94" spans="1:14" ht="22" customHeight="1" thickBot="1" x14ac:dyDescent="0.25">
      <c r="A94" s="224">
        <f>Summary!B44</f>
        <v>0.33773072972162754</v>
      </c>
      <c r="B94" s="226">
        <f>Summary!C44</f>
        <v>0.33773072972162754</v>
      </c>
      <c r="C94" s="125">
        <f>Summary!D44</f>
        <v>0.77083333333333337</v>
      </c>
      <c r="D94" s="126">
        <f>Summary!E44</f>
        <v>0.77083333333333337</v>
      </c>
      <c r="E94" s="127">
        <f>Summary!F44</f>
        <v>0.43813716288211141</v>
      </c>
      <c r="F94" s="268" t="s">
        <v>202</v>
      </c>
      <c r="G94" s="115">
        <f>Summary!H44</f>
        <v>24</v>
      </c>
      <c r="H94" s="116">
        <f>Summary!I44</f>
        <v>24</v>
      </c>
      <c r="I94" s="129">
        <f>Summary!U44</f>
        <v>825.00000000000011</v>
      </c>
      <c r="J94" s="117">
        <f>Summary!V44</f>
        <v>8.0982352272727258</v>
      </c>
      <c r="K94" s="117">
        <f>Summary!W44</f>
        <v>18.483333333337214</v>
      </c>
      <c r="L94" s="265" t="s">
        <v>202</v>
      </c>
      <c r="M94" s="265" t="s">
        <v>202</v>
      </c>
      <c r="N94" s="119">
        <f>Summary!AB44</f>
        <v>0</v>
      </c>
    </row>
    <row r="97" spans="1:13" x14ac:dyDescent="0.2">
      <c r="A97" s="162" t="str">
        <f>TEXT(Summary!$B$6,"dd/MM/yyyy")&amp;" - "&amp;TEXT(Summary!$D$6,"dd/MM/yyyy")</f>
        <v>19/01/2022 - 19/01/2022</v>
      </c>
      <c r="B97" s="46"/>
      <c r="C97" s="55"/>
      <c r="D97" s="47" t="s">
        <v>132</v>
      </c>
    </row>
    <row r="98" spans="1:13" ht="15" thickBot="1" x14ac:dyDescent="0.25">
      <c r="A98" s="52"/>
      <c r="D98" s="136" t="str">
        <f>_xlfn.CONCAT(SUM(D99:D108)," ","hrs")</f>
        <v>24 hrs</v>
      </c>
      <c r="F98" s="201" t="s">
        <v>140</v>
      </c>
      <c r="G98" s="135">
        <f>SUM(D99:D101)</f>
        <v>8.5</v>
      </c>
      <c r="J98" s="3" t="s">
        <v>90</v>
      </c>
      <c r="K98" s="217">
        <f t="shared" ref="K98:K107" si="6">D99</f>
        <v>8.5</v>
      </c>
      <c r="L98" s="64">
        <f>K98/G$102</f>
        <v>0.35416666666666669</v>
      </c>
    </row>
    <row r="99" spans="1:13" x14ac:dyDescent="0.2">
      <c r="A99" s="110" t="s">
        <v>143</v>
      </c>
      <c r="B99" s="111" t="s">
        <v>90</v>
      </c>
      <c r="C99" s="111"/>
      <c r="D99" s="130">
        <f>Summary!K45</f>
        <v>8.5</v>
      </c>
      <c r="F99" s="201" t="s">
        <v>141</v>
      </c>
      <c r="G99" s="135">
        <f>SUM(D102:D105)</f>
        <v>15.5</v>
      </c>
      <c r="J99" s="3" t="s">
        <v>91</v>
      </c>
      <c r="K99" s="217">
        <f t="shared" si="6"/>
        <v>0</v>
      </c>
      <c r="L99" s="64">
        <f t="shared" ref="L99:L107" si="7">K99/G$102</f>
        <v>0</v>
      </c>
    </row>
    <row r="100" spans="1:13" x14ac:dyDescent="0.2">
      <c r="A100" s="112"/>
      <c r="B100" s="49" t="s">
        <v>91</v>
      </c>
      <c r="C100" s="49"/>
      <c r="D100" s="131">
        <f>Summary!L45</f>
        <v>0</v>
      </c>
      <c r="F100" s="201" t="s">
        <v>147</v>
      </c>
      <c r="G100" s="135">
        <f>SUM(D106:D108)</f>
        <v>0</v>
      </c>
      <c r="J100" s="3" t="s">
        <v>92</v>
      </c>
      <c r="K100" s="217">
        <f t="shared" si="6"/>
        <v>0</v>
      </c>
      <c r="L100" s="64">
        <f t="shared" si="7"/>
        <v>0</v>
      </c>
    </row>
    <row r="101" spans="1:13" ht="15" thickBot="1" x14ac:dyDescent="0.25">
      <c r="A101" s="113"/>
      <c r="B101" s="114" t="s">
        <v>92</v>
      </c>
      <c r="C101" s="114"/>
      <c r="D101" s="132">
        <f>Summary!M45</f>
        <v>0</v>
      </c>
      <c r="F101" s="53" t="s">
        <v>19</v>
      </c>
      <c r="G101" s="135">
        <f>G102-SUM(G98:G100)</f>
        <v>0</v>
      </c>
      <c r="J101" s="3" t="s">
        <v>93</v>
      </c>
      <c r="K101" s="217">
        <f t="shared" si="6"/>
        <v>12</v>
      </c>
      <c r="L101" s="64">
        <f t="shared" si="7"/>
        <v>0.5</v>
      </c>
    </row>
    <row r="102" spans="1:13" x14ac:dyDescent="0.2">
      <c r="A102" s="107" t="s">
        <v>144</v>
      </c>
      <c r="B102" s="108" t="s">
        <v>93</v>
      </c>
      <c r="C102" s="108"/>
      <c r="D102" s="133">
        <f>Summary!N45</f>
        <v>12</v>
      </c>
      <c r="F102" s="53"/>
      <c r="G102" s="54">
        <f>Summary!H27</f>
        <v>24</v>
      </c>
      <c r="J102" s="3" t="s">
        <v>94</v>
      </c>
      <c r="K102" s="217">
        <f t="shared" si="6"/>
        <v>1.4000000000000001</v>
      </c>
      <c r="L102" s="64">
        <f t="shared" si="7"/>
        <v>5.8333333333333341E-2</v>
      </c>
    </row>
    <row r="103" spans="1:13" x14ac:dyDescent="0.2">
      <c r="A103" s="48" t="s">
        <v>145</v>
      </c>
      <c r="B103" s="49" t="s">
        <v>94</v>
      </c>
      <c r="C103" s="49"/>
      <c r="D103" s="134">
        <f>Summary!O45</f>
        <v>1.4000000000000001</v>
      </c>
      <c r="J103" s="3" t="s">
        <v>95</v>
      </c>
      <c r="K103" s="217">
        <f t="shared" si="6"/>
        <v>0</v>
      </c>
      <c r="L103" s="64">
        <f t="shared" si="7"/>
        <v>0</v>
      </c>
    </row>
    <row r="104" spans="1:13" x14ac:dyDescent="0.2">
      <c r="A104" s="48"/>
      <c r="B104" s="49" t="s">
        <v>95</v>
      </c>
      <c r="C104" s="49"/>
      <c r="D104" s="134">
        <f>Summary!P45</f>
        <v>0</v>
      </c>
      <c r="J104" s="3" t="s">
        <v>118</v>
      </c>
      <c r="K104" s="217">
        <f t="shared" si="6"/>
        <v>2.1</v>
      </c>
      <c r="L104" s="64">
        <f t="shared" si="7"/>
        <v>8.7500000000000008E-2</v>
      </c>
    </row>
    <row r="105" spans="1:13" x14ac:dyDescent="0.2">
      <c r="A105" s="48"/>
      <c r="B105" s="49" t="s">
        <v>115</v>
      </c>
      <c r="C105" s="49"/>
      <c r="D105" s="134">
        <f>Summary!Q45</f>
        <v>2.1</v>
      </c>
      <c r="J105" s="3" t="s">
        <v>163</v>
      </c>
      <c r="K105" s="217">
        <f t="shared" si="6"/>
        <v>0</v>
      </c>
      <c r="L105" s="64">
        <f t="shared" si="7"/>
        <v>0</v>
      </c>
      <c r="M105" s="73"/>
    </row>
    <row r="106" spans="1:13" x14ac:dyDescent="0.2">
      <c r="A106" s="48" t="s">
        <v>146</v>
      </c>
      <c r="B106" s="49" t="s">
        <v>119</v>
      </c>
      <c r="C106" s="49"/>
      <c r="D106" s="134">
        <f>Summary!R45</f>
        <v>0</v>
      </c>
      <c r="J106" s="3" t="s">
        <v>96</v>
      </c>
      <c r="K106" s="217">
        <f t="shared" si="6"/>
        <v>0</v>
      </c>
      <c r="L106" s="64">
        <f t="shared" si="7"/>
        <v>0</v>
      </c>
      <c r="M106" s="73"/>
    </row>
    <row r="107" spans="1:13" x14ac:dyDescent="0.2">
      <c r="A107" s="48" t="s">
        <v>145</v>
      </c>
      <c r="B107" s="49" t="s">
        <v>96</v>
      </c>
      <c r="C107" s="49"/>
      <c r="D107" s="134">
        <f>Summary!S45</f>
        <v>0</v>
      </c>
      <c r="J107" s="3" t="s">
        <v>164</v>
      </c>
      <c r="K107" s="217">
        <f t="shared" si="6"/>
        <v>0</v>
      </c>
      <c r="L107" s="64">
        <f t="shared" si="7"/>
        <v>0</v>
      </c>
      <c r="M107" s="73"/>
    </row>
    <row r="108" spans="1:13" x14ac:dyDescent="0.2">
      <c r="A108" s="49"/>
      <c r="B108" s="49" t="s">
        <v>97</v>
      </c>
      <c r="C108" s="49"/>
      <c r="D108" s="134">
        <f>Summary!T45</f>
        <v>0</v>
      </c>
      <c r="M108" s="73"/>
    </row>
    <row r="109" spans="1:13" x14ac:dyDescent="0.2">
      <c r="A109" s="49"/>
      <c r="B109" s="286" t="s">
        <v>20</v>
      </c>
      <c r="C109" s="286"/>
      <c r="D109" s="139">
        <f>SUMIFS('Factory Log'!D:D,'Factory Log'!B:B,Bureau!D95,'Factory Log'!C:C,Bureau!B107)</f>
        <v>0</v>
      </c>
      <c r="M109" s="73"/>
    </row>
    <row r="110" spans="1:13" x14ac:dyDescent="0.2">
      <c r="A110" s="49"/>
      <c r="B110" s="286" t="s">
        <v>21</v>
      </c>
      <c r="C110" s="286"/>
      <c r="D110" s="139">
        <f>SUMIFS('Factory Log'!D:D,'Factory Log'!B:B,Bureau!D95,'Factory Log'!C:C,Bureau!B108)</f>
        <v>0</v>
      </c>
    </row>
    <row r="111" spans="1:13" x14ac:dyDescent="0.2">
      <c r="A111" s="49"/>
      <c r="B111" s="286" t="s">
        <v>22</v>
      </c>
      <c r="C111" s="286"/>
      <c r="D111" s="139">
        <f>SUMIFS('Factory Log'!D:D,'Factory Log'!B:B,Bureau!D95,'Factory Log'!C:C,Bureau!B109)</f>
        <v>0</v>
      </c>
    </row>
    <row r="112" spans="1:13" x14ac:dyDescent="0.2">
      <c r="A112" s="49"/>
      <c r="B112" s="286" t="s">
        <v>23</v>
      </c>
      <c r="C112" s="286"/>
      <c r="D112" s="139">
        <f>SUMIFS('Factory Log'!D:D,'Factory Log'!B:B,Bureau!D95,'Factory Log'!C:C,Bureau!B110)</f>
        <v>0</v>
      </c>
    </row>
    <row r="113" spans="1:14" x14ac:dyDescent="0.2">
      <c r="A113" s="49"/>
      <c r="B113" s="286" t="s">
        <v>12</v>
      </c>
      <c r="C113" s="286"/>
      <c r="D113" s="139">
        <f>SUMIFS('Factory Log'!D:D,'Factory Log'!B:B,Bureau!D95,'Factory Log'!C:C,Bureau!B111)</f>
        <v>0</v>
      </c>
    </row>
    <row r="114" spans="1:14" x14ac:dyDescent="0.2">
      <c r="A114" s="49"/>
      <c r="B114" s="286" t="s">
        <v>18</v>
      </c>
      <c r="C114" s="286"/>
      <c r="D114" s="139">
        <f>SUMIFS('Factory Log'!D:D,'Factory Log'!B:B,Bureau!D95,'Factory Log'!C:C,Bureau!B112)</f>
        <v>0</v>
      </c>
    </row>
    <row r="115" spans="1:14" x14ac:dyDescent="0.2">
      <c r="A115" s="109"/>
      <c r="B115" s="109"/>
      <c r="C115" s="109"/>
      <c r="D115" s="109"/>
    </row>
    <row r="116" spans="1:14" x14ac:dyDescent="0.2">
      <c r="E116" s="144" t="s">
        <v>100</v>
      </c>
      <c r="F116" s="66" t="s">
        <v>101</v>
      </c>
      <c r="G116" s="66"/>
      <c r="H116" s="66"/>
      <c r="I116" s="66"/>
      <c r="J116" s="66" t="s">
        <v>102</v>
      </c>
      <c r="K116" s="66"/>
      <c r="L116" s="66"/>
      <c r="M116" s="66" t="s">
        <v>103</v>
      </c>
      <c r="N116" s="66" t="s">
        <v>104</v>
      </c>
    </row>
    <row r="117" spans="1:14" ht="14" customHeight="1" x14ac:dyDescent="0.2">
      <c r="A117" s="219"/>
      <c r="B117" s="219"/>
      <c r="C117" s="219"/>
      <c r="D117" s="219"/>
      <c r="E117" s="234">
        <f>Performance!EY4</f>
        <v>349125</v>
      </c>
      <c r="F117" s="50" t="str">
        <f>Performance!EZ4</f>
        <v>HH Associates - Iceland</v>
      </c>
      <c r="J117" s="50" t="str">
        <f>Performance!FB4</f>
        <v>Floor Graphic</v>
      </c>
      <c r="M117" s="137">
        <f>Performance!FC4</f>
        <v>7.5</v>
      </c>
      <c r="N117" s="51">
        <f>Performance!FD4</f>
        <v>1500</v>
      </c>
    </row>
    <row r="118" spans="1:14" ht="14" customHeight="1" x14ac:dyDescent="0.2">
      <c r="A118" s="219"/>
      <c r="B118" s="219"/>
      <c r="C118" s="219"/>
      <c r="D118" s="219"/>
      <c r="E118" s="288">
        <f>Performance!EY6</f>
        <v>349358.01</v>
      </c>
      <c r="F118" s="50" t="str">
        <f>Performance!EZ6</f>
        <v>HH Associates - Asda</v>
      </c>
      <c r="J118" s="50" t="str">
        <f>Performance!FB6</f>
        <v>Lightbox Panel</v>
      </c>
      <c r="M118" s="137">
        <f>Performance!FC6</f>
        <v>0.63333333330228925</v>
      </c>
      <c r="N118" s="51">
        <f>Performance!FD6</f>
        <v>15</v>
      </c>
    </row>
    <row r="119" spans="1:14" ht="14" customHeight="1" x14ac:dyDescent="0.2">
      <c r="A119" s="220"/>
      <c r="B119" s="219"/>
      <c r="C119" s="220"/>
      <c r="D119" s="220"/>
      <c r="E119" s="288">
        <f>Performance!EY7</f>
        <v>349410.01</v>
      </c>
      <c r="F119" s="50" t="str">
        <f>Performance!EZ7</f>
        <v>HH Associates - Asda</v>
      </c>
      <c r="J119" s="50" t="str">
        <f>Performance!FB7</f>
        <v>Lightbox Panel</v>
      </c>
      <c r="M119" s="137">
        <f>Performance!FC7</f>
        <v>9.9999999976716936E-2</v>
      </c>
      <c r="N119" s="51">
        <f>Performance!FD7</f>
        <v>1</v>
      </c>
    </row>
    <row r="120" spans="1:14" ht="14" customHeight="1" x14ac:dyDescent="0.2">
      <c r="A120" s="219"/>
      <c r="B120" s="219"/>
      <c r="C120" s="220"/>
      <c r="D120" s="220"/>
      <c r="E120" s="288">
        <f>Performance!EY8</f>
        <v>349410.02</v>
      </c>
      <c r="F120" s="50" t="str">
        <f>Performance!EZ8</f>
        <v>HH Associates - Asda</v>
      </c>
      <c r="J120" s="50" t="str">
        <f>Performance!FB8</f>
        <v>Lightbox Panel</v>
      </c>
      <c r="M120" s="137">
        <f>Performance!FC8</f>
        <v>0.10000000015133992</v>
      </c>
      <c r="N120" s="51">
        <f>Performance!FD8</f>
        <v>1</v>
      </c>
    </row>
    <row r="121" spans="1:14" x14ac:dyDescent="0.2">
      <c r="E121" s="288">
        <f>Performance!EY9</f>
        <v>349410.03</v>
      </c>
      <c r="F121" s="50" t="str">
        <f>Performance!EZ9</f>
        <v>HH Associates - Asda</v>
      </c>
      <c r="J121" s="50" t="str">
        <f>Performance!FB9</f>
        <v>Lightbox Panel</v>
      </c>
      <c r="M121" s="137">
        <f>Performance!FC9</f>
        <v>8.3333333255723119E-2</v>
      </c>
      <c r="N121" s="51">
        <f>Performance!FD9</f>
        <v>2</v>
      </c>
    </row>
    <row r="122" spans="1:14" x14ac:dyDescent="0.2">
      <c r="E122" s="288">
        <f>Performance!EY10</f>
        <v>349458</v>
      </c>
      <c r="F122" s="50" t="str">
        <f>Performance!EZ10</f>
        <v>HH Associates - Asda</v>
      </c>
      <c r="J122" s="50" t="str">
        <f>Performance!FB10</f>
        <v>Banner - Retail</v>
      </c>
      <c r="M122" s="137">
        <f>Performance!FC10</f>
        <v>8.3333333255723119E-2</v>
      </c>
      <c r="N122" s="51">
        <f>Performance!FD10</f>
        <v>1</v>
      </c>
    </row>
    <row r="123" spans="1:14" ht="15" thickBot="1" x14ac:dyDescent="0.25">
      <c r="E123" s="234"/>
      <c r="M123" s="137"/>
      <c r="N123" s="51"/>
    </row>
    <row r="124" spans="1:14" ht="39" x14ac:dyDescent="0.2">
      <c r="A124" s="165" t="s">
        <v>174</v>
      </c>
      <c r="B124" s="225" t="s">
        <v>175</v>
      </c>
      <c r="C124" s="80" t="s">
        <v>29</v>
      </c>
      <c r="D124" s="81" t="s">
        <v>30</v>
      </c>
      <c r="E124" s="79" t="s">
        <v>39</v>
      </c>
      <c r="F124" s="264" t="s">
        <v>40</v>
      </c>
      <c r="G124" s="74" t="s">
        <v>31</v>
      </c>
      <c r="H124" s="75" t="s">
        <v>32</v>
      </c>
      <c r="I124" s="78" t="s">
        <v>35</v>
      </c>
      <c r="J124" s="76" t="s">
        <v>139</v>
      </c>
      <c r="K124" s="76" t="s">
        <v>82</v>
      </c>
      <c r="L124" s="264" t="s">
        <v>41</v>
      </c>
      <c r="M124" s="264" t="s">
        <v>42</v>
      </c>
      <c r="N124" s="78" t="s">
        <v>38</v>
      </c>
    </row>
    <row r="125" spans="1:14" ht="24" customHeight="1" thickBot="1" x14ac:dyDescent="0.25">
      <c r="A125" s="224">
        <f>Summary!B45</f>
        <v>0.42067713976452764</v>
      </c>
      <c r="B125" s="226">
        <f>Summary!C45</f>
        <v>0.84135427952905528</v>
      </c>
      <c r="C125" s="125">
        <f>Summary!D45</f>
        <v>0.35416666666666669</v>
      </c>
      <c r="D125" s="126">
        <f>Summary!E45</f>
        <v>0.70833333333333337</v>
      </c>
      <c r="E125" s="127">
        <f>Summary!F45</f>
        <v>1.1877942769821956</v>
      </c>
      <c r="F125" s="268" t="s">
        <v>202</v>
      </c>
      <c r="G125" s="115">
        <f>Summary!H45</f>
        <v>24</v>
      </c>
      <c r="H125" s="116">
        <f>Summary!I45</f>
        <v>12</v>
      </c>
      <c r="I125" s="129">
        <f>Summary!U45</f>
        <v>2325</v>
      </c>
      <c r="J125" s="117">
        <f>Summary!V45</f>
        <v>10.096251354279524</v>
      </c>
      <c r="K125" s="117">
        <f>Summary!W45</f>
        <v>8.4999999999417923</v>
      </c>
      <c r="L125" s="265" t="s">
        <v>202</v>
      </c>
      <c r="M125" s="265" t="s">
        <v>202</v>
      </c>
      <c r="N125" s="119">
        <f>Summary!AB45</f>
        <v>0</v>
      </c>
    </row>
  </sheetData>
  <mergeCells count="24">
    <mergeCell ref="B46:C46"/>
    <mergeCell ref="B14:C14"/>
    <mergeCell ref="B15:C15"/>
    <mergeCell ref="B16:C16"/>
    <mergeCell ref="B17:C17"/>
    <mergeCell ref="B18:C18"/>
    <mergeCell ref="B19:C19"/>
    <mergeCell ref="B45:C45"/>
    <mergeCell ref="B114:C114"/>
    <mergeCell ref="B81:C81"/>
    <mergeCell ref="B82:C82"/>
    <mergeCell ref="B80:C80"/>
    <mergeCell ref="B47:C47"/>
    <mergeCell ref="B48:C48"/>
    <mergeCell ref="B49:C49"/>
    <mergeCell ref="B50:C50"/>
    <mergeCell ref="B77:C77"/>
    <mergeCell ref="B78:C78"/>
    <mergeCell ref="B79:C79"/>
    <mergeCell ref="B109:C109"/>
    <mergeCell ref="B110:C110"/>
    <mergeCell ref="B111:C111"/>
    <mergeCell ref="B112:C112"/>
    <mergeCell ref="B113:C113"/>
  </mergeCells>
  <conditionalFormatting sqref="A24:XFD42 A23:D23 O23:XFD23 A13:XFD22 A88:XFD106 A87:D87 O87:XFD87 A76:XFD86 A108:XFD1048576">
    <cfRule type="cellIs" dxfId="9" priority="10" operator="equal">
      <formula>0</formula>
    </cfRule>
  </conditionalFormatting>
  <conditionalFormatting sqref="N30:N31">
    <cfRule type="cellIs" dxfId="8" priority="9" operator="equal">
      <formula>0</formula>
    </cfRule>
  </conditionalFormatting>
  <conditionalFormatting sqref="A1:XFD11 B12:XFD12 A44:XFD74 B43:XFD43 B75:XFD75 B107:XFD107">
    <cfRule type="cellIs" dxfId="7" priority="8" operator="equal">
      <formula>0</formula>
    </cfRule>
  </conditionalFormatting>
  <conditionalFormatting sqref="F61:F62">
    <cfRule type="cellIs" dxfId="6" priority="7" operator="equal">
      <formula>0</formula>
    </cfRule>
  </conditionalFormatting>
  <conditionalFormatting sqref="F93:F94">
    <cfRule type="cellIs" dxfId="5" priority="6" operator="equal">
      <formula>0</formula>
    </cfRule>
  </conditionalFormatting>
  <conditionalFormatting sqref="F124:F125">
    <cfRule type="cellIs" dxfId="4" priority="5" operator="equal">
      <formula>0</formula>
    </cfRule>
  </conditionalFormatting>
  <conditionalFormatting sqref="A12">
    <cfRule type="cellIs" dxfId="3" priority="4" operator="equal">
      <formula>0</formula>
    </cfRule>
  </conditionalFormatting>
  <conditionalFormatting sqref="A43">
    <cfRule type="cellIs" dxfId="2" priority="3" operator="equal">
      <formula>0</formula>
    </cfRule>
  </conditionalFormatting>
  <conditionalFormatting sqref="A75">
    <cfRule type="cellIs" dxfId="1" priority="2" operator="equal">
      <formula>0</formula>
    </cfRule>
  </conditionalFormatting>
  <conditionalFormatting sqref="A107">
    <cfRule type="cellIs" dxfId="0" priority="1" operator="equal">
      <formula>0</formula>
    </cfRule>
  </conditionalFormatting>
  <pageMargins left="0.7" right="0.7" top="0.75" bottom="0.75" header="0.3" footer="0.3"/>
  <pageSetup paperSize="9" orientation="landscape" horizontalDpi="0" verticalDpi="0"/>
  <headerFooter>
    <oddHeader>&amp;C&amp;"Calibri (Body),Regular"&amp;11Finishing</oddHeader>
    <oddFooter>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Factory Log</vt:lpstr>
      <vt:lpstr>Milestones</vt:lpstr>
      <vt:lpstr>Performance</vt:lpstr>
      <vt:lpstr>Material Issued</vt:lpstr>
      <vt:lpstr>Summary</vt:lpstr>
      <vt:lpstr>Hybrid</vt:lpstr>
      <vt:lpstr>WideFormat</vt:lpstr>
      <vt:lpstr>Bureau</vt:lpstr>
      <vt:lpstr>Finishing</vt:lpstr>
      <vt:lpstr>Bureau!Print_Area</vt:lpstr>
      <vt:lpstr>Finishing!Print_Area</vt:lpstr>
      <vt:lpstr>Hybrid!Print_Area</vt:lpstr>
      <vt:lpstr>WideFormat!Print_Area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cp:lastPrinted>2022-01-20T10:51:02Z</cp:lastPrinted>
  <dcterms:created xsi:type="dcterms:W3CDTF">2021-03-24T09:11:40Z</dcterms:created>
  <dcterms:modified xsi:type="dcterms:W3CDTF">2022-01-20T10:51:20Z</dcterms:modified>
</cp:coreProperties>
</file>