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minet\OneDrive\Desktop\College Classes\Spring 2021\Senior Design\Codes_and_spreadsheet\"/>
    </mc:Choice>
  </mc:AlternateContent>
  <xr:revisionPtr revIDLastSave="0" documentId="13_ncr:1_{0F6E68D9-5FA8-46BD-B833-3E534817EBC9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Menu" sheetId="1" r:id="rId1"/>
    <sheet name="Water Storage" sheetId="4" r:id="rId2"/>
    <sheet name="Sources" sheetId="3" r:id="rId3"/>
    <sheet name="Symbol Meaning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4" l="1"/>
  <c r="B3" i="4"/>
  <c r="B2" i="4"/>
  <c r="C2" i="4" s="1"/>
  <c r="H10" i="1"/>
  <c r="E10" i="1"/>
  <c r="B20" i="1"/>
  <c r="E20" i="1"/>
  <c r="N20" i="1"/>
  <c r="K20" i="1"/>
  <c r="H20" i="1"/>
  <c r="O18" i="1"/>
  <c r="N18" i="1"/>
  <c r="O19" i="1"/>
  <c r="L18" i="1"/>
  <c r="K18" i="1"/>
  <c r="L14" i="1"/>
  <c r="K14" i="1"/>
  <c r="L12" i="1"/>
  <c r="K12" i="1"/>
  <c r="L19" i="1"/>
  <c r="H19" i="1"/>
  <c r="I19" i="1"/>
  <c r="H17" i="1"/>
  <c r="H18" i="1"/>
  <c r="F19" i="1"/>
  <c r="B16" i="1"/>
  <c r="B18" i="1"/>
  <c r="C19" i="1"/>
  <c r="O9" i="1"/>
  <c r="N3" i="1"/>
  <c r="L9" i="1"/>
  <c r="I9" i="1"/>
  <c r="F9" i="1"/>
  <c r="C9" i="1"/>
  <c r="E8" i="1"/>
  <c r="N12" i="1"/>
  <c r="N19" i="1" s="1"/>
  <c r="K16" i="1"/>
  <c r="K15" i="1"/>
  <c r="K13" i="1"/>
  <c r="H14" i="1"/>
  <c r="H13" i="1"/>
  <c r="H12" i="1"/>
  <c r="E18" i="1"/>
  <c r="E14" i="1"/>
  <c r="E13" i="1"/>
  <c r="E12" i="1"/>
  <c r="B14" i="1"/>
  <c r="B13" i="1"/>
  <c r="B12" i="1"/>
  <c r="N8" i="1"/>
  <c r="N7" i="1"/>
  <c r="N5" i="1"/>
  <c r="N4" i="1"/>
  <c r="N2" i="1"/>
  <c r="N9" i="1" s="1"/>
  <c r="N10" i="1" s="1"/>
  <c r="K8" i="1"/>
  <c r="K5" i="1"/>
  <c r="K4" i="1"/>
  <c r="K3" i="1"/>
  <c r="K2" i="1"/>
  <c r="H7" i="1"/>
  <c r="H6" i="1"/>
  <c r="H5" i="1"/>
  <c r="H4" i="1"/>
  <c r="B3" i="1"/>
  <c r="H3" i="1"/>
  <c r="H2" i="1"/>
  <c r="B2" i="1"/>
  <c r="B4" i="1"/>
  <c r="E5" i="1"/>
  <c r="E4" i="1"/>
  <c r="E3" i="1"/>
  <c r="E2" i="1"/>
  <c r="B5" i="1"/>
  <c r="B7" i="1"/>
  <c r="K19" i="1" l="1"/>
  <c r="K9" i="1"/>
  <c r="K10" i="1" s="1"/>
  <c r="H9" i="1"/>
  <c r="E19" i="1"/>
  <c r="E9" i="1"/>
  <c r="B19" i="1"/>
  <c r="B9" i="1"/>
  <c r="B10" i="1" s="1"/>
  <c r="B23" i="1" l="1"/>
</calcChain>
</file>

<file path=xl/sharedStrings.xml><?xml version="1.0" encoding="utf-8"?>
<sst xmlns="http://schemas.openxmlformats.org/spreadsheetml/2006/main" count="248" uniqueCount="207">
  <si>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</si>
  <si>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</si>
  <si>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</si>
  <si>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</si>
  <si>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</si>
  <si>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</si>
  <si>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</si>
  <si>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</si>
  <si>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</si>
  <si>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</si>
  <si>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Mass (kg)</t>
  </si>
  <si>
    <t>Tortilla (2) (FF)</t>
  </si>
  <si>
    <t>https://spaceflight.nasa.gov/station/crew/exp1/menu.html</t>
  </si>
  <si>
    <t>R</t>
  </si>
  <si>
    <t>IM</t>
  </si>
  <si>
    <t>T</t>
  </si>
  <si>
    <t>I</t>
  </si>
  <si>
    <t>Irradiated</t>
  </si>
  <si>
    <t>Thermostablized</t>
  </si>
  <si>
    <t>Intermediate Moisture</t>
  </si>
  <si>
    <t>Rehydrate</t>
  </si>
  <si>
    <t>Applesauce (I)</t>
  </si>
  <si>
    <t>Blueberry/yogurt (T) [2 servings]</t>
  </si>
  <si>
    <t>https://www.nutritionix.com/food/grilled-chicken</t>
  </si>
  <si>
    <t>https://www.nutritionix.com/food/applesauce</t>
  </si>
  <si>
    <t>https://www.nutritionix.com/food/tortilla</t>
  </si>
  <si>
    <t>Grilled Chicken</t>
  </si>
  <si>
    <t>Macaroni and Cheese</t>
  </si>
  <si>
    <t>https://www.nutritionix.com/food/macaroni-and-cheese</t>
  </si>
  <si>
    <t>Dried Peach</t>
  </si>
  <si>
    <t>https://www.nutritionix.com/food/dried-peach</t>
  </si>
  <si>
    <t>https://www.nutritionix.com/food/oatmeal-crisp-raisin</t>
  </si>
  <si>
    <t>Oartmeal with Raisins</t>
  </si>
  <si>
    <t>Smoked Turkey [4oz]</t>
  </si>
  <si>
    <t>https://www.nutritionix.com/food/smoked-turkey</t>
  </si>
  <si>
    <t>https://www.nutritionix.com/food/dried-pears</t>
  </si>
  <si>
    <t>Beef Fajitas (I) [1/2 platter]</t>
  </si>
  <si>
    <t>https://www.nutritionix.com/food/beef-fajita</t>
  </si>
  <si>
    <t>https://www.nutritionix.com/food/chicken-fajita</t>
  </si>
  <si>
    <t>chicken fajita [1/2 platter]</t>
  </si>
  <si>
    <t>https://www.nutritionix.com/food/cherry-cobbler</t>
  </si>
  <si>
    <t>Cherry-blueberry cobbler</t>
  </si>
  <si>
    <t>https://www.nutritionix.com/food/blueberry-yogurt</t>
  </si>
  <si>
    <t>https://www.nutritionix.com/food/raspberry-yogurt</t>
  </si>
  <si>
    <t>Raspberry Yogurt</t>
  </si>
  <si>
    <t>https://www.nutritionix.com/i/sweet-home-farm/granola-with-raisins/51c3ee9897c3e6de73cbb9c3</t>
  </si>
  <si>
    <t>Granola with Raisins</t>
  </si>
  <si>
    <t>Granola with Blueberries [0.8 cup servings]</t>
  </si>
  <si>
    <t>https://www.nutritionix.com/i/alaska-gourmet-granola/blueberry-vanilla-cluster-granola/568892e4d0a4312b1b403eb9</t>
  </si>
  <si>
    <t>Chicken Strips [4 pieces]</t>
  </si>
  <si>
    <t>https://www.nutritionix.com/food/chicken-strips</t>
  </si>
  <si>
    <t>Cashews [25 pieces]</t>
  </si>
  <si>
    <t>https://www.nutritionix.com/food/cashews</t>
  </si>
  <si>
    <t>https://www.nutritionix.com/food/broccoli-au-gratin</t>
  </si>
  <si>
    <t>Broccoli Au Gratin</t>
  </si>
  <si>
    <t>Beef Stroganoff with Noodles</t>
  </si>
  <si>
    <t>https://www.nutritionix.com/i/harrys/beef-stroganoff-with-noodles/591bf6f3eca5413a5dcd083b</t>
  </si>
  <si>
    <t>Dried Pears [2 servings]</t>
  </si>
  <si>
    <t>Oatmeal with Brown Sugar [2 servings]</t>
  </si>
  <si>
    <t>https://www.nutritionix.com/food/oatmeal-with-brown-sugar</t>
  </si>
  <si>
    <t>Peanut Butter</t>
  </si>
  <si>
    <t>https://www.nutritionix.com/food/peanut-butter</t>
  </si>
  <si>
    <t>Grape Jelly [2 tbsp]</t>
  </si>
  <si>
    <t>https://www.nutritionix.com/food/grape-jelly</t>
  </si>
  <si>
    <t>Shrimp Cocktail [10 shrimp]</t>
  </si>
  <si>
    <t>https://www.nutritionix.com/food/shrimp-cocktail</t>
  </si>
  <si>
    <t>Crawfish Etouffee [1/2 recipe]</t>
  </si>
  <si>
    <t>https://www.hsph.harvard.edu/nutritionsource/crawfish-touffe/</t>
  </si>
  <si>
    <t>Mashed Potato</t>
  </si>
  <si>
    <t>https://www.nutritionix.com/food/mashed-potato</t>
  </si>
  <si>
    <t>Rye Bread [ 4 slices]</t>
  </si>
  <si>
    <t>https://www.nutritionix.com/food/rye-bread</t>
  </si>
  <si>
    <t>Barbecue Beef Brisket [ 4 oz]</t>
  </si>
  <si>
    <t>https://www.nutritionix.com/food/barbecue-beef-brisket</t>
  </si>
  <si>
    <t>Cauliflower with Cheese</t>
  </si>
  <si>
    <t>https://www.nutritionix.com/food/cauliflower-cheese</t>
  </si>
  <si>
    <t>https://www.nutritionix.com/food/scrambled-eggs</t>
  </si>
  <si>
    <t>Scrambled Eggs [ 2 servings]</t>
  </si>
  <si>
    <t>https://www.nutritionix.com/food/dried-apricot</t>
  </si>
  <si>
    <t>Dried Apricot</t>
  </si>
  <si>
    <t>Lasagna with Meat</t>
  </si>
  <si>
    <t>https://www.nutritionix.com/food/meat-lasagna</t>
  </si>
  <si>
    <t>Teriyaki Chicken [8oz] (R)</t>
  </si>
  <si>
    <t>https://www.nutritionix.com/food/teriyaki-chicken</t>
  </si>
  <si>
    <t>Teriyaki Chicken</t>
  </si>
  <si>
    <t>White Rice</t>
  </si>
  <si>
    <t>https://www.nutritionix.com/food/rice-white</t>
  </si>
  <si>
    <t>Blueberry/yogurt [2] (T)</t>
  </si>
  <si>
    <t>Omelete with Chicken</t>
  </si>
  <si>
    <t>https://www.nutritionix.com/food/chicken-omelets</t>
  </si>
  <si>
    <t>Pecan Nuts [10] (IM)</t>
  </si>
  <si>
    <t>Pecan Nuts</t>
  </si>
  <si>
    <t>https://www.nutritionix.com/food/pecan-nuts</t>
  </si>
  <si>
    <t>Ramen Noodles Chicken</t>
  </si>
  <si>
    <t>https://www.nutritionix.com/food/ramen-noodles-chicken</t>
  </si>
  <si>
    <t>Trail Mix [1/2 cup] (IM)</t>
  </si>
  <si>
    <t>Chicken with Garlic Sauce</t>
  </si>
  <si>
    <t>https://www.nutritionix.com/food/chicken-with-garlic-sauce</t>
  </si>
  <si>
    <t>Apple Granola Bar [2] (IM)</t>
  </si>
  <si>
    <t xml:space="preserve"> Apple Granola Bar</t>
  </si>
  <si>
    <t>https://www.nutritionix.com/food/apple-granola-bar</t>
  </si>
  <si>
    <t>Rossiyskiy Cheese [3 slices] (T)</t>
  </si>
  <si>
    <t>Rossiyskiy Cheese</t>
  </si>
  <si>
    <t>https://www.nutritionix.com/i/unknown/cheese-rossiyskiy-50-sliced/5a2a38de65c04bb15d2d193b</t>
  </si>
  <si>
    <t>Beef Patty [4 oz] (R)</t>
  </si>
  <si>
    <t>Beef Patty</t>
  </si>
  <si>
    <t>https://www.nutritionix.com/food/beef-patty</t>
  </si>
  <si>
    <t>Smoked Turkey [4 oz] (I)</t>
  </si>
  <si>
    <t>Smoked Turkey [6 oz] (I)</t>
  </si>
  <si>
    <t>Italian Vegetables</t>
  </si>
  <si>
    <t>https://www.nutritionix.com/i/kroger/vegetables-italian-style/51c35b4a97c3e69de4b00273</t>
  </si>
  <si>
    <t>Grits with Buttter</t>
  </si>
  <si>
    <t>https://www.nutritionix.com/food/grits-with-butter</t>
  </si>
  <si>
    <t>Sausage Patty [2] (R)</t>
  </si>
  <si>
    <t>Sausage Patty</t>
  </si>
  <si>
    <t>https://www.nutritionix.com/food/sausage-patty</t>
  </si>
  <si>
    <t>https://www.nutritionix.com/food/borscht</t>
  </si>
  <si>
    <t>White Bread [3 slices] (IM)</t>
  </si>
  <si>
    <t>White Bread</t>
  </si>
  <si>
    <t>https://www.nutritionix.com/food/white-bread</t>
  </si>
  <si>
    <t>Ham</t>
  </si>
  <si>
    <t>https://www.nutritionix.com/food/ham</t>
  </si>
  <si>
    <t>Ham [1 cup] (T)</t>
  </si>
  <si>
    <t>Potatoes Au Gratin</t>
  </si>
  <si>
    <t>https://www.nutritionix.com/food/potatoes-au-gratin</t>
  </si>
  <si>
    <t>Peach Activia [1 container] (T)</t>
  </si>
  <si>
    <t>Peach Activia</t>
  </si>
  <si>
    <t>https://www.nutritionix.com/food/peach-activia</t>
  </si>
  <si>
    <t>Turkey Tetrazzini</t>
  </si>
  <si>
    <t>https://www.nutritionix.com/i/stouffers/turkey-tetrazzini/51d2f80ccc9bff111580c604</t>
  </si>
  <si>
    <t>Tomatoes &amp; Eggplant [1 cup] (T)</t>
  </si>
  <si>
    <t>Tomatoes and eggplant</t>
  </si>
  <si>
    <t>https://www.nutritionix.com/i/sprouts-farmers-market/eggplant-with-tomatoes-onions/5f87047ed05ced067145f8e8</t>
  </si>
  <si>
    <t>Potato Pork Hash[1 cup] (T)</t>
  </si>
  <si>
    <t>Potato Pork Hash</t>
  </si>
  <si>
    <t>https://www.nutritionix.com/food/potato-pork-hash</t>
  </si>
  <si>
    <t>Bulgarian Cucumber Soup</t>
  </si>
  <si>
    <t>"Food and Nutrition for the Moon Base What We have Learned in 45 Years of Spaceflight"</t>
  </si>
  <si>
    <t>Grilled Prok Chop</t>
  </si>
  <si>
    <t>Grilled Prok Chop [2] (T)</t>
  </si>
  <si>
    <t>https://www.nutritionix.com/food/bulgarian-cucumber-soup</t>
  </si>
  <si>
    <t>https://www.nutritionix.com/food/grilled-pork-chop</t>
  </si>
  <si>
    <t>Total Mass with Packaging:</t>
  </si>
  <si>
    <t>Mass (kg)3</t>
  </si>
  <si>
    <t>Mass (Kg)4</t>
  </si>
  <si>
    <t>Mass (kg)5</t>
  </si>
  <si>
    <t>Beef Fajitas [1/2 platter] (I)</t>
  </si>
  <si>
    <t>Applesauce [1 container] (I)</t>
  </si>
  <si>
    <t>Grilled Chicken [2 pieces] (T)</t>
  </si>
  <si>
    <t xml:space="preserve">Macaroni and Cheese [1 cup] (R) </t>
  </si>
  <si>
    <t>Granola with Blueberries [0.8 cups] (R)</t>
  </si>
  <si>
    <t>Dried Peaches [2 halves] (IM)</t>
  </si>
  <si>
    <t>Oatmeal with Raisins [2 cups] (R)</t>
  </si>
  <si>
    <t>Dried Pears [10 halves](IM)</t>
  </si>
  <si>
    <t>https://www.nasa.gov/vision/earth/everydaylife/jamestown-needs-fs.html</t>
  </si>
  <si>
    <t>Raspberry  [2 containers]
yogurt (T)</t>
  </si>
  <si>
    <t>Granola with Raisins [1 cup] (R)</t>
  </si>
  <si>
    <t>Chicken Strips [ 4 pieces] (T)</t>
  </si>
  <si>
    <t xml:space="preserve"> Cashews [25 pieces] (NF)</t>
  </si>
  <si>
    <t>Broccoli au Gratin [ 1 cup] (R)</t>
  </si>
  <si>
    <t>Beef Stroganoff w/ Noodles [ 1 cup] (R)</t>
  </si>
  <si>
    <t>Dried Pears [10 halves] (IM)</t>
  </si>
  <si>
    <t>Peanut Butter [2 tbsp] (T)</t>
  </si>
  <si>
    <t>Shrimp Cocktail [10] (R)</t>
  </si>
  <si>
    <t>Crawfish Etouffee [1/2 recipe] (T)</t>
  </si>
  <si>
    <t>Mashed Potato [1 cup] (R)</t>
  </si>
  <si>
    <t>Rye Bread [3 slices] (IM)</t>
  </si>
  <si>
    <t>Barbecued Beef Brisket [4 oz] (I)</t>
  </si>
  <si>
    <t>Cauliflower w/cheese [1 cup] (R)</t>
  </si>
  <si>
    <t>Total Mass for One Person:</t>
  </si>
  <si>
    <t>Seasoned Scrambled Eggs [2] (R)</t>
  </si>
  <si>
    <t>Lasagna w/ Meat [1] (T)</t>
  </si>
  <si>
    <t>White Rice [1 cup] (T)</t>
  </si>
  <si>
    <t>Omelet w/chicken [3 eggs] (T)</t>
  </si>
  <si>
    <t>Ramen Noodles with Chicken [1 package] (R)</t>
  </si>
  <si>
    <t>Mashed Potatoes [1 cup] (R)</t>
  </si>
  <si>
    <t>Borsch</t>
  </si>
  <si>
    <t>Chicken in Garlic Sauce [1 cup] (T)</t>
  </si>
  <si>
    <t>Broccoli au Gratin [1 cup] (R)</t>
  </si>
  <si>
    <t>Cherry-blueberry Cobbler [1 cup] (T)</t>
  </si>
  <si>
    <t>Turkey Tetrazzini [1 package] (R)</t>
  </si>
  <si>
    <t>Mass (kg)32</t>
  </si>
  <si>
    <t>Kcal</t>
  </si>
  <si>
    <t>Kcal2</t>
  </si>
  <si>
    <t>Kcal3</t>
  </si>
  <si>
    <t>Kcal4</t>
  </si>
  <si>
    <t>Kcal5</t>
  </si>
  <si>
    <t>Total:</t>
  </si>
  <si>
    <t>Oatmeal with Brown Sugar 2 cups (R)</t>
  </si>
  <si>
    <t>Grape Jelly [2 tbsp] (T)</t>
  </si>
  <si>
    <t>Dried Apricots [8 halves] (IM)</t>
  </si>
  <si>
    <t>Shrimp Cocktail [15] (R)</t>
  </si>
  <si>
    <t>https://www.nutritionix.com/food/trail-mix</t>
  </si>
  <si>
    <t>Trail Mix</t>
  </si>
  <si>
    <t>Italian Vegetables [2 cup] (R)</t>
  </si>
  <si>
    <t>Grits w/butter [2 cup] (R)</t>
  </si>
  <si>
    <t>Borscht [2] (R)</t>
  </si>
  <si>
    <t>Potatoes au Gratin [2 cup] (R)</t>
  </si>
  <si>
    <t>Bulgarian Cucumber Soup [2 cup] (R)</t>
  </si>
  <si>
    <t>Assuming .12 kg for packing per food</t>
  </si>
  <si>
    <t>Tortilla (2) (ESLBP)</t>
  </si>
  <si>
    <t>Tortilla (ESLBP) 2</t>
  </si>
  <si>
    <t>Extended Shelf Life Bread Product</t>
  </si>
  <si>
    <t>ESLBP</t>
  </si>
  <si>
    <t>Mass of Water per Person (kg)</t>
  </si>
  <si>
    <t>Density of Water (kg/m^3)</t>
  </si>
  <si>
    <t>Total volume (m^3)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</si>
</sst>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7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</fills>
  <borders count="1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0" borderId="0" applyNumberFormat="0" applyFill="0" applyBorder="0" applyAlignment="0" applyProtection="0"/>
    <xf numFmtId="0" fontId="5" fillId="5" borderId="1" applyNumberFormat="0" applyAlignment="0" applyProtection="0"/>
    <xf numFmtId="0" fontId="6" fillId="6" borderId="2" applyNumberFormat="0" applyAlignment="0" applyProtection="0"/>
    <xf numFmtId="0" fontId="7" fillId="7" borderId="3" applyNumberFormat="0" applyAlignment="0" applyProtection="0"/>
  </cellStyleXfs>
  <cellXfs count="19">
    <xf numFmtId="0" fontId="0" fillId="0" borderId="0" xfId="0"/>
    <xf numFmtId="0" fontId="2" fillId="3" borderId="0" xfId="2"/>
    <xf numFmtId="0" fontId="3" fillId="4" borderId="0" xfId="3"/>
    <xf numFmtId="0" fontId="1" fillId="2" borderId="0" xfId="1"/>
    <xf numFmtId="0" fontId="2" fillId="3" borderId="0" xfId="2" applyAlignment="1">
      <alignment wrapText="1"/>
    </xf>
    <xf numFmtId="0" fontId="4" fillId="0" borderId="0" xfId="4"/>
    <xf numFmtId="0" fontId="7" fillId="7" borderId="3" xfId="7"/>
    <xf numFmtId="0" fontId="6" fillId="6" borderId="2" xfId="6"/>
    <xf numFmtId="0" fontId="5" fillId="5" borderId="1" xfId="5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9" fillId="0" borderId="0" xfId="0" applyFont="1"/>
  </cellXfs>
  <cellStyles count="8">
    <cellStyle name="Bad" xfId="2" builtinId="27"/>
    <cellStyle name="Check Cell" xfId="7" builtinId="23"/>
    <cellStyle name="Good" xfId="1" builtinId="26"/>
    <cellStyle name="Hyperlink" xfId="4" builtinId="8"/>
    <cellStyle name="Input" xfId="5" builtinId="20"/>
    <cellStyle name="Neutral" xfId="3" builtinId="28"/>
    <cellStyle name="Normal" xfId="0" builtinId="0"/>
    <cellStyle name="Output" xfId="6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E5F0ED3-3530-434C-8E01-21B0FDE98387}" name="Table1" displayName="Table1" ref="A1:O21" totalsRowCount="1">
  <autoFilter ref="A1:O20" xr:uid="{C930B656-EFA0-44FB-909C-E5D3DE69D310}"/>
  <tableColumns count="15">
    <tableColumn id="1" xr3:uid="{533FFB29-4BE8-481A-8D94-9ABF33D3203C}" name="Day 1"/>
    <tableColumn id="2" xr3:uid="{2407704D-208D-4C7A-9F55-0E180EE4AE4C}" name="Mass (kg)"/>
    <tableColumn id="14" xr3:uid="{D08A1FF5-2357-42E3-A64B-2229A960ECCE}" name="Kcal"/>
    <tableColumn id="3" xr3:uid="{3B3F6436-DAFD-4E89-8C5D-95012BF16D8B}" name="Day 2"/>
    <tableColumn id="4" xr3:uid="{4A9AC5A6-0AA3-4D9A-95B7-8C13B0973E0C}" name="Mass (kg)3"/>
    <tableColumn id="17" xr3:uid="{EE9C7E2B-9A09-4AF1-BAA9-B13990847A0F}" name="Kcal2"/>
    <tableColumn id="5" xr3:uid="{3AC8787F-B7B6-4605-9B49-83D769A943B4}" name="Day 3"/>
    <tableColumn id="6" xr3:uid="{7E8B7E57-2EE1-49DA-8F43-90FAADFFED16}" name="Mass (kg)32"/>
    <tableColumn id="13" xr3:uid="{E22291BA-5B9A-4312-9A21-1FE94B010A5B}" name="Kcal3"/>
    <tableColumn id="7" xr3:uid="{B97BF355-2A36-4F8F-B67C-FD695FE1189B}" name="Day 4"/>
    <tableColumn id="8" xr3:uid="{9A5042C7-C137-4C66-9392-ED655E84C8D3}" name="Mass (Kg)4"/>
    <tableColumn id="12" xr3:uid="{64B61A05-C4BE-462D-B372-6FC2438C1F33}" name="Kcal4"/>
    <tableColumn id="9" xr3:uid="{7419857D-CE64-41C2-AF62-E09686197DF4}" name="Day 5"/>
    <tableColumn id="10" xr3:uid="{DFA775CF-C555-4E87-94B6-89E95E048813}" name="Mass (kg)5"/>
    <tableColumn id="16" xr3:uid="{47C674EF-567D-4920-991F-D52906DA660C}" name="Kcal5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spaceflight.nasa.gov/station/crew/exp1/menu.html" TargetMode="External"/><Relationship Id="rId1" Type="http://schemas.openxmlformats.org/officeDocument/2006/relationships/hyperlink" Target="https://spaceflight.nasa.gov/station/crew/exp1/menu.html" TargetMode="Externa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nutritionix.com/food/chicken-with-garlic-sauce" TargetMode="External"/><Relationship Id="rId18" Type="http://schemas.openxmlformats.org/officeDocument/2006/relationships/hyperlink" Target="https://www.nutritionix.com/food/macaroni-and-cheese" TargetMode="External"/><Relationship Id="rId26" Type="http://schemas.openxmlformats.org/officeDocument/2006/relationships/hyperlink" Target="https://www.nutritionix.com/food/peanut-butter" TargetMode="External"/><Relationship Id="rId39" Type="http://schemas.openxmlformats.org/officeDocument/2006/relationships/hyperlink" Target="https://www.nutritionix.com/i/unknown/cheese-rossiyskiy-50-sliced/5a2a38de65c04bb15d2d193b" TargetMode="External"/><Relationship Id="rId21" Type="http://schemas.openxmlformats.org/officeDocument/2006/relationships/hyperlink" Target="https://www.nutritionix.com/food/dried-pears" TargetMode="External"/><Relationship Id="rId34" Type="http://schemas.openxmlformats.org/officeDocument/2006/relationships/hyperlink" Target="https://www.nutritionix.com/food/meat-lasagna" TargetMode="External"/><Relationship Id="rId42" Type="http://schemas.openxmlformats.org/officeDocument/2006/relationships/hyperlink" Target="https://www.nutritionix.com/food/grits-with-butter" TargetMode="External"/><Relationship Id="rId47" Type="http://schemas.openxmlformats.org/officeDocument/2006/relationships/hyperlink" Target="https://www.nutritionix.com/food/potatoes-au-gratin" TargetMode="External"/><Relationship Id="rId50" Type="http://schemas.openxmlformats.org/officeDocument/2006/relationships/hyperlink" Target="https://www.nutritionix.com/i/sprouts-farmers-market/eggplant-with-tomatoes-onions/5f87047ed05ced067145f8e8" TargetMode="External"/><Relationship Id="rId7" Type="http://schemas.openxmlformats.org/officeDocument/2006/relationships/hyperlink" Target="https://www.nutritionix.com/i/sweet-home-farm/granola-with-raisins/51c3ee9897c3e6de73cbb9c3" TargetMode="External"/><Relationship Id="rId2" Type="http://schemas.openxmlformats.org/officeDocument/2006/relationships/hyperlink" Target="https://www.nutritionix.com/food/blueberry-yogurt" TargetMode="External"/><Relationship Id="rId16" Type="http://schemas.openxmlformats.org/officeDocument/2006/relationships/hyperlink" Target="https://www.nutritionix.com/food/applesauce" TargetMode="External"/><Relationship Id="rId29" Type="http://schemas.openxmlformats.org/officeDocument/2006/relationships/hyperlink" Target="https://www.nutritionix.com/food/mashed-potato" TargetMode="External"/><Relationship Id="rId11" Type="http://schemas.openxmlformats.org/officeDocument/2006/relationships/hyperlink" Target="https://www.nutritionix.com/food/chicken-omelets" TargetMode="External"/><Relationship Id="rId24" Type="http://schemas.openxmlformats.org/officeDocument/2006/relationships/hyperlink" Target="https://www.nutritionix.com/food/cashews" TargetMode="External"/><Relationship Id="rId32" Type="http://schemas.openxmlformats.org/officeDocument/2006/relationships/hyperlink" Target="https://www.nutritionix.com/food/dried-apricot" TargetMode="External"/><Relationship Id="rId37" Type="http://schemas.openxmlformats.org/officeDocument/2006/relationships/hyperlink" Target="https://www.nutritionix.com/food/pecan-nuts" TargetMode="External"/><Relationship Id="rId40" Type="http://schemas.openxmlformats.org/officeDocument/2006/relationships/hyperlink" Target="https://www.nutritionix.com/food/beef-patty" TargetMode="External"/><Relationship Id="rId45" Type="http://schemas.openxmlformats.org/officeDocument/2006/relationships/hyperlink" Target="https://www.nutritionix.com/food/white-bread" TargetMode="External"/><Relationship Id="rId53" Type="http://schemas.openxmlformats.org/officeDocument/2006/relationships/hyperlink" Target="https://www.nutritionix.com/food/grilled-pork-chop" TargetMode="External"/><Relationship Id="rId5" Type="http://schemas.openxmlformats.org/officeDocument/2006/relationships/hyperlink" Target="https://www.nutritionix.com/food/oatmeal-crisp-raisin" TargetMode="External"/><Relationship Id="rId10" Type="http://schemas.openxmlformats.org/officeDocument/2006/relationships/hyperlink" Target="https://www.nutritionix.com/food/scrambled-eggs" TargetMode="External"/><Relationship Id="rId19" Type="http://schemas.openxmlformats.org/officeDocument/2006/relationships/hyperlink" Target="https://www.nutritionix.com/food/dried-peach" TargetMode="External"/><Relationship Id="rId31" Type="http://schemas.openxmlformats.org/officeDocument/2006/relationships/hyperlink" Target="https://www.nutritionix.com/food/barbecue-beef-brisket" TargetMode="External"/><Relationship Id="rId44" Type="http://schemas.openxmlformats.org/officeDocument/2006/relationships/hyperlink" Target="https://www.nutritionix.com/food/borscht" TargetMode="External"/><Relationship Id="rId52" Type="http://schemas.openxmlformats.org/officeDocument/2006/relationships/hyperlink" Target="https://www.nutritionix.com/food/bulgarian-cucumber-soup" TargetMode="External"/><Relationship Id="rId4" Type="http://schemas.openxmlformats.org/officeDocument/2006/relationships/hyperlink" Target="https://www.nutritionix.com/food/oatmeal-with-brown-sugar" TargetMode="External"/><Relationship Id="rId9" Type="http://schemas.openxmlformats.org/officeDocument/2006/relationships/hyperlink" Target="https://www.nutritionix.com/food/cauliflower-cheese" TargetMode="External"/><Relationship Id="rId14" Type="http://schemas.openxmlformats.org/officeDocument/2006/relationships/hyperlink" Target="https://www.nutritionix.com/food/cherry-cobbler" TargetMode="External"/><Relationship Id="rId22" Type="http://schemas.openxmlformats.org/officeDocument/2006/relationships/hyperlink" Target="https://www.nutritionix.com/food/chicken-fajita" TargetMode="External"/><Relationship Id="rId27" Type="http://schemas.openxmlformats.org/officeDocument/2006/relationships/hyperlink" Target="https://www.nutritionix.com/food/grape-jelly" TargetMode="External"/><Relationship Id="rId30" Type="http://schemas.openxmlformats.org/officeDocument/2006/relationships/hyperlink" Target="https://www.nutritionix.com/food/rye-bread" TargetMode="External"/><Relationship Id="rId35" Type="http://schemas.openxmlformats.org/officeDocument/2006/relationships/hyperlink" Target="https://www.nutritionix.com/food/teriyaki-chicken" TargetMode="External"/><Relationship Id="rId43" Type="http://schemas.openxmlformats.org/officeDocument/2006/relationships/hyperlink" Target="https://www.nutritionix.com/food/sausage-patty" TargetMode="External"/><Relationship Id="rId48" Type="http://schemas.openxmlformats.org/officeDocument/2006/relationships/hyperlink" Target="https://www.nutritionix.com/food/peach-activia" TargetMode="External"/><Relationship Id="rId8" Type="http://schemas.openxmlformats.org/officeDocument/2006/relationships/hyperlink" Target="https://www.nutritionix.com/i/harrys/beef-stroganoff-with-noodles/591bf6f3eca5413a5dcd083b" TargetMode="External"/><Relationship Id="rId51" Type="http://schemas.openxmlformats.org/officeDocument/2006/relationships/hyperlink" Target="https://www.nutritionix.com/food/potato-pork-hash" TargetMode="External"/><Relationship Id="rId3" Type="http://schemas.openxmlformats.org/officeDocument/2006/relationships/hyperlink" Target="https://www.nutritionix.com/food/beef-fajita" TargetMode="External"/><Relationship Id="rId12" Type="http://schemas.openxmlformats.org/officeDocument/2006/relationships/hyperlink" Target="https://www.nutritionix.com/food/ramen-noodles-chicken" TargetMode="External"/><Relationship Id="rId17" Type="http://schemas.openxmlformats.org/officeDocument/2006/relationships/hyperlink" Target="https://www.nutritionix.com/food/grilled-chicken" TargetMode="External"/><Relationship Id="rId25" Type="http://schemas.openxmlformats.org/officeDocument/2006/relationships/hyperlink" Target="https://www.nutritionix.com/food/broccoli-au-gratin" TargetMode="External"/><Relationship Id="rId33" Type="http://schemas.openxmlformats.org/officeDocument/2006/relationships/hyperlink" Target="https://www.hsph.harvard.edu/nutritionsource/crawfish-touffe/" TargetMode="External"/><Relationship Id="rId38" Type="http://schemas.openxmlformats.org/officeDocument/2006/relationships/hyperlink" Target="https://www.nutritionix.com/food/apple-granola-bar" TargetMode="External"/><Relationship Id="rId46" Type="http://schemas.openxmlformats.org/officeDocument/2006/relationships/hyperlink" Target="https://www.nutritionix.com/food/ham" TargetMode="External"/><Relationship Id="rId20" Type="http://schemas.openxmlformats.org/officeDocument/2006/relationships/hyperlink" Target="https://www.nutritionix.com/food/smoked-turkey" TargetMode="External"/><Relationship Id="rId41" Type="http://schemas.openxmlformats.org/officeDocument/2006/relationships/hyperlink" Target="https://www.nutritionix.com/i/kroger/vegetables-italian-style/51c35b4a97c3e69de4b00273" TargetMode="External"/><Relationship Id="rId54" Type="http://schemas.openxmlformats.org/officeDocument/2006/relationships/printerSettings" Target="../printerSettings/printerSettings3.bin"/><Relationship Id="rId1" Type="http://schemas.openxmlformats.org/officeDocument/2006/relationships/hyperlink" Target="https://www.nutritionix.com/i/alaska-gourmet-granola/blueberry-vanilla-cluster-granola/568892e4d0a4312b1b403eb9" TargetMode="External"/><Relationship Id="rId6" Type="http://schemas.openxmlformats.org/officeDocument/2006/relationships/hyperlink" Target="https://www.nutritionix.com/food/raspberry-yogurt" TargetMode="External"/><Relationship Id="rId15" Type="http://schemas.openxmlformats.org/officeDocument/2006/relationships/hyperlink" Target="https://www.nutritionix.com/food/tortilla" TargetMode="External"/><Relationship Id="rId23" Type="http://schemas.openxmlformats.org/officeDocument/2006/relationships/hyperlink" Target="https://www.nutritionix.com/food/chicken-strips" TargetMode="External"/><Relationship Id="rId28" Type="http://schemas.openxmlformats.org/officeDocument/2006/relationships/hyperlink" Target="https://www.nutritionix.com/food/shrimp-cocktail" TargetMode="External"/><Relationship Id="rId36" Type="http://schemas.openxmlformats.org/officeDocument/2006/relationships/hyperlink" Target="https://www.nutritionix.com/food/rice-white" TargetMode="External"/><Relationship Id="rId49" Type="http://schemas.openxmlformats.org/officeDocument/2006/relationships/hyperlink" Target="https://www.nutritionix.com/i/stouffers/turkey-tetrazzini/51d2f80ccc9bff111580c60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4"/>
  <sheetViews>
    <sheetView tabSelected="1" zoomScale="74" zoomScaleNormal="74" workbookViewId="0">
      <selection activeCell="E25" sqref="E25"/>
    </sheetView>
  </sheetViews>
  <sheetFormatPr defaultColWidth="8.77734375" defaultRowHeight="14.4" x14ac:dyDescent="0.3"/>
  <cols>
    <col min="1" max="1" width="37.21875" customWidth="1"/>
    <col min="2" max="2" width="12.109375" customWidth="1"/>
    <col min="3" max="3" width="9.77734375" customWidth="1"/>
    <col min="4" max="4" width="39.33203125" customWidth="1"/>
    <col min="5" max="5" width="12.33203125" customWidth="1"/>
    <col min="6" max="6" width="6.109375" customWidth="1"/>
    <col min="7" max="7" width="34.6640625" customWidth="1"/>
    <col min="8" max="8" width="12.33203125" customWidth="1"/>
    <col min="9" max="9" width="10" customWidth="1"/>
    <col min="10" max="10" width="32.33203125" customWidth="1"/>
    <col min="11" max="11" width="12.44140625" customWidth="1"/>
    <col min="12" max="12" width="8.21875" customWidth="1"/>
    <col min="13" max="13" width="29.77734375" customWidth="1"/>
    <col min="14" max="14" width="12.33203125" customWidth="1"/>
  </cols>
  <sheetData>
    <row r="1" spans="1:23" x14ac:dyDescent="0.3">
      <c r="A1" t="s">
        <v>0</v>
      </c>
      <c r="B1" t="s">
        <v>10</v>
      </c>
      <c r="C1" t="s">
        <v>182</v>
      </c>
      <c r="D1" t="s">
        <v>1</v>
      </c>
      <c r="E1" t="s">
        <v>143</v>
      </c>
      <c r="F1" t="s">
        <v>183</v>
      </c>
      <c r="G1" t="s">
        <v>2</v>
      </c>
      <c r="H1" t="s">
        <v>181</v>
      </c>
      <c r="I1" t="s">
        <v>184</v>
      </c>
      <c r="J1" t="s">
        <v>3</v>
      </c>
      <c r="K1" t="s">
        <v>144</v>
      </c>
      <c r="L1" t="s">
        <v>185</v>
      </c>
      <c r="M1" t="s">
        <v>4</v>
      </c>
      <c r="N1" t="s">
        <v>145</v>
      </c>
      <c r="O1" t="s">
        <v>186</v>
      </c>
      <c r="Q1" s="5" t="s">
        <v>12</v>
      </c>
    </row>
    <row r="2" spans="1:23" ht="28.8" x14ac:dyDescent="0.3">
      <c r="A2" s="1" t="s">
        <v>87</v>
      </c>
      <c r="B2">
        <f>0.34</f>
        <v>0.34</v>
      </c>
      <c r="C2">
        <v>336</v>
      </c>
      <c r="D2" s="1" t="s">
        <v>151</v>
      </c>
      <c r="E2">
        <f>0.16 * 2</f>
        <v>0.32</v>
      </c>
      <c r="F2">
        <v>764</v>
      </c>
      <c r="G2" s="4" t="s">
        <v>155</v>
      </c>
      <c r="H2">
        <f>0.34</f>
        <v>0.34</v>
      </c>
      <c r="I2">
        <v>336</v>
      </c>
      <c r="J2" s="1" t="s">
        <v>161</v>
      </c>
      <c r="K2">
        <f>0.175</f>
        <v>0.17499999999999999</v>
      </c>
      <c r="L2">
        <v>459</v>
      </c>
      <c r="M2" s="1" t="s">
        <v>151</v>
      </c>
      <c r="N2">
        <f>0.32</f>
        <v>0.32</v>
      </c>
      <c r="O2">
        <v>764</v>
      </c>
      <c r="Q2" s="5" t="s">
        <v>12</v>
      </c>
    </row>
    <row r="3" spans="1:23" x14ac:dyDescent="0.3">
      <c r="A3" s="1" t="s">
        <v>150</v>
      </c>
      <c r="B3">
        <f>0.073</f>
        <v>7.2999999999999995E-2</v>
      </c>
      <c r="C3">
        <v>290.89999999999998</v>
      </c>
      <c r="D3" s="1" t="s">
        <v>152</v>
      </c>
      <c r="E3">
        <f>0.062 * 2</f>
        <v>0.124</v>
      </c>
      <c r="F3">
        <v>462</v>
      </c>
      <c r="G3" s="1" t="s">
        <v>156</v>
      </c>
      <c r="H3">
        <f>0.11</f>
        <v>0.11</v>
      </c>
      <c r="I3">
        <v>420</v>
      </c>
      <c r="J3" s="1" t="s">
        <v>188</v>
      </c>
      <c r="K3">
        <f>0.516</f>
        <v>0.51600000000000001</v>
      </c>
      <c r="L3">
        <v>440</v>
      </c>
      <c r="M3" s="1" t="s">
        <v>150</v>
      </c>
      <c r="N3">
        <f>0.073</f>
        <v>7.2999999999999995E-2</v>
      </c>
      <c r="O3">
        <v>290.89999999999998</v>
      </c>
      <c r="Q3" t="s">
        <v>137</v>
      </c>
    </row>
    <row r="4" spans="1:23" x14ac:dyDescent="0.3">
      <c r="A4" s="2" t="s">
        <v>146</v>
      </c>
      <c r="B4">
        <f>0.3795</f>
        <v>0.3795</v>
      </c>
      <c r="C4">
        <v>782.5</v>
      </c>
      <c r="D4" s="2" t="s">
        <v>107</v>
      </c>
      <c r="E4">
        <f>0.114</f>
        <v>0.114</v>
      </c>
      <c r="F4">
        <v>96</v>
      </c>
      <c r="G4" s="2" t="s">
        <v>157</v>
      </c>
      <c r="H4">
        <f>0.148</f>
        <v>0.14799999999999999</v>
      </c>
      <c r="I4">
        <v>448</v>
      </c>
      <c r="J4" s="2" t="s">
        <v>162</v>
      </c>
      <c r="K4">
        <f>0.032</f>
        <v>3.2000000000000001E-2</v>
      </c>
      <c r="L4">
        <v>188</v>
      </c>
      <c r="M4" s="2" t="s">
        <v>165</v>
      </c>
      <c r="N4">
        <f>0.21</f>
        <v>0.21</v>
      </c>
      <c r="O4">
        <v>237</v>
      </c>
      <c r="Q4" t="s">
        <v>154</v>
      </c>
    </row>
    <row r="5" spans="1:23" x14ac:dyDescent="0.3">
      <c r="A5" s="2" t="s">
        <v>200</v>
      </c>
      <c r="B5">
        <f>0.049 *2</f>
        <v>9.8000000000000004E-2</v>
      </c>
      <c r="C5">
        <v>318</v>
      </c>
      <c r="D5" s="2" t="s">
        <v>153</v>
      </c>
      <c r="E5">
        <f>0.175</f>
        <v>0.17499999999999999</v>
      </c>
      <c r="F5">
        <v>459</v>
      </c>
      <c r="G5" s="2" t="s">
        <v>158</v>
      </c>
      <c r="H5">
        <f>0.4</f>
        <v>0.4</v>
      </c>
      <c r="I5">
        <v>225</v>
      </c>
      <c r="J5" s="2" t="s">
        <v>189</v>
      </c>
      <c r="K5">
        <f>0.042</f>
        <v>4.2000000000000003E-2</v>
      </c>
      <c r="L5">
        <v>112</v>
      </c>
      <c r="M5" s="2" t="s">
        <v>166</v>
      </c>
      <c r="N5">
        <f>0.128</f>
        <v>0.128</v>
      </c>
      <c r="O5">
        <v>332</v>
      </c>
    </row>
    <row r="6" spans="1:23" x14ac:dyDescent="0.3">
      <c r="A6" s="3" t="s">
        <v>147</v>
      </c>
      <c r="B6">
        <v>0.111</v>
      </c>
      <c r="C6">
        <v>75</v>
      </c>
      <c r="D6" s="2"/>
      <c r="G6" s="3" t="s">
        <v>159</v>
      </c>
      <c r="H6">
        <f>0.212</f>
        <v>0.21199999999999999</v>
      </c>
      <c r="I6">
        <v>375</v>
      </c>
      <c r="J6" s="2" t="s">
        <v>201</v>
      </c>
      <c r="K6">
        <v>9.8000000000000004E-2</v>
      </c>
      <c r="L6">
        <v>318</v>
      </c>
    </row>
    <row r="7" spans="1:23" x14ac:dyDescent="0.3">
      <c r="A7" s="3" t="s">
        <v>148</v>
      </c>
      <c r="B7">
        <f>0.192 * 2</f>
        <v>0.38400000000000001</v>
      </c>
      <c r="C7">
        <v>568</v>
      </c>
      <c r="D7" s="2"/>
      <c r="G7" s="3" t="s">
        <v>160</v>
      </c>
      <c r="H7">
        <f>0.21</f>
        <v>0.21</v>
      </c>
      <c r="I7">
        <v>280</v>
      </c>
      <c r="J7" s="3" t="s">
        <v>163</v>
      </c>
      <c r="K7">
        <v>0.2</v>
      </c>
      <c r="L7">
        <v>250</v>
      </c>
      <c r="M7" s="3" t="s">
        <v>167</v>
      </c>
      <c r="N7">
        <f>0.16</f>
        <v>0.16</v>
      </c>
      <c r="O7">
        <v>404</v>
      </c>
    </row>
    <row r="8" spans="1:23" ht="15" thickBot="1" x14ac:dyDescent="0.35">
      <c r="A8" s="3" t="s">
        <v>149</v>
      </c>
      <c r="B8">
        <v>0.19800000000000001</v>
      </c>
      <c r="C8">
        <v>376</v>
      </c>
      <c r="D8" s="3" t="s">
        <v>139</v>
      </c>
      <c r="E8">
        <f>0.314</f>
        <v>0.314</v>
      </c>
      <c r="F8">
        <v>656</v>
      </c>
      <c r="J8" s="3" t="s">
        <v>164</v>
      </c>
      <c r="K8">
        <f>0.1029</f>
        <v>0.10290000000000001</v>
      </c>
      <c r="L8">
        <v>600</v>
      </c>
      <c r="M8" s="3" t="s">
        <v>168</v>
      </c>
      <c r="N8">
        <f>0.26</f>
        <v>0.26</v>
      </c>
      <c r="O8">
        <v>237</v>
      </c>
    </row>
    <row r="9" spans="1:23" ht="15.6" thickTop="1" thickBot="1" x14ac:dyDescent="0.35">
      <c r="A9" s="6" t="s">
        <v>187</v>
      </c>
      <c r="B9">
        <f>SUM(B2:B8)</f>
        <v>1.5834999999999999</v>
      </c>
      <c r="C9">
        <f>SUM(C2:C8)</f>
        <v>2746.4</v>
      </c>
      <c r="D9" s="6" t="s">
        <v>187</v>
      </c>
      <c r="E9">
        <f>SUM(E2:E8)</f>
        <v>1.0470000000000002</v>
      </c>
      <c r="F9">
        <f>SUBTOTAL(109,F2:F8)</f>
        <v>2437</v>
      </c>
      <c r="G9" s="6" t="s">
        <v>187</v>
      </c>
      <c r="H9">
        <f>SUM(H2:H8)</f>
        <v>1.42</v>
      </c>
      <c r="I9">
        <f>SUBTOTAL(109,I2:I7)</f>
        <v>2084</v>
      </c>
      <c r="J9" s="6" t="s">
        <v>187</v>
      </c>
      <c r="K9">
        <f>SUM(K2:K8)</f>
        <v>1.1659000000000002</v>
      </c>
      <c r="L9">
        <f>SUBTOTAL(109,L2:L8)</f>
        <v>2367</v>
      </c>
      <c r="M9" s="6" t="s">
        <v>187</v>
      </c>
      <c r="N9">
        <f>SUM(N2:N8)</f>
        <v>1.151</v>
      </c>
      <c r="O9">
        <f>SUBTOTAL(109,O2:O8)</f>
        <v>2264.9</v>
      </c>
    </row>
    <row r="10" spans="1:23" ht="15" thickTop="1" x14ac:dyDescent="0.3">
      <c r="A10" s="7" t="s">
        <v>142</v>
      </c>
      <c r="B10">
        <f>B9 + 0.12 *7</f>
        <v>2.4234999999999998</v>
      </c>
      <c r="D10" s="7" t="s">
        <v>142</v>
      </c>
      <c r="E10">
        <f>E9 + 0.12 *5</f>
        <v>1.6470000000000002</v>
      </c>
      <c r="G10" s="7" t="s">
        <v>142</v>
      </c>
      <c r="H10">
        <f>H9 + 0.12 *6</f>
        <v>2.1399999999999997</v>
      </c>
      <c r="J10" s="7" t="s">
        <v>142</v>
      </c>
      <c r="K10">
        <f>K9 + 0.12 *7</f>
        <v>2.0059</v>
      </c>
      <c r="M10" s="7" t="s">
        <v>142</v>
      </c>
      <c r="N10">
        <f>N9+0.12*6</f>
        <v>1.871</v>
      </c>
    </row>
    <row r="11" spans="1:23" ht="15" thickBot="1" x14ac:dyDescent="0.35">
      <c r="A11" t="s">
        <v>5</v>
      </c>
      <c r="B11" t="s">
        <v>10</v>
      </c>
      <c r="C11" t="s">
        <v>182</v>
      </c>
      <c r="D11" t="s">
        <v>6</v>
      </c>
      <c r="E11" t="s">
        <v>10</v>
      </c>
      <c r="G11" t="s">
        <v>7</v>
      </c>
      <c r="H11" t="s">
        <v>10</v>
      </c>
      <c r="I11" t="s">
        <v>182</v>
      </c>
      <c r="J11" t="s">
        <v>8</v>
      </c>
      <c r="K11" t="s">
        <v>10</v>
      </c>
      <c r="L11" t="s">
        <v>182</v>
      </c>
      <c r="M11" t="s">
        <v>9</v>
      </c>
      <c r="N11" t="s">
        <v>10</v>
      </c>
      <c r="O11" t="s">
        <v>182</v>
      </c>
    </row>
    <row r="12" spans="1:23" x14ac:dyDescent="0.3">
      <c r="A12" s="1" t="s">
        <v>170</v>
      </c>
      <c r="B12">
        <f>0.122</f>
        <v>0.122</v>
      </c>
      <c r="C12">
        <v>182</v>
      </c>
      <c r="D12" s="1" t="s">
        <v>173</v>
      </c>
      <c r="E12">
        <f>0.247</f>
        <v>0.247</v>
      </c>
      <c r="F12">
        <v>511</v>
      </c>
      <c r="G12" s="1" t="s">
        <v>98</v>
      </c>
      <c r="H12">
        <f>0.074</f>
        <v>7.3999999999999996E-2</v>
      </c>
      <c r="I12">
        <v>240</v>
      </c>
      <c r="J12" s="1" t="s">
        <v>195</v>
      </c>
      <c r="K12">
        <f>0.247 * 2</f>
        <v>0.49399999999999999</v>
      </c>
      <c r="L12">
        <f>2*253</f>
        <v>506</v>
      </c>
      <c r="M12" s="1" t="s">
        <v>125</v>
      </c>
      <c r="N12">
        <f>0.1</f>
        <v>0.1</v>
      </c>
      <c r="O12">
        <v>99</v>
      </c>
      <c r="T12" s="15" t="s">
        <v>13</v>
      </c>
      <c r="U12" s="16" t="s">
        <v>20</v>
      </c>
      <c r="V12" s="16"/>
      <c r="W12" s="17"/>
    </row>
    <row r="13" spans="1:23" x14ac:dyDescent="0.3">
      <c r="A13" s="1" t="s">
        <v>190</v>
      </c>
      <c r="B13">
        <f>0.028</f>
        <v>2.8000000000000001E-2</v>
      </c>
      <c r="C13">
        <v>67.2</v>
      </c>
      <c r="D13" s="1" t="s">
        <v>90</v>
      </c>
      <c r="E13">
        <f>0.015</f>
        <v>1.4999999999999999E-2</v>
      </c>
      <c r="F13">
        <v>100</v>
      </c>
      <c r="G13" s="1" t="s">
        <v>101</v>
      </c>
      <c r="H13">
        <f>0.075</f>
        <v>7.4999999999999997E-2</v>
      </c>
      <c r="I13">
        <v>288</v>
      </c>
      <c r="J13" s="1" t="s">
        <v>113</v>
      </c>
      <c r="K13">
        <f>0.054</f>
        <v>5.3999999999999999E-2</v>
      </c>
      <c r="L13">
        <v>176</v>
      </c>
      <c r="M13" s="1" t="s">
        <v>179</v>
      </c>
      <c r="N13">
        <v>0.25600000000000001</v>
      </c>
      <c r="O13">
        <v>423</v>
      </c>
      <c r="T13" s="9" t="s">
        <v>14</v>
      </c>
      <c r="U13" s="10" t="s">
        <v>19</v>
      </c>
      <c r="V13" s="10"/>
      <c r="W13" s="11"/>
    </row>
    <row r="14" spans="1:23" x14ac:dyDescent="0.3">
      <c r="A14" s="2" t="s">
        <v>171</v>
      </c>
      <c r="B14">
        <f>0.385</f>
        <v>0.38500000000000001</v>
      </c>
      <c r="C14">
        <v>602</v>
      </c>
      <c r="D14" s="2" t="s">
        <v>174</v>
      </c>
      <c r="E14">
        <f>0.556</f>
        <v>0.55600000000000005</v>
      </c>
      <c r="F14">
        <v>384</v>
      </c>
      <c r="G14" s="2" t="s">
        <v>104</v>
      </c>
      <c r="H14">
        <f>0.1133</f>
        <v>0.1133</v>
      </c>
      <c r="I14">
        <v>262.7</v>
      </c>
      <c r="J14" s="2" t="s">
        <v>196</v>
      </c>
      <c r="K14">
        <f>0.525 * 2</f>
        <v>1.05</v>
      </c>
      <c r="L14">
        <f>217 *2</f>
        <v>434</v>
      </c>
      <c r="M14" s="2" t="s">
        <v>180</v>
      </c>
      <c r="N14">
        <v>0.34</v>
      </c>
      <c r="O14">
        <v>470</v>
      </c>
      <c r="T14" s="9" t="s">
        <v>15</v>
      </c>
      <c r="U14" s="10" t="s">
        <v>18</v>
      </c>
      <c r="V14" s="10"/>
      <c r="W14" s="11"/>
    </row>
    <row r="15" spans="1:23" x14ac:dyDescent="0.3">
      <c r="A15" s="2" t="s">
        <v>191</v>
      </c>
      <c r="B15">
        <v>0.3</v>
      </c>
      <c r="C15">
        <v>375</v>
      </c>
      <c r="D15" s="2" t="s">
        <v>95</v>
      </c>
      <c r="E15">
        <v>0.14599999999999999</v>
      </c>
      <c r="F15">
        <v>706</v>
      </c>
      <c r="G15" s="2" t="s">
        <v>178</v>
      </c>
      <c r="H15">
        <v>0.21199999999999999</v>
      </c>
      <c r="I15">
        <v>375</v>
      </c>
      <c r="J15" s="2" t="s">
        <v>117</v>
      </c>
      <c r="K15">
        <f>0.111</f>
        <v>0.111</v>
      </c>
      <c r="L15">
        <v>294</v>
      </c>
      <c r="M15" s="2" t="s">
        <v>130</v>
      </c>
      <c r="N15">
        <v>0.22</v>
      </c>
      <c r="O15">
        <v>140</v>
      </c>
      <c r="T15" s="9" t="s">
        <v>16</v>
      </c>
      <c r="U15" s="10" t="s">
        <v>17</v>
      </c>
      <c r="V15" s="10"/>
      <c r="W15" s="11"/>
    </row>
    <row r="16" spans="1:23" ht="15" thickBot="1" x14ac:dyDescent="0.35">
      <c r="A16" s="3" t="s">
        <v>82</v>
      </c>
      <c r="B16">
        <f>0.2825</f>
        <v>0.28249999999999997</v>
      </c>
      <c r="C16">
        <v>435</v>
      </c>
      <c r="D16" s="3" t="s">
        <v>175</v>
      </c>
      <c r="E16">
        <v>0.21</v>
      </c>
      <c r="F16">
        <v>237</v>
      </c>
      <c r="G16" s="3" t="s">
        <v>108</v>
      </c>
      <c r="H16">
        <v>0.17100000000000001</v>
      </c>
      <c r="I16">
        <v>144</v>
      </c>
      <c r="J16" s="3" t="s">
        <v>122</v>
      </c>
      <c r="K16">
        <f>0.134</f>
        <v>0.13400000000000001</v>
      </c>
      <c r="L16">
        <v>186</v>
      </c>
      <c r="M16" s="3" t="s">
        <v>133</v>
      </c>
      <c r="N16">
        <v>0.27100000000000002</v>
      </c>
      <c r="O16">
        <v>415</v>
      </c>
      <c r="T16" s="12" t="s">
        <v>203</v>
      </c>
      <c r="U16" s="13" t="s">
        <v>202</v>
      </c>
      <c r="V16" s="13"/>
      <c r="W16" s="14"/>
    </row>
    <row r="17" spans="1:15" x14ac:dyDescent="0.3">
      <c r="A17" s="3"/>
      <c r="D17" s="3"/>
      <c r="G17" s="3" t="s">
        <v>164</v>
      </c>
      <c r="H17">
        <f>0.1029</f>
        <v>0.10290000000000001</v>
      </c>
      <c r="I17">
        <v>600</v>
      </c>
      <c r="J17" s="3"/>
      <c r="M17" s="3"/>
    </row>
    <row r="18" spans="1:15" ht="15" thickBot="1" x14ac:dyDescent="0.35">
      <c r="A18" s="3" t="s">
        <v>172</v>
      </c>
      <c r="B18">
        <f>0.316</f>
        <v>0.316</v>
      </c>
      <c r="C18">
        <v>410</v>
      </c>
      <c r="D18" s="3" t="s">
        <v>177</v>
      </c>
      <c r="E18">
        <f>0.195</f>
        <v>0.19500000000000001</v>
      </c>
      <c r="F18">
        <v>280</v>
      </c>
      <c r="G18" s="3" t="s">
        <v>194</v>
      </c>
      <c r="H18">
        <f>0.232</f>
        <v>0.23200000000000001</v>
      </c>
      <c r="I18">
        <v>106.6</v>
      </c>
      <c r="J18" s="3" t="s">
        <v>197</v>
      </c>
      <c r="K18">
        <f>0.245 *2</f>
        <v>0.49</v>
      </c>
      <c r="L18">
        <f>323*2</f>
        <v>646</v>
      </c>
      <c r="M18" s="3" t="s">
        <v>198</v>
      </c>
      <c r="N18">
        <f>2*0.241</f>
        <v>0.48199999999999998</v>
      </c>
      <c r="O18">
        <f>2*294</f>
        <v>588</v>
      </c>
    </row>
    <row r="19" spans="1:15" ht="15.6" thickTop="1" thickBot="1" x14ac:dyDescent="0.35">
      <c r="A19" s="6" t="s">
        <v>187</v>
      </c>
      <c r="B19">
        <f>SUM(B12:B18)</f>
        <v>1.4335</v>
      </c>
      <c r="C19">
        <f>SUBTOTAL(109,C12:C18)</f>
        <v>2071.1999999999998</v>
      </c>
      <c r="D19" s="6" t="s">
        <v>187</v>
      </c>
      <c r="E19">
        <f>SUM(E12:E18)</f>
        <v>1.3690000000000002</v>
      </c>
      <c r="F19">
        <f>SUBTOTAL(109,F12:F18)</f>
        <v>2218</v>
      </c>
      <c r="G19" s="6" t="s">
        <v>187</v>
      </c>
      <c r="H19">
        <f>SUM(H12:H18)</f>
        <v>0.98019999999999996</v>
      </c>
      <c r="I19">
        <f>SUBTOTAL(109,I12:I18)</f>
        <v>2016.3</v>
      </c>
      <c r="J19" s="6" t="s">
        <v>187</v>
      </c>
      <c r="K19">
        <f>SUM(K12:K18)</f>
        <v>2.3330000000000002</v>
      </c>
      <c r="L19">
        <f>SUBTOTAL(109,L12:L18)</f>
        <v>2242</v>
      </c>
      <c r="M19" s="6" t="s">
        <v>187</v>
      </c>
      <c r="N19">
        <f>SUM(N12:N18)</f>
        <v>1.6689999999999998</v>
      </c>
      <c r="O19">
        <f>SUBTOTAL(109,O12:O18)</f>
        <v>2135</v>
      </c>
    </row>
    <row r="20" spans="1:15" ht="15" thickTop="1" x14ac:dyDescent="0.3">
      <c r="A20" s="7" t="s">
        <v>142</v>
      </c>
      <c r="B20">
        <f>B19 + 0.12 *6</f>
        <v>2.1535000000000002</v>
      </c>
      <c r="D20" s="7" t="s">
        <v>142</v>
      </c>
      <c r="E20">
        <f>E19 + 0.12 *6</f>
        <v>2.0890000000000004</v>
      </c>
      <c r="G20" s="7" t="s">
        <v>142</v>
      </c>
      <c r="H20">
        <f>H19 + 0.12 *7</f>
        <v>1.8201999999999998</v>
      </c>
      <c r="J20" s="7" t="s">
        <v>142</v>
      </c>
      <c r="K20">
        <f>K19 + 0.12 *6</f>
        <v>3.0529999999999999</v>
      </c>
      <c r="M20" s="7" t="s">
        <v>142</v>
      </c>
      <c r="N20">
        <f>N19 + 0.12 *6</f>
        <v>2.3889999999999998</v>
      </c>
    </row>
    <row r="23" spans="1:15" x14ac:dyDescent="0.3">
      <c r="A23" s="8" t="s">
        <v>169</v>
      </c>
      <c r="B23">
        <f>B10+E10+H10+K10+N10+B20+E20+H20+K20+N20</f>
        <v>21.592100000000002</v>
      </c>
    </row>
    <row r="24" spans="1:15" x14ac:dyDescent="0.3">
      <c r="A24" t="s">
        <v>199</v>
      </c>
    </row>
  </sheetData>
  <phoneticPr fontId="8" type="noConversion"/>
  <hyperlinks>
    <hyperlink ref="Q2" r:id="rId1" xr:uid="{6E375FEF-C988-46D5-8799-B71AFA9A70DD}"/>
    <hyperlink ref="Q1" r:id="rId2" xr:uid="{68A88884-D9FD-4B42-AA1E-D64808F36F43}"/>
  </hyperlinks>
  <pageMargins left="0.7" right="0.7" top="0.75" bottom="0.75" header="0.3" footer="0.3"/>
  <pageSetup orientation="portrait" horizontalDpi="90" verticalDpi="90"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148EC-9BD0-4B04-A7EB-2FE42D3704B3}">
  <dimension ref="A1:C6"/>
  <sheetViews>
    <sheetView workbookViewId="0">
      <selection activeCell="C4" sqref="C4"/>
    </sheetView>
  </sheetViews>
  <sheetFormatPr defaultRowHeight="14.4" x14ac:dyDescent="0.3"/>
  <cols>
    <col min="1" max="1" width="25.88671875" customWidth="1"/>
    <col min="2" max="2" width="21.33203125" customWidth="1"/>
    <col min="3" max="3" width="15.109375" customWidth="1"/>
  </cols>
  <sheetData>
    <row r="1" spans="1:3" x14ac:dyDescent="0.3">
      <c r="A1" t="s">
        <v>204</v>
      </c>
      <c r="B1" t="s">
        <v>205</v>
      </c>
      <c r="C1" t="s">
        <v>206</v>
      </c>
    </row>
    <row r="2" spans="1:3" x14ac:dyDescent="0.3">
      <c r="A2">
        <v>2.9</v>
      </c>
      <c r="B2" s="18">
        <f>1/997.05</f>
        <v>1.0029587282483327E-3</v>
      </c>
      <c r="C2">
        <f>A2*B2</f>
        <v>2.9085803119201646E-3</v>
      </c>
    </row>
    <row r="3" spans="1:3" x14ac:dyDescent="0.3">
      <c r="A3">
        <v>2</v>
      </c>
      <c r="B3" s="18">
        <f>1/997.05</f>
        <v>1.0029587282483327E-3</v>
      </c>
      <c r="C3">
        <f>A3*B3</f>
        <v>2.0059174564966654E-3</v>
      </c>
    </row>
    <row r="6" spans="1:3" x14ac:dyDescent="0.3">
      <c r="C6">
        <v>2892</v>
      </c>
    </row>
  </sheetData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01FCD-FD11-4D4B-BB63-9017B499219E}">
  <dimension ref="A1:B54"/>
  <sheetViews>
    <sheetView workbookViewId="0">
      <selection activeCell="A29" sqref="A29"/>
    </sheetView>
  </sheetViews>
  <sheetFormatPr defaultColWidth="8.77734375" defaultRowHeight="14.4" x14ac:dyDescent="0.3"/>
  <cols>
    <col min="1" max="1" width="35" customWidth="1"/>
  </cols>
  <sheetData>
    <row r="1" spans="1:2" x14ac:dyDescent="0.3">
      <c r="A1" t="s">
        <v>47</v>
      </c>
      <c r="B1" s="5" t="s">
        <v>48</v>
      </c>
    </row>
    <row r="2" spans="1:2" x14ac:dyDescent="0.3">
      <c r="A2" t="s">
        <v>22</v>
      </c>
      <c r="B2" s="5" t="s">
        <v>42</v>
      </c>
    </row>
    <row r="3" spans="1:2" x14ac:dyDescent="0.3">
      <c r="A3" t="s">
        <v>36</v>
      </c>
      <c r="B3" s="5" t="s">
        <v>37</v>
      </c>
    </row>
    <row r="4" spans="1:2" x14ac:dyDescent="0.3">
      <c r="A4" t="s">
        <v>11</v>
      </c>
      <c r="B4" s="5" t="s">
        <v>25</v>
      </c>
    </row>
    <row r="5" spans="1:2" x14ac:dyDescent="0.3">
      <c r="A5" t="s">
        <v>21</v>
      </c>
      <c r="B5" s="5" t="s">
        <v>24</v>
      </c>
    </row>
    <row r="6" spans="1:2" x14ac:dyDescent="0.3">
      <c r="A6" t="s">
        <v>26</v>
      </c>
      <c r="B6" s="5" t="s">
        <v>23</v>
      </c>
    </row>
    <row r="7" spans="1:2" x14ac:dyDescent="0.3">
      <c r="A7" t="s">
        <v>27</v>
      </c>
      <c r="B7" s="5" t="s">
        <v>28</v>
      </c>
    </row>
    <row r="8" spans="1:2" x14ac:dyDescent="0.3">
      <c r="A8" t="s">
        <v>29</v>
      </c>
      <c r="B8" s="5" t="s">
        <v>30</v>
      </c>
    </row>
    <row r="9" spans="1:2" x14ac:dyDescent="0.3">
      <c r="A9" t="s">
        <v>32</v>
      </c>
      <c r="B9" s="5" t="s">
        <v>31</v>
      </c>
    </row>
    <row r="10" spans="1:2" x14ac:dyDescent="0.3">
      <c r="A10" t="s">
        <v>33</v>
      </c>
      <c r="B10" s="5" t="s">
        <v>34</v>
      </c>
    </row>
    <row r="11" spans="1:2" x14ac:dyDescent="0.3">
      <c r="A11" t="s">
        <v>57</v>
      </c>
      <c r="B11" s="5" t="s">
        <v>35</v>
      </c>
    </row>
    <row r="12" spans="1:2" x14ac:dyDescent="0.3">
      <c r="A12" t="s">
        <v>39</v>
      </c>
      <c r="B12" s="5" t="s">
        <v>38</v>
      </c>
    </row>
    <row r="13" spans="1:2" x14ac:dyDescent="0.3">
      <c r="A13" t="s">
        <v>41</v>
      </c>
      <c r="B13" s="5" t="s">
        <v>40</v>
      </c>
    </row>
    <row r="14" spans="1:2" x14ac:dyDescent="0.3">
      <c r="A14" t="s">
        <v>44</v>
      </c>
      <c r="B14" s="5" t="s">
        <v>43</v>
      </c>
    </row>
    <row r="15" spans="1:2" x14ac:dyDescent="0.3">
      <c r="A15" t="s">
        <v>46</v>
      </c>
      <c r="B15" s="5" t="s">
        <v>45</v>
      </c>
    </row>
    <row r="16" spans="1:2" x14ac:dyDescent="0.3">
      <c r="A16" t="s">
        <v>49</v>
      </c>
      <c r="B16" s="5" t="s">
        <v>50</v>
      </c>
    </row>
    <row r="17" spans="1:2" x14ac:dyDescent="0.3">
      <c r="A17" t="s">
        <v>51</v>
      </c>
      <c r="B17" s="5" t="s">
        <v>52</v>
      </c>
    </row>
    <row r="18" spans="1:2" x14ac:dyDescent="0.3">
      <c r="A18" t="s">
        <v>54</v>
      </c>
      <c r="B18" s="5" t="s">
        <v>53</v>
      </c>
    </row>
    <row r="19" spans="1:2" x14ac:dyDescent="0.3">
      <c r="A19" t="s">
        <v>55</v>
      </c>
      <c r="B19" s="5" t="s">
        <v>56</v>
      </c>
    </row>
    <row r="20" spans="1:2" x14ac:dyDescent="0.3">
      <c r="A20" t="s">
        <v>58</v>
      </c>
      <c r="B20" s="5" t="s">
        <v>59</v>
      </c>
    </row>
    <row r="21" spans="1:2" x14ac:dyDescent="0.3">
      <c r="A21" t="s">
        <v>60</v>
      </c>
      <c r="B21" s="5" t="s">
        <v>61</v>
      </c>
    </row>
    <row r="22" spans="1:2" x14ac:dyDescent="0.3">
      <c r="A22" t="s">
        <v>62</v>
      </c>
      <c r="B22" s="5" t="s">
        <v>63</v>
      </c>
    </row>
    <row r="23" spans="1:2" x14ac:dyDescent="0.3">
      <c r="A23" t="s">
        <v>64</v>
      </c>
      <c r="B23" s="5" t="s">
        <v>65</v>
      </c>
    </row>
    <row r="24" spans="1:2" x14ac:dyDescent="0.3">
      <c r="A24" t="s">
        <v>66</v>
      </c>
      <c r="B24" s="5" t="s">
        <v>67</v>
      </c>
    </row>
    <row r="25" spans="1:2" x14ac:dyDescent="0.3">
      <c r="A25" t="s">
        <v>68</v>
      </c>
      <c r="B25" s="5" t="s">
        <v>69</v>
      </c>
    </row>
    <row r="26" spans="1:2" x14ac:dyDescent="0.3">
      <c r="A26" t="s">
        <v>70</v>
      </c>
      <c r="B26" s="5" t="s">
        <v>71</v>
      </c>
    </row>
    <row r="27" spans="1:2" x14ac:dyDescent="0.3">
      <c r="A27" t="s">
        <v>72</v>
      </c>
      <c r="B27" s="5" t="s">
        <v>73</v>
      </c>
    </row>
    <row r="28" spans="1:2" x14ac:dyDescent="0.3">
      <c r="A28" t="s">
        <v>74</v>
      </c>
      <c r="B28" s="5" t="s">
        <v>75</v>
      </c>
    </row>
    <row r="29" spans="1:2" x14ac:dyDescent="0.3">
      <c r="A29" t="s">
        <v>77</v>
      </c>
      <c r="B29" s="5" t="s">
        <v>76</v>
      </c>
    </row>
    <row r="30" spans="1:2" x14ac:dyDescent="0.3">
      <c r="A30" t="s">
        <v>79</v>
      </c>
      <c r="B30" s="5" t="s">
        <v>78</v>
      </c>
    </row>
    <row r="31" spans="1:2" x14ac:dyDescent="0.3">
      <c r="A31" t="s">
        <v>80</v>
      </c>
      <c r="B31" s="5" t="s">
        <v>81</v>
      </c>
    </row>
    <row r="32" spans="1:2" x14ac:dyDescent="0.3">
      <c r="A32" t="s">
        <v>84</v>
      </c>
      <c r="B32" s="5" t="s">
        <v>83</v>
      </c>
    </row>
    <row r="33" spans="1:2" x14ac:dyDescent="0.3">
      <c r="A33" t="s">
        <v>85</v>
      </c>
      <c r="B33" s="5" t="s">
        <v>86</v>
      </c>
    </row>
    <row r="34" spans="1:2" x14ac:dyDescent="0.3">
      <c r="A34" t="s">
        <v>88</v>
      </c>
      <c r="B34" s="5" t="s">
        <v>89</v>
      </c>
    </row>
    <row r="35" spans="1:2" x14ac:dyDescent="0.3">
      <c r="A35" t="s">
        <v>91</v>
      </c>
      <c r="B35" s="5" t="s">
        <v>92</v>
      </c>
    </row>
    <row r="36" spans="1:2" x14ac:dyDescent="0.3">
      <c r="A36" t="s">
        <v>93</v>
      </c>
      <c r="B36" s="5" t="s">
        <v>94</v>
      </c>
    </row>
    <row r="37" spans="1:2" x14ac:dyDescent="0.3">
      <c r="A37" t="s">
        <v>96</v>
      </c>
      <c r="B37" s="5" t="s">
        <v>97</v>
      </c>
    </row>
    <row r="38" spans="1:2" x14ac:dyDescent="0.3">
      <c r="A38" t="s">
        <v>99</v>
      </c>
      <c r="B38" s="5" t="s">
        <v>100</v>
      </c>
    </row>
    <row r="39" spans="1:2" x14ac:dyDescent="0.3">
      <c r="A39" t="s">
        <v>102</v>
      </c>
      <c r="B39" s="5" t="s">
        <v>103</v>
      </c>
    </row>
    <row r="40" spans="1:2" x14ac:dyDescent="0.3">
      <c r="A40" t="s">
        <v>105</v>
      </c>
      <c r="B40" s="5" t="s">
        <v>106</v>
      </c>
    </row>
    <row r="41" spans="1:2" x14ac:dyDescent="0.3">
      <c r="A41" t="s">
        <v>109</v>
      </c>
      <c r="B41" s="5" t="s">
        <v>110</v>
      </c>
    </row>
    <row r="42" spans="1:2" x14ac:dyDescent="0.3">
      <c r="A42" t="s">
        <v>111</v>
      </c>
      <c r="B42" s="5" t="s">
        <v>112</v>
      </c>
    </row>
    <row r="43" spans="1:2" x14ac:dyDescent="0.3">
      <c r="A43" t="s">
        <v>114</v>
      </c>
      <c r="B43" s="5" t="s">
        <v>115</v>
      </c>
    </row>
    <row r="44" spans="1:2" x14ac:dyDescent="0.3">
      <c r="A44" t="s">
        <v>176</v>
      </c>
      <c r="B44" s="5" t="s">
        <v>116</v>
      </c>
    </row>
    <row r="45" spans="1:2" x14ac:dyDescent="0.3">
      <c r="A45" t="s">
        <v>118</v>
      </c>
      <c r="B45" s="5" t="s">
        <v>119</v>
      </c>
    </row>
    <row r="46" spans="1:2" x14ac:dyDescent="0.3">
      <c r="A46" t="s">
        <v>120</v>
      </c>
      <c r="B46" s="5" t="s">
        <v>121</v>
      </c>
    </row>
    <row r="47" spans="1:2" x14ac:dyDescent="0.3">
      <c r="A47" t="s">
        <v>123</v>
      </c>
      <c r="B47" s="5" t="s">
        <v>124</v>
      </c>
    </row>
    <row r="48" spans="1:2" x14ac:dyDescent="0.3">
      <c r="A48" t="s">
        <v>126</v>
      </c>
      <c r="B48" s="5" t="s">
        <v>127</v>
      </c>
    </row>
    <row r="49" spans="1:2" x14ac:dyDescent="0.3">
      <c r="A49" t="s">
        <v>128</v>
      </c>
      <c r="B49" s="5" t="s">
        <v>129</v>
      </c>
    </row>
    <row r="50" spans="1:2" x14ac:dyDescent="0.3">
      <c r="A50" t="s">
        <v>131</v>
      </c>
      <c r="B50" s="5" t="s">
        <v>132</v>
      </c>
    </row>
    <row r="51" spans="1:2" x14ac:dyDescent="0.3">
      <c r="A51" t="s">
        <v>134</v>
      </c>
      <c r="B51" s="5" t="s">
        <v>135</v>
      </c>
    </row>
    <row r="52" spans="1:2" x14ac:dyDescent="0.3">
      <c r="A52" t="s">
        <v>136</v>
      </c>
      <c r="B52" s="5" t="s">
        <v>140</v>
      </c>
    </row>
    <row r="53" spans="1:2" x14ac:dyDescent="0.3">
      <c r="A53" t="s">
        <v>138</v>
      </c>
      <c r="B53" s="5" t="s">
        <v>141</v>
      </c>
    </row>
    <row r="54" spans="1:2" x14ac:dyDescent="0.3">
      <c r="A54" t="s">
        <v>193</v>
      </c>
      <c r="B54" t="s">
        <v>192</v>
      </c>
    </row>
  </sheetData>
  <hyperlinks>
    <hyperlink ref="B1" r:id="rId1" xr:uid="{5045FD5A-E1F1-4507-AA6E-2BC7AE7BBC09}"/>
    <hyperlink ref="B2" r:id="rId2" xr:uid="{B589915B-C2A0-46A9-85B9-77345331E0DC}"/>
    <hyperlink ref="B3" r:id="rId3" xr:uid="{BAE120FF-61F7-47FD-A802-529A26216179}"/>
    <hyperlink ref="B20" r:id="rId4" xr:uid="{3E6A9F15-2B52-4702-A05C-FC4DA9A32595}"/>
    <hyperlink ref="B9" r:id="rId5" xr:uid="{585D25D0-9AB8-4031-AB15-5CD21B402F9E}"/>
    <hyperlink ref="B14" r:id="rId6" xr:uid="{F9541303-445A-47A7-88FF-10349898FB8B}"/>
    <hyperlink ref="B15" r:id="rId7" xr:uid="{B5F0ADF0-79F1-4A0C-8763-79B81F87028A}"/>
    <hyperlink ref="B19" r:id="rId8" xr:uid="{2BFA6487-BB3F-48C9-90D2-2B7D6E060D40}"/>
    <hyperlink ref="B28" r:id="rId9" xr:uid="{9AFBB720-63F6-4A6B-AB71-B015B13E7DAF}"/>
    <hyperlink ref="B29" r:id="rId10" xr:uid="{34278B50-F7CF-456D-ADC2-FE37B9134B16}"/>
    <hyperlink ref="B34" r:id="rId11" xr:uid="{6D88F146-0AA5-496F-A3DC-F443CC111517}"/>
    <hyperlink ref="B36" r:id="rId12" xr:uid="{FBAE1C12-C5A9-4810-9757-F7861D52BB0F}"/>
    <hyperlink ref="B37" r:id="rId13" xr:uid="{EAFEDD85-8C98-4559-9994-EB3CDE136826}"/>
    <hyperlink ref="B13" r:id="rId14" xr:uid="{6BAAA3BB-6E29-4974-8E43-D4E99A702DB3}"/>
    <hyperlink ref="B4" r:id="rId15" xr:uid="{40F6E901-FFDE-4C2F-8850-9342FD945766}"/>
    <hyperlink ref="B5" r:id="rId16" xr:uid="{AAB5EADF-2930-414A-8CA1-05955EDCFD1D}"/>
    <hyperlink ref="B6" r:id="rId17" xr:uid="{B38ABACC-18F9-483F-A441-D1168B0568FB}"/>
    <hyperlink ref="B7" r:id="rId18" xr:uid="{EDC22133-3F9A-4BE7-A121-5F1729987146}"/>
    <hyperlink ref="B8" r:id="rId19" xr:uid="{65BD5169-741D-4EE6-AC2B-547753297B93}"/>
    <hyperlink ref="B10" r:id="rId20" xr:uid="{0F332F85-3363-4F93-8760-07AD9910E865}"/>
    <hyperlink ref="B11" r:id="rId21" xr:uid="{556F47D9-5EEA-443E-904C-EC67497CD20C}"/>
    <hyperlink ref="B12" r:id="rId22" xr:uid="{AABF48EA-0DE9-4599-B6F4-54CB9A815C91}"/>
    <hyperlink ref="B16" r:id="rId23" xr:uid="{F65549BB-8E4E-42A8-8C95-70316976B349}"/>
    <hyperlink ref="B17" r:id="rId24" xr:uid="{55976B01-A85F-466F-A76B-832B16EEA55D}"/>
    <hyperlink ref="B18" r:id="rId25" xr:uid="{D6FD9716-1310-4937-900B-87430401EE44}"/>
    <hyperlink ref="B21" r:id="rId26" xr:uid="{1BE30E2F-4645-41A7-A1E9-10359499634A}"/>
    <hyperlink ref="B22" r:id="rId27" xr:uid="{037819F8-743D-4830-BA41-E6E9572CA896}"/>
    <hyperlink ref="B23" r:id="rId28" xr:uid="{CEF06484-DFC9-4148-B133-286F94C2EFDD}"/>
    <hyperlink ref="B25" r:id="rId29" xr:uid="{823588FC-7195-4C25-A61B-FE598258E2C7}"/>
    <hyperlink ref="B26" r:id="rId30" xr:uid="{A456302F-07A1-4670-972E-2541BCBD30D3}"/>
    <hyperlink ref="B27" r:id="rId31" xr:uid="{1FA0AB8A-D29B-4F3C-BCE2-FA64262DC6E5}"/>
    <hyperlink ref="B30" r:id="rId32" xr:uid="{A3D8B59F-A50A-41A4-BDB5-56B155E54041}"/>
    <hyperlink ref="B24" r:id="rId33" xr:uid="{20EFC60F-CB98-4C49-AD40-040245BE0478}"/>
    <hyperlink ref="B31" r:id="rId34" xr:uid="{468A17B7-4DB4-4D52-A1FA-6809D300D355}"/>
    <hyperlink ref="B32" r:id="rId35" xr:uid="{E9BD46D5-6EC5-4826-A98B-24E66CAEFDFF}"/>
    <hyperlink ref="B33" r:id="rId36" xr:uid="{D2F0FD32-E7C1-4DC2-9DAB-38555BE647AB}"/>
    <hyperlink ref="B35" r:id="rId37" xr:uid="{1F007E60-9445-42E0-83A4-B6FE8FB1BA58}"/>
    <hyperlink ref="B38" r:id="rId38" xr:uid="{8B2CAEBF-4EF2-465D-97C3-78EC9DDB9A50}"/>
    <hyperlink ref="B39" r:id="rId39" xr:uid="{CE0E76B5-2729-451D-9E11-80CB9CD9FCC5}"/>
    <hyperlink ref="B40" r:id="rId40" xr:uid="{6E72FC53-C55B-48A5-A27A-41FA453F3753}"/>
    <hyperlink ref="B41" r:id="rId41" xr:uid="{7B1412C1-677F-4E1A-925E-34F9EC3400E6}"/>
    <hyperlink ref="B42" r:id="rId42" xr:uid="{8C3485E7-8529-4CED-9EDB-B062B3436FEF}"/>
    <hyperlink ref="B43" r:id="rId43" xr:uid="{E923C65E-F418-45C7-A189-1BD14439352B}"/>
    <hyperlink ref="B44" r:id="rId44" xr:uid="{0C7694D0-8898-40A1-9D5E-B0D15912770A}"/>
    <hyperlink ref="B45" r:id="rId45" xr:uid="{4639602E-AC80-4D17-8064-199972A73806}"/>
    <hyperlink ref="B46" r:id="rId46" xr:uid="{03EC9A96-C934-4711-AD89-D1B1D6FAEC5E}"/>
    <hyperlink ref="B47" r:id="rId47" xr:uid="{85AD1FAA-B07C-4C9A-8497-88A840852C78}"/>
    <hyperlink ref="B48" r:id="rId48" xr:uid="{46FF90E0-E9A0-49F3-A61E-D73C7F1AF447}"/>
    <hyperlink ref="B49" r:id="rId49" xr:uid="{6D4735EF-1958-4191-85A7-7E7D823658EB}"/>
    <hyperlink ref="B50" r:id="rId50" xr:uid="{C32DCC83-D5A7-4C11-B0E1-07839E2ECE26}"/>
    <hyperlink ref="B51" r:id="rId51" xr:uid="{0791A38C-D21A-4A9A-8123-37315870B80D}"/>
    <hyperlink ref="B52" r:id="rId52" xr:uid="{55FBF921-1A61-462F-92EC-48D28DA5A3BC}"/>
    <hyperlink ref="B53" r:id="rId53" xr:uid="{46553809-4335-41D9-BAFF-42A0A21B418B}"/>
  </hyperlinks>
  <pageMargins left="0.7" right="0.7" top="0.75" bottom="0.75" header="0.3" footer="0.3"/>
  <pageSetup orientation="portrait" horizontalDpi="90" verticalDpi="90" r:id="rId5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A2449-7399-45F3-9171-16C856629A2F}">
  <dimension ref="A1:B5"/>
  <sheetViews>
    <sheetView workbookViewId="0">
      <selection activeCell="B6" sqref="B6"/>
    </sheetView>
  </sheetViews>
  <sheetFormatPr defaultColWidth="8.77734375" defaultRowHeight="14.4" x14ac:dyDescent="0.3"/>
  <sheetData>
    <row r="1" spans="1:2" x14ac:dyDescent="0.3">
      <c r="A1" t="s">
        <v>13</v>
      </c>
      <c r="B1" t="s">
        <v>20</v>
      </c>
    </row>
    <row r="2" spans="1:2" x14ac:dyDescent="0.3">
      <c r="A2" t="s">
        <v>14</v>
      </c>
      <c r="B2" t="s">
        <v>19</v>
      </c>
    </row>
    <row r="3" spans="1:2" x14ac:dyDescent="0.3">
      <c r="A3" t="s">
        <v>15</v>
      </c>
      <c r="B3" t="s">
        <v>18</v>
      </c>
    </row>
    <row r="4" spans="1:2" x14ac:dyDescent="0.3">
      <c r="A4" t="s">
        <v>16</v>
      </c>
      <c r="B4" t="s">
        <v>17</v>
      </c>
    </row>
    <row r="5" spans="1:2" x14ac:dyDescent="0.3">
      <c r="A5" t="s">
        <v>203</v>
      </c>
      <c r="B5" t="s">
        <v>202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Menu</vt:lpstr>
      <vt:lpstr>Water Storage</vt:lpstr>
      <vt:lpstr>Sources</vt:lpstr>
      <vt:lpstr>Symbol Meaning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Alvarez</dc:creator>
  <cp:lastModifiedBy>Kyle Alvarez</cp:lastModifiedBy>
  <dcterms:created xsi:type="dcterms:W3CDTF">2015-06-05T18:17:20Z</dcterms:created>
  <dcterms:modified xsi:type="dcterms:W3CDTF">2021-04-03T14:40:32Z</dcterms:modified>
</cp:coreProperties>
</file>