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bitat Sizing Calculations" sheetId="1" r:id="rId4"/>
    <sheet state="visible" name="Crew Module" sheetId="2" r:id="rId5"/>
    <sheet state="visible" name="Habitat Sizing Summary" sheetId="3" r:id="rId6"/>
    <sheet state="visible" name="Mass, Water, and Power Calculat" sheetId="4" r:id="rId7"/>
    <sheet state="visible" name="Mass, Water, and Power Summary" sheetId="5" r:id="rId8"/>
  </sheets>
  <definedNames/>
  <calcPr/>
</workbook>
</file>

<file path=xl/sharedStrings.xml><?xml version="1.0" encoding="utf-8"?>
<sst xmlns="http://schemas.openxmlformats.org/spreadsheetml/2006/main" count="381" uniqueCount="271">
  <si>
    <t>Habitable Volume per Person vs Mass and Cost</t>
  </si>
  <si>
    <t>Cafeteria Sizing</t>
  </si>
  <si>
    <t>Percent of House to Each Space</t>
  </si>
  <si>
    <t>Total Floor Area [m2]</t>
  </si>
  <si>
    <t>Crew Size</t>
  </si>
  <si>
    <t>Habitat</t>
  </si>
  <si>
    <t>Habitable Volume [m3]</t>
  </si>
  <si>
    <t>Habitat Mass [kg]</t>
  </si>
  <si>
    <t>m3/person*</t>
  </si>
  <si>
    <t>Source</t>
  </si>
  <si>
    <t>m2/person</t>
  </si>
  <si>
    <t>https://nahbclassic.org/generic.aspx?genericContentID=216616</t>
  </si>
  <si>
    <t>ISS</t>
  </si>
  <si>
    <t>https://maxsungroup.com/seating-capacity-layout/</t>
  </si>
  <si>
    <t>Room</t>
  </si>
  <si>
    <t>Percent</t>
  </si>
  <si>
    <t>Area [m2]</t>
  </si>
  <si>
    <t>Skylab</t>
  </si>
  <si>
    <t>https://totalfood.com/how-to-create-a-restaurant-floor-plan/</t>
  </si>
  <si>
    <t>Kitchen</t>
  </si>
  <si>
    <t>Mir</t>
  </si>
  <si>
    <t>https://www.engineeringtoolbox.com/number-persons-buildings-d_118.html</t>
  </si>
  <si>
    <t>Dining</t>
  </si>
  <si>
    <t>McMurdo Station Lodging Facility</t>
  </si>
  <si>
    <t>-</t>
  </si>
  <si>
    <t>Living/Family Room</t>
  </si>
  <si>
    <t>Lunar Colony Concept</t>
  </si>
  <si>
    <t>Mars Experiement</t>
  </si>
  <si>
    <t>Average</t>
  </si>
  <si>
    <t>Bathrooms</t>
  </si>
  <si>
    <t>Laundry</t>
  </si>
  <si>
    <t>*Includes bedroom, living space, bathroom, kitchen, storage</t>
  </si>
  <si>
    <t>Kitchen Sizing</t>
  </si>
  <si>
    <t>Bedrooms</t>
  </si>
  <si>
    <t>Bedroom/Private Space</t>
  </si>
  <si>
    <t>Ceiling</t>
  </si>
  <si>
    <t>https://www.samtell.com/blog/average-commercial-kitchen-size</t>
  </si>
  <si>
    <t>Entry</t>
  </si>
  <si>
    <t>Height [m]</t>
  </si>
  <si>
    <t>Area per Seat [m2]</t>
  </si>
  <si>
    <t>Other (Closets, hallways, etc)</t>
  </si>
  <si>
    <t>Min US Bedroom</t>
  </si>
  <si>
    <t>US Bedroom</t>
  </si>
  <si>
    <t>Total Area (19 people)</t>
  </si>
  <si>
    <t>Total</t>
  </si>
  <si>
    <t>Average US Bedroom</t>
  </si>
  <si>
    <t>Mars Exp.</t>
  </si>
  <si>
    <t>Mars Experiment</t>
  </si>
  <si>
    <t>McMurdo Station</t>
  </si>
  <si>
    <t>Bathroom Sizing</t>
  </si>
  <si>
    <t>Approximate Size of Habitat (Take Max?)</t>
  </si>
  <si>
    <t>Laundry Sizing</t>
  </si>
  <si>
    <t>Lunary Colony Concept</t>
  </si>
  <si>
    <t>https://thehostelhelper.com/hostel-bathroom/</t>
  </si>
  <si>
    <t>Recommended Habitat Size [m2]</t>
  </si>
  <si>
    <t>Washer/Dryer Width Need [m]</t>
  </si>
  <si>
    <t>People per toilet</t>
  </si>
  <si>
    <t>Bedrooms(19)</t>
  </si>
  <si>
    <t>Washer/Dryer Depth Needed [m]</t>
  </si>
  <si>
    <t>People per sink</t>
  </si>
  <si>
    <t>Total Volume (Stacked) [m3]</t>
  </si>
  <si>
    <t>Results</t>
  </si>
  <si>
    <t>People per shower</t>
  </si>
  <si>
    <t>Ceiling Height [m]</t>
  </si>
  <si>
    <t>Totals</t>
  </si>
  <si>
    <t>Bathroom</t>
  </si>
  <si>
    <t>Bedroom Area [m2]</t>
  </si>
  <si>
    <t>Toilets</t>
  </si>
  <si>
    <t>Bedroom Volume (V = A * h) [m3]</t>
  </si>
  <si>
    <t>Sinks</t>
  </si>
  <si>
    <t>Habitat Volume [m3 / person]</t>
  </si>
  <si>
    <t>Showers</t>
  </si>
  <si>
    <t>My Suggested Living Quarter Bathroom</t>
  </si>
  <si>
    <t>One for each Sex</t>
  </si>
  <si>
    <t>https://www.shrm.org/resourcesandtools/hr-topics/risk-management/pages/osha-restroom-rules.aspx</t>
  </si>
  <si>
    <t>Sources</t>
  </si>
  <si>
    <t>https://www.nasa.gov/feature/facts-and-figures</t>
  </si>
  <si>
    <t>https://en.wikipedia.org/wiki/International_Space_Station_programme</t>
  </si>
  <si>
    <t>https://www.space.com/21055-skylab-space-station-nasa-infographic.html</t>
  </si>
  <si>
    <t>https://en.wikipedia.org/wiki/Skylab#Program_cost</t>
  </si>
  <si>
    <t>My Suggested Common Area Bathroom</t>
  </si>
  <si>
    <t>https://en.wikipedia.org/wiki/Mir</t>
  </si>
  <si>
    <t>https://future.usap.gov/itc-general-2/02-McMurdo-Lodging-Draft-Modular-PS.pdf</t>
  </si>
  <si>
    <t>https://www.arcgis.com/home/item.html?id=b597302950234000b7ba4fa33cd785eb</t>
  </si>
  <si>
    <t>Homesickness on Mars (Google Drive, Crew Quaters Folder)</t>
  </si>
  <si>
    <t>https://www.thebalance.com/does-bedroom-need-closet-1798997</t>
  </si>
  <si>
    <t>Avg US Bedroom</t>
  </si>
  <si>
    <t>https://www.homestratosphere.com/average-size-bedroom/</t>
  </si>
  <si>
    <t>Sizing</t>
  </si>
  <si>
    <t>https://www.hunker.com/13400875/typical-shower-dimensions</t>
  </si>
  <si>
    <t>Moon Base Concept (Google Drive, Crew Quarters Folder)</t>
  </si>
  <si>
    <t>Shower Stall</t>
  </si>
  <si>
    <t>LIving Bath</t>
  </si>
  <si>
    <t>Common Bath</t>
  </si>
  <si>
    <t>Total Bath</t>
  </si>
  <si>
    <t>Wall Mass</t>
  </si>
  <si>
    <t>Al density [kg/m3]</t>
  </si>
  <si>
    <t>Value</t>
  </si>
  <si>
    <t>Thickness of wall [m]</t>
  </si>
  <si>
    <t>Multiply thickness of 20 gauge Al by 2 (one sheet per side)</t>
  </si>
  <si>
    <t>Avg. height of wall [m]</t>
  </si>
  <si>
    <t>Rec. Room depth [m]</t>
  </si>
  <si>
    <t>Rec Room width [m]</t>
  </si>
  <si>
    <t>End Room depth [m]</t>
  </si>
  <si>
    <t>End Room width [m]</t>
  </si>
  <si>
    <t>Bathroom depth [m]</t>
  </si>
  <si>
    <t>Bathroom width [m]</t>
  </si>
  <si>
    <t>Volume [m3]</t>
  </si>
  <si>
    <t>Quantity</t>
  </si>
  <si>
    <t>Total Volume [m3]</t>
  </si>
  <si>
    <t>Depth walls</t>
  </si>
  <si>
    <t>Long width walls</t>
  </si>
  <si>
    <t>Short width walls</t>
  </si>
  <si>
    <t>MOE (20%)</t>
  </si>
  <si>
    <t>Total Wall Mass [kg]</t>
  </si>
  <si>
    <t>Density</t>
  </si>
  <si>
    <t>https://www.thyssenkrupp-materials.co.uk/density-of-aluminium.html</t>
  </si>
  <si>
    <t>Thickness of Al</t>
  </si>
  <si>
    <t>https://www.protocase.com/products/materials-components-finishes/materials/aluminum.php</t>
  </si>
  <si>
    <t>Item</t>
  </si>
  <si>
    <t>Mass [kg]</t>
  </si>
  <si>
    <t>Total Mass [kg]</t>
  </si>
  <si>
    <t>Power [kW]</t>
  </si>
  <si>
    <t>Total Power [kW]</t>
  </si>
  <si>
    <t>Toilet</t>
  </si>
  <si>
    <t>https://www.google.com/url?sa=t&amp;rct=j&amp;q=&amp;esrc=s&amp;source=web&amp;cd=&amp;cad=rja&amp;uact=8&amp;ved=2ahUKEwimo9G3k9vvAhVKV80KHS6eA_MQFjABegQIBhAD&amp;url=https%3A%2F%2Fwww.cnet.com%2Fnews%2Fnasa-astronaut-shows-off-new-23-million-space-toilet-that-just-landed-on-iss%2F&amp;usg=AOvVaw2OGdeMZxnvKy30eHXm8KEa</t>
  </si>
  <si>
    <t>Sink</t>
  </si>
  <si>
    <t>https://www.google.com/url?sa=t&amp;rct=j&amp;q=&amp;esrc=s&amp;source=web&amp;cd=&amp;cad=rja&amp;uact=8&amp;ved=2ahUKEwj6kMXLk9vvAhXFZc0KHeYyDvMQFjAAegQIDBAD&amp;url=http%3A%2F%2Fwww.rempros.com%2Fdimensions%2Fbathroom_sink_sizes.html&amp;usg=AOvVaw3W8vlwVN-a45q-Y1PYJP3q</t>
  </si>
  <si>
    <t>TV w/ Stand</t>
  </si>
  <si>
    <t>Matress</t>
  </si>
  <si>
    <t>https://www.google.com/url?sa=t&amp;rct=j&amp;q=&amp;esrc=s&amp;source=web&amp;cd=&amp;cad=rja&amp;uact=8&amp;ved=2ahUKEwijrP_nk9vvAhULbs0KHZpJDjgQFjABegQIBBAD&amp;url=https%3A%2F%2Fwww.leesa.com%2Fblogs%2Fquestions-and-answers%2Fhow-much-does-the-leesa-mattress-weigh&amp;usg=AOvVaw3J9ZnEyiqZ2GL8uPjSz8FN</t>
  </si>
  <si>
    <t>Bedframe</t>
  </si>
  <si>
    <t>https://www.amazon.com/DHP-Studio-Bookcase-Metal-Frame/dp/B00RHH5176/ref=sr_1_1?dchild=1&amp;keywords=twin+xl+lofted+bed&amp;qid=1617215149&amp;sr=8-1</t>
  </si>
  <si>
    <t>Chair</t>
  </si>
  <si>
    <t>https://www.google.com/url?sa=t&amp;rct=j&amp;q=&amp;esrc=s&amp;source=web&amp;cd=&amp;cad=rja&amp;uact=8&amp;ved=2ahUKEwjZiKi9lNvvAhVBaM0KHYo7CvIQFjAKegQIAhAD&amp;url=http%3A%2F%2Fergonomictrends.com%2Fbest-ergonomic-gaming-chairs-under-200%2F&amp;usg=AOvVaw3_P80F2eyuRq14rrTHb2ZR</t>
  </si>
  <si>
    <t>Computer</t>
  </si>
  <si>
    <t>https://www.google.com/url?sa=t&amp;rct=j&amp;q=&amp;esrc=s&amp;source=web&amp;cd=&amp;cad=rja&amp;uact=8&amp;ved=2ahUKEwiE-urnlNvvAhWTW80KHUMFA_MQFjAAegQIAxAD&amp;url=https%3A%2F%2Fwww.techwalla.com%2Farticles%2Fwhat-are-the-dimensions-of-full-tower-computer-cases&amp;usg=AOvVaw2IOuAHu97Esddv3wuC0FPo</t>
  </si>
  <si>
    <t>Walls</t>
  </si>
  <si>
    <t>Overall Habitat Minimums</t>
  </si>
  <si>
    <t>Area per Room Based on Percentage Found</t>
  </si>
  <si>
    <t>Volume [m3/person]</t>
  </si>
  <si>
    <t>Suggested Area [m2]</t>
  </si>
  <si>
    <t>Minimum Area [m2]</t>
  </si>
  <si>
    <t>Difference [m2]</t>
  </si>
  <si>
    <t>Bedroom Minimums</t>
  </si>
  <si>
    <t>Cafeteria Minimums</t>
  </si>
  <si>
    <t>Area per Person [m2]</t>
  </si>
  <si>
    <t>Total Cafeteria Volume [m3]</t>
  </si>
  <si>
    <t>Total Cafeteria Area [m2]</t>
  </si>
  <si>
    <t>Total Bedroom Volume</t>
  </si>
  <si>
    <t>Total Bedroom Area</t>
  </si>
  <si>
    <t>Kitchen Minimums</t>
  </si>
  <si>
    <t>Bathroom Minimums</t>
  </si>
  <si>
    <t>Total Kitchen Volume [m3]</t>
  </si>
  <si>
    <t>Male Full Bath</t>
  </si>
  <si>
    <t>Total Kitchen Area [m2]</t>
  </si>
  <si>
    <t># Toilets</t>
  </si>
  <si>
    <t># Sinks</t>
  </si>
  <si>
    <t>Laundry Minimums</t>
  </si>
  <si>
    <t># Showers</t>
  </si>
  <si>
    <t>Stacked Configuration</t>
  </si>
  <si>
    <t>Total Laundry Volume [m3]</t>
  </si>
  <si>
    <t>Total Laundry Area [m2]</t>
  </si>
  <si>
    <t>Female Full Bath</t>
  </si>
  <si>
    <t>Half Bath</t>
  </si>
  <si>
    <t>Total Bathroom Volume</t>
  </si>
  <si>
    <t>Total Bathroom Area</t>
  </si>
  <si>
    <t>Mass of Wardrobe (Avg of Man &amp; Woman)</t>
  </si>
  <si>
    <t>Assumptions</t>
  </si>
  <si>
    <t>Total per Person</t>
  </si>
  <si>
    <t>Pants and sweaters can be worn 5 times before wash</t>
  </si>
  <si>
    <t>Women</t>
  </si>
  <si>
    <t>Shirts can be worn 2 times before wash</t>
  </si>
  <si>
    <t>Shirts (Avg of Tshirt and Shirt)</t>
  </si>
  <si>
    <t>Underwear and socks can be worn once before wash</t>
  </si>
  <si>
    <t>Pants (Avg of Pants and Jeans)</t>
  </si>
  <si>
    <t>Enough wears for 10 days (7 days of the week + extra day due to washing + couple spares)</t>
  </si>
  <si>
    <t>Shorts</t>
  </si>
  <si>
    <t>$/kg based on F9 rocket</t>
  </si>
  <si>
    <t>Bras</t>
  </si>
  <si>
    <t>Bring 1 Washer, 1 Dryer</t>
  </si>
  <si>
    <t>Underwear</t>
  </si>
  <si>
    <t>Loads of laundry are split evenly between days of the week</t>
  </si>
  <si>
    <t>Socks</t>
  </si>
  <si>
    <t>Sweater</t>
  </si>
  <si>
    <t>Mass per person</t>
  </si>
  <si>
    <t>https://www.cdc.gov/nchs/fastats/body-measurements.htm</t>
  </si>
  <si>
    <t>Shoes (Running Shoes)</t>
  </si>
  <si>
    <t>Men</t>
  </si>
  <si>
    <t>Total Man</t>
  </si>
  <si>
    <t>Total Woman</t>
  </si>
  <si>
    <t>Washer/Dryer Specs</t>
  </si>
  <si>
    <t>kg</t>
  </si>
  <si>
    <t>kg/load</t>
  </si>
  <si>
    <t>L/load</t>
  </si>
  <si>
    <t>Washer</t>
  </si>
  <si>
    <t>Dryer</t>
  </si>
  <si>
    <t>Total Power, Cost, and Mass Comparison</t>
  </si>
  <si>
    <t>Washer/Dryer</t>
  </si>
  <si>
    <t>Ship to Moon</t>
  </si>
  <si>
    <t>Clothes per Day [kg]</t>
  </si>
  <si>
    <t>Shower</t>
  </si>
  <si>
    <t>Clothes per Week [kg]</t>
  </si>
  <si>
    <t>Clothes per Year [kg]</t>
  </si>
  <si>
    <t>Flow Rate (L/min)</t>
  </si>
  <si>
    <t>https://www.waterpik.com/shower-head/blog/5-things-to-know-about-flow-rate-when-choosing-shower-head/</t>
  </si>
  <si>
    <t>Total Mass of Clothes/Washer &amp; Dryer @ Launch [kg]</t>
  </si>
  <si>
    <t>Duration [min]</t>
  </si>
  <si>
    <t>https://www.epa.gov/sites/production/files/2017-02/documents/ws-ourwater-shower-better-learning-resource_0.pdf</t>
  </si>
  <si>
    <t>Showers per Week</t>
  </si>
  <si>
    <t>https://www.self.com/story/how-often-to-shower</t>
  </si>
  <si>
    <t>Number of Loads</t>
  </si>
  <si>
    <t>Total Water Consumption per Person per Wash [L]</t>
  </si>
  <si>
    <t>Loads per Day</t>
  </si>
  <si>
    <t>Total Water Consumption per Year [L]</t>
  </si>
  <si>
    <t>Power per Load [kWh]</t>
  </si>
  <si>
    <t>Total Water Consumption per Day [L]</t>
  </si>
  <si>
    <t>Power per Day [kWh]</t>
  </si>
  <si>
    <t>Mass of 250W Panel</t>
  </si>
  <si>
    <t>Use/Day/Person</t>
  </si>
  <si>
    <t>https://www.healthline.com/health/how-many-times-should-you-poop-a-day#frequency</t>
  </si>
  <si>
    <t>https://www.healthline.com/health/how-often-should-you-pee#urinary-frequency</t>
  </si>
  <si>
    <t>kWh/Day/Pannel</t>
  </si>
  <si>
    <t>Water/Use [L]</t>
  </si>
  <si>
    <t>https://elemental.green/all-you-need-to-know-about-low-flow-toilets/</t>
  </si>
  <si>
    <t>Number of Panels Needed</t>
  </si>
  <si>
    <t>Power/Use [kWh]</t>
  </si>
  <si>
    <t>Total Mass of Solar Panels</t>
  </si>
  <si>
    <t>Total Use/Day</t>
  </si>
  <si>
    <t>Total Power/Day</t>
  </si>
  <si>
    <t>Total Overall Mass at Launch [kg]</t>
  </si>
  <si>
    <t>Total Water/Day</t>
  </si>
  <si>
    <t>Total Cost at Launch</t>
  </si>
  <si>
    <t>Total Cost over 10 years</t>
  </si>
  <si>
    <t>Mass of Clothes on ISS</t>
  </si>
  <si>
    <t>https://www.smithsonianmag.com/smart-news/there-no-laundry-space-nasa-works-reducing-astronaut-stench-2-180952031/</t>
  </si>
  <si>
    <t>Mass of Average Washer and Dryer</t>
  </si>
  <si>
    <t>https://prudentreviews.com/washing-machine-dryer-weight/</t>
  </si>
  <si>
    <t>Mass per Load</t>
  </si>
  <si>
    <t>https://www.consumerreports.org/cro/news/2015/04/washing-machines-that-save-water-and-money/index.htm</t>
  </si>
  <si>
    <t>Average Solar Panel</t>
  </si>
  <si>
    <t>https://goldinsolar.com/going-solar-florida/how-many-solar-panels/</t>
  </si>
  <si>
    <t>Power per Load</t>
  </si>
  <si>
    <t>Number of wear for a t shirt</t>
  </si>
  <si>
    <t>https://www.esquiremag.ph/style/fashion/dirty-laundry-how-many-times-can-i-wear-the-same-shirt-a1942-20180117</t>
  </si>
  <si>
    <t>Number of wear for pants</t>
  </si>
  <si>
    <t>https://www.gq.com/story/how-often-you-should-wash-your-clothes</t>
  </si>
  <si>
    <t xml:space="preserve">Mass of clothes  </t>
  </si>
  <si>
    <t>https://www.parcl.com/education/customers/shipping_weight/</t>
  </si>
  <si>
    <t>Front load is more efficent than top load</t>
  </si>
  <si>
    <t>Water per Load</t>
  </si>
  <si>
    <t>Crew Makeup</t>
  </si>
  <si>
    <t xml:space="preserve">Showers </t>
  </si>
  <si>
    <t>Showers/Day</t>
  </si>
  <si>
    <t>Loads/Day</t>
  </si>
  <si>
    <t>Use/Day</t>
  </si>
  <si>
    <t>Power/Day [kWh]</t>
  </si>
  <si>
    <t>Woman</t>
  </si>
  <si>
    <t>Water/Day [kg]</t>
  </si>
  <si>
    <t>?</t>
  </si>
  <si>
    <t>Clothing</t>
  </si>
  <si>
    <t>Mass/Person [kg]</t>
  </si>
  <si>
    <t>Volume/Person (est) [m3]</t>
  </si>
  <si>
    <t>Mass Washed Weekly [kg]</t>
  </si>
  <si>
    <t>Mass/Load [kg]</t>
  </si>
  <si>
    <t>Water/Load</t>
  </si>
  <si>
    <t>Flow Rate [L/min]</t>
  </si>
  <si>
    <t>Water/Flush</t>
  </si>
  <si>
    <t>Uses/Day/Person</t>
  </si>
  <si>
    <t>Water per Wash</t>
  </si>
  <si>
    <t>Total Water/Day [L]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</si>
</sst>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&quot;$&quot;#,##0.00"/>
    <numFmt numFmtId="166" formatCode="0.0"/>
    <numFmt numFmtId="167" formatCode="0.0%"/>
  </numFmts>
  <fonts count="18">
    <font>
      <sz val="10.0"/>
      <color rgb="FF000000"/>
      <name val="Arial"/>
    </font>
    <font>
      <color rgb="FFFFFFFF"/>
      <name val="Arial"/>
    </font>
    <font/>
    <font>
      <color theme="1"/>
      <name val="Arial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1155CC"/>
      <name val="Arial"/>
    </font>
    <font>
      <b/>
      <color theme="1"/>
      <name val="Arial"/>
    </font>
    <font>
      <b/>
      <color rgb="FF000000"/>
      <name val="Arial"/>
    </font>
    <font>
      <u/>
      <color rgb="FF0000FF"/>
    </font>
    <font>
      <u/>
      <color rgb="FF1155CC"/>
    </font>
    <font>
      <b/>
      <color rgb="FFFF0000"/>
      <name val="Arial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3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right style="thick">
        <color rgb="FF000000"/>
      </right>
      <top style="double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double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2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9" fillId="3" fontId="3" numFmtId="0" xfId="0" applyAlignment="1" applyBorder="1" applyFill="1" applyFont="1">
      <alignment readingOrder="0"/>
    </xf>
    <xf borderId="10" fillId="3" fontId="3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13" fillId="3" fontId="4" numFmtId="0" xfId="0" applyAlignment="1" applyBorder="1" applyFont="1">
      <alignment readingOrder="0"/>
    </xf>
    <xf borderId="14" fillId="3" fontId="3" numFmtId="0" xfId="0" applyAlignment="1" applyBorder="1" applyFont="1">
      <alignment readingOrder="0"/>
    </xf>
    <xf borderId="12" fillId="4" fontId="3" numFmtId="0" xfId="0" applyAlignment="1" applyBorder="1" applyFill="1" applyFont="1">
      <alignment readingOrder="0"/>
    </xf>
    <xf borderId="13" fillId="0" fontId="3" numFmtId="0" xfId="0" applyAlignment="1" applyBorder="1" applyFont="1">
      <alignment readingOrder="0"/>
    </xf>
    <xf borderId="13" fillId="0" fontId="3" numFmtId="3" xfId="0" applyAlignment="1" applyBorder="1" applyFont="1" applyNumberFormat="1">
      <alignment readingOrder="0"/>
    </xf>
    <xf borderId="14" fillId="0" fontId="3" numFmtId="3" xfId="0" applyBorder="1" applyFont="1" applyNumberFormat="1"/>
    <xf borderId="12" fillId="4" fontId="5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2" fillId="4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Font="1" applyNumberFormat="1"/>
    <xf borderId="0" fillId="0" fontId="3" numFmtId="2" xfId="0" applyFont="1" applyNumberFormat="1"/>
    <xf borderId="13" fillId="0" fontId="3" numFmtId="10" xfId="0" applyAlignment="1" applyBorder="1" applyFont="1" applyNumberFormat="1">
      <alignment readingOrder="0"/>
    </xf>
    <xf borderId="14" fillId="0" fontId="3" numFmtId="0" xfId="0" applyBorder="1" applyFont="1"/>
    <xf borderId="13" fillId="0" fontId="3" numFmtId="3" xfId="0" applyAlignment="1" applyBorder="1" applyFont="1" applyNumberFormat="1">
      <alignment horizontal="center" readingOrder="0"/>
    </xf>
    <xf borderId="13" fillId="5" fontId="3" numFmtId="3" xfId="0" applyAlignment="1" applyBorder="1" applyFill="1" applyFont="1" applyNumberFormat="1">
      <alignment readingOrder="0"/>
    </xf>
    <xf borderId="14" fillId="5" fontId="3" numFmtId="3" xfId="0" applyBorder="1" applyFont="1" applyNumberFormat="1"/>
    <xf borderId="15" fillId="4" fontId="7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4" fillId="5" fontId="3" numFmtId="3" xfId="0" applyAlignment="1" applyBorder="1" applyFont="1" applyNumberFormat="1">
      <alignment readingOrder="0"/>
    </xf>
    <xf borderId="17" fillId="4" fontId="9" numFmtId="0" xfId="0" applyAlignment="1" applyBorder="1" applyFont="1">
      <alignment readingOrder="0"/>
    </xf>
    <xf borderId="18" fillId="0" fontId="10" numFmtId="2" xfId="0" applyBorder="1" applyFont="1" applyNumberFormat="1"/>
    <xf borderId="19" fillId="4" fontId="9" numFmtId="0" xfId="0" applyAlignment="1" applyBorder="1" applyFont="1">
      <alignment readingOrder="0"/>
    </xf>
    <xf borderId="20" fillId="0" fontId="10" numFmtId="2" xfId="0" applyBorder="1" applyFont="1" applyNumberFormat="1"/>
    <xf borderId="21" fillId="0" fontId="9" numFmtId="3" xfId="0" applyAlignment="1" applyBorder="1" applyFont="1" applyNumberFormat="1">
      <alignment readingOrder="0"/>
    </xf>
    <xf borderId="22" fillId="0" fontId="9" numFmtId="3" xfId="0" applyBorder="1" applyFont="1" applyNumberFormat="1"/>
    <xf borderId="0" fillId="5" fontId="1" numFmtId="0" xfId="0" applyAlignment="1" applyFont="1">
      <alignment horizontal="center" readingOrder="0"/>
    </xf>
    <xf borderId="0" fillId="0" fontId="3" numFmtId="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4" xfId="0" applyFont="1" applyNumberFormat="1"/>
    <xf borderId="6" fillId="2" fontId="1" numFmtId="4" xfId="0" applyAlignment="1" applyBorder="1" applyFont="1" applyNumberFormat="1">
      <alignment horizontal="center" readingOrder="0"/>
    </xf>
    <xf borderId="12" fillId="3" fontId="9" numFmtId="0" xfId="0" applyAlignment="1" applyBorder="1" applyFont="1">
      <alignment readingOrder="0"/>
    </xf>
    <xf borderId="14" fillId="3" fontId="11" numFmtId="0" xfId="0" applyAlignment="1" applyBorder="1" applyFont="1">
      <alignment readingOrder="0"/>
    </xf>
    <xf borderId="12" fillId="3" fontId="3" numFmtId="0" xfId="0" applyBorder="1" applyFont="1"/>
    <xf borderId="23" fillId="3" fontId="3" numFmtId="4" xfId="0" applyAlignment="1" applyBorder="1" applyFont="1" applyNumberFormat="1">
      <alignment readingOrder="0"/>
    </xf>
    <xf borderId="12" fillId="3" fontId="3" numFmtId="4" xfId="0" applyAlignment="1" applyBorder="1" applyFont="1" applyNumberFormat="1">
      <alignment readingOrder="0"/>
    </xf>
    <xf borderId="14" fillId="3" fontId="3" numFmtId="4" xfId="0" applyAlignment="1" applyBorder="1" applyFont="1" applyNumberFormat="1">
      <alignment readingOrder="0"/>
    </xf>
    <xf borderId="15" fillId="4" fontId="6" numFmtId="0" xfId="0" applyAlignment="1" applyBorder="1" applyFont="1">
      <alignment readingOrder="0"/>
    </xf>
    <xf borderId="15" fillId="4" fontId="3" numFmtId="0" xfId="0" applyAlignment="1" applyBorder="1" applyFont="1">
      <alignment readingOrder="0"/>
    </xf>
    <xf borderId="24" fillId="0" fontId="3" numFmtId="10" xfId="0" applyAlignment="1" applyBorder="1" applyFont="1" applyNumberFormat="1">
      <alignment readingOrder="0"/>
    </xf>
    <xf borderId="16" fillId="0" fontId="3" numFmtId="0" xfId="0" applyBorder="1" applyFont="1"/>
    <xf borderId="23" fillId="0" fontId="3" numFmtId="4" xfId="0" applyAlignment="1" applyBorder="1" applyFont="1" applyNumberFormat="1">
      <alignment readingOrder="0"/>
    </xf>
    <xf borderId="12" fillId="4" fontId="3" numFmtId="4" xfId="0" applyAlignment="1" applyBorder="1" applyFont="1" applyNumberFormat="1">
      <alignment readingOrder="0"/>
    </xf>
    <xf borderId="14" fillId="0" fontId="3" numFmtId="4" xfId="0" applyAlignment="1" applyBorder="1" applyFont="1" applyNumberFormat="1">
      <alignment readingOrder="0"/>
    </xf>
    <xf borderId="22" fillId="0" fontId="9" numFmtId="0" xfId="0" applyAlignment="1" applyBorder="1" applyFont="1">
      <alignment readingOrder="0"/>
    </xf>
    <xf borderId="21" fillId="0" fontId="9" numFmtId="10" xfId="0" applyBorder="1" applyFont="1" applyNumberFormat="1"/>
    <xf borderId="22" fillId="0" fontId="9" numFmtId="0" xfId="0" applyBorder="1" applyFont="1"/>
    <xf borderId="23" fillId="0" fontId="3" numFmtId="0" xfId="0" applyAlignment="1" applyBorder="1" applyFont="1">
      <alignment readingOrder="0"/>
    </xf>
    <xf borderId="0" fillId="0" fontId="3" numFmtId="10" xfId="0" applyFont="1" applyNumberFormat="1"/>
    <xf borderId="0" fillId="0" fontId="3" numFmtId="2" xfId="0" applyAlignment="1" applyFont="1" applyNumberFormat="1">
      <alignment readingOrder="0"/>
    </xf>
    <xf borderId="0" fillId="0" fontId="3" numFmtId="165" xfId="0" applyFont="1" applyNumberFormat="1"/>
    <xf borderId="25" fillId="0" fontId="3" numFmtId="0" xfId="0" applyAlignment="1" applyBorder="1" applyFont="1">
      <alignment readingOrder="0"/>
    </xf>
    <xf borderId="14" fillId="3" fontId="12" numFmtId="0" xfId="0" applyAlignment="1" applyBorder="1" applyFont="1">
      <alignment readingOrder="0"/>
    </xf>
    <xf borderId="13" fillId="3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6" fillId="0" fontId="9" numFmtId="4" xfId="0" applyBorder="1" applyFont="1" applyNumberFormat="1"/>
    <xf borderId="22" fillId="0" fontId="9" numFmtId="4" xfId="0" applyBorder="1" applyFont="1" applyNumberFormat="1"/>
    <xf borderId="14" fillId="0" fontId="3" numFmtId="1" xfId="0" applyAlignment="1" applyBorder="1" applyFont="1" applyNumberFormat="1">
      <alignment readingOrder="0"/>
    </xf>
    <xf borderId="13" fillId="0" fontId="13" numFmtId="1" xfId="0" applyBorder="1" applyFont="1" applyNumberFormat="1"/>
    <xf borderId="14" fillId="0" fontId="13" numFmtId="1" xfId="0" applyBorder="1" applyFont="1" applyNumberFormat="1"/>
    <xf borderId="13" fillId="0" fontId="13" numFmtId="0" xfId="0" applyBorder="1" applyFont="1"/>
    <xf borderId="14" fillId="0" fontId="13" numFmtId="0" xfId="0" applyBorder="1" applyFont="1"/>
    <xf borderId="0" fillId="0" fontId="3" numFmtId="0" xfId="0" applyFont="1"/>
    <xf borderId="14" fillId="0" fontId="13" numFmtId="4" xfId="0" applyAlignment="1" applyBorder="1" applyFont="1" applyNumberFormat="1">
      <alignment readingOrder="0"/>
    </xf>
    <xf borderId="27" fillId="4" fontId="9" numFmtId="0" xfId="0" applyAlignment="1" applyBorder="1" applyFont="1">
      <alignment readingOrder="0"/>
    </xf>
    <xf borderId="28" fillId="0" fontId="9" numFmtId="0" xfId="0" applyBorder="1" applyFont="1"/>
    <xf borderId="29" fillId="4" fontId="3" numFmtId="0" xfId="0" applyAlignment="1" applyBorder="1" applyFont="1">
      <alignment readingOrder="0"/>
    </xf>
    <xf borderId="30" fillId="0" fontId="13" numFmtId="0" xfId="0" applyAlignment="1" applyBorder="1" applyFont="1">
      <alignment readingOrder="0"/>
    </xf>
    <xf borderId="31" fillId="0" fontId="13" numFmtId="0" xfId="0" applyBorder="1" applyFont="1"/>
    <xf borderId="14" fillId="0" fontId="13" numFmtId="4" xfId="0" applyBorder="1" applyFont="1" applyNumberFormat="1"/>
    <xf borderId="12" fillId="4" fontId="9" numFmtId="0" xfId="0" applyAlignment="1" applyBorder="1" applyFont="1">
      <alignment readingOrder="0"/>
    </xf>
    <xf borderId="14" fillId="0" fontId="9" numFmtId="0" xfId="0" applyBorder="1" applyFont="1"/>
    <xf borderId="14" fillId="0" fontId="13" numFmtId="166" xfId="0" applyBorder="1" applyFont="1" applyNumberFormat="1"/>
    <xf borderId="31" fillId="0" fontId="13" numFmtId="3" xfId="0" applyBorder="1" applyFont="1" applyNumberFormat="1"/>
    <xf borderId="0" fillId="0" fontId="3" numFmtId="166" xfId="0" applyFont="1" applyNumberFormat="1"/>
    <xf borderId="0" fillId="0" fontId="3" numFmtId="1" xfId="0" applyFont="1" applyNumberFormat="1"/>
    <xf borderId="29" fillId="4" fontId="9" numFmtId="0" xfId="0" applyAlignment="1" applyBorder="1" applyFont="1">
      <alignment readingOrder="0"/>
    </xf>
    <xf borderId="31" fillId="0" fontId="9" numFmtId="0" xfId="0" applyBorder="1" applyFont="1"/>
    <xf borderId="0" fillId="0" fontId="9" numFmtId="0" xfId="0" applyAlignment="1" applyFont="1">
      <alignment readingOrder="0"/>
    </xf>
    <xf borderId="0" fillId="0" fontId="14" numFmtId="0" xfId="0" applyAlignment="1" applyFont="1">
      <alignment readingOrder="0"/>
    </xf>
    <xf borderId="31" fillId="0" fontId="3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9" numFmtId="0" xfId="0" applyFont="1"/>
    <xf borderId="0" fillId="0" fontId="6" numFmtId="0" xfId="0" applyAlignment="1" applyFont="1">
      <alignment readingOrder="0"/>
    </xf>
    <xf borderId="0" fillId="0" fontId="9" numFmtId="1" xfId="0" applyFont="1" applyNumberFormat="1"/>
    <xf borderId="12" fillId="4" fontId="3" numFmtId="0" xfId="0" applyAlignment="1" applyBorder="1" applyFont="1">
      <alignment readingOrder="0"/>
    </xf>
    <xf borderId="13" fillId="0" fontId="3" numFmtId="167" xfId="0" applyBorder="1" applyFont="1" applyNumberFormat="1"/>
    <xf borderId="13" fillId="0" fontId="3" numFmtId="166" xfId="0" applyBorder="1" applyFont="1" applyNumberFormat="1"/>
    <xf borderId="14" fillId="0" fontId="3" numFmtId="166" xfId="0" applyBorder="1" applyFont="1" applyNumberFormat="1"/>
    <xf borderId="16" fillId="0" fontId="3" numFmtId="166" xfId="0" applyBorder="1" applyFont="1" applyNumberFormat="1"/>
    <xf borderId="31" fillId="0" fontId="3" numFmtId="166" xfId="0" applyBorder="1" applyFont="1" applyNumberFormat="1"/>
    <xf borderId="1" fillId="2" fontId="1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16" fillId="0" fontId="3" numFmtId="2" xfId="0" applyBorder="1" applyFont="1" applyNumberFormat="1"/>
    <xf borderId="28" fillId="0" fontId="9" numFmtId="166" xfId="0" applyBorder="1" applyFont="1" applyNumberFormat="1"/>
    <xf borderId="15" fillId="4" fontId="3" numFmtId="0" xfId="0" applyAlignment="1" applyBorder="1" applyFont="1">
      <alignment readingOrder="0"/>
    </xf>
    <xf borderId="24" fillId="0" fontId="3" numFmtId="167" xfId="0" applyBorder="1" applyFont="1" applyNumberFormat="1"/>
    <xf borderId="24" fillId="0" fontId="3" numFmtId="166" xfId="0" applyBorder="1" applyFont="1" applyNumberFormat="1"/>
    <xf borderId="16" fillId="0" fontId="3" numFmtId="4" xfId="0" applyBorder="1" applyFont="1" applyNumberFormat="1"/>
    <xf borderId="31" fillId="0" fontId="9" numFmtId="166" xfId="0" applyBorder="1" applyFont="1" applyNumberFormat="1"/>
    <xf borderId="21" fillId="0" fontId="9" numFmtId="167" xfId="0" applyBorder="1" applyFont="1" applyNumberFormat="1"/>
    <xf borderId="21" fillId="0" fontId="9" numFmtId="166" xfId="0" applyBorder="1" applyFont="1" applyNumberFormat="1"/>
    <xf borderId="22" fillId="0" fontId="9" numFmtId="166" xfId="0" applyBorder="1" applyFont="1" applyNumberFormat="1"/>
    <xf borderId="12" fillId="4" fontId="3" numFmtId="0" xfId="0" applyAlignment="1" applyBorder="1" applyFont="1">
      <alignment horizontal="right" readingOrder="0"/>
    </xf>
    <xf borderId="12" fillId="4" fontId="3" numFmtId="0" xfId="0" applyBorder="1" applyFont="1"/>
    <xf borderId="15" fillId="4" fontId="3" numFmtId="0" xfId="0" applyBorder="1" applyFont="1"/>
    <xf borderId="0" fillId="2" fontId="1" numFmtId="0" xfId="0" applyAlignment="1" applyFont="1">
      <alignment horizontal="center" readingOrder="0"/>
    </xf>
    <xf borderId="12" fillId="6" fontId="3" numFmtId="0" xfId="0" applyBorder="1" applyFill="1" applyFont="1"/>
    <xf borderId="13" fillId="6" fontId="3" numFmtId="0" xfId="0" applyAlignment="1" applyBorder="1" applyFont="1">
      <alignment readingOrder="0"/>
    </xf>
    <xf borderId="14" fillId="6" fontId="3" numFmtId="0" xfId="0" applyAlignment="1" applyBorder="1" applyFont="1">
      <alignment readingOrder="0"/>
    </xf>
    <xf borderId="13" fillId="0" fontId="3" numFmtId="2" xfId="0" applyAlignment="1" applyBorder="1" applyFont="1" applyNumberFormat="1">
      <alignment readingOrder="0"/>
    </xf>
    <xf borderId="14" fillId="0" fontId="3" numFmtId="2" xfId="0" applyBorder="1" applyFont="1" applyNumberFormat="1"/>
    <xf borderId="17" fillId="4" fontId="3" numFmtId="0" xfId="0" applyAlignment="1" applyBorder="1" applyFont="1">
      <alignment horizontal="right" readingOrder="0"/>
    </xf>
    <xf borderId="32" fillId="0" fontId="3" numFmtId="0" xfId="0" applyAlignment="1" applyBorder="1" applyFont="1">
      <alignment readingOrder="0"/>
    </xf>
    <xf borderId="33" fillId="4" fontId="9" numFmtId="0" xfId="0" applyAlignment="1" applyBorder="1" applyFont="1">
      <alignment readingOrder="0"/>
    </xf>
    <xf borderId="34" fillId="0" fontId="9" numFmtId="0" xfId="0" applyBorder="1" applyFont="1"/>
    <xf borderId="35" fillId="0" fontId="9" numFmtId="2" xfId="0" applyBorder="1" applyFont="1" applyNumberFormat="1"/>
    <xf borderId="30" fillId="0" fontId="9" numFmtId="0" xfId="0" applyBorder="1" applyFont="1"/>
    <xf borderId="31" fillId="0" fontId="9" numFmtId="2" xfId="0" applyBorder="1" applyFont="1" applyNumberFormat="1"/>
    <xf borderId="0" fillId="5" fontId="13" numFmtId="0" xfId="0" applyAlignment="1" applyFont="1">
      <alignment horizontal="center" readingOrder="0"/>
    </xf>
    <xf borderId="12" fillId="6" fontId="16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0" fillId="5" fontId="9" numFmtId="0" xfId="0" applyFont="1"/>
    <xf borderId="30" fillId="0" fontId="3" numFmtId="0" xfId="0" applyAlignment="1" applyBorder="1" applyFont="1">
      <alignment readingOrder="0"/>
    </xf>
    <xf borderId="30" fillId="0" fontId="3" numFmtId="2" xfId="0" applyAlignment="1" applyBorder="1" applyFont="1" applyNumberFormat="1">
      <alignment readingOrder="0"/>
    </xf>
    <xf borderId="13" fillId="7" fontId="3" numFmtId="0" xfId="0" applyAlignment="1" applyBorder="1" applyFill="1" applyFont="1">
      <alignment readingOrder="0"/>
    </xf>
    <xf borderId="13" fillId="7" fontId="3" numFmtId="2" xfId="0" applyBorder="1" applyFont="1" applyNumberFormat="1"/>
    <xf borderId="13" fillId="0" fontId="3" numFmtId="2" xfId="0" applyBorder="1" applyFont="1" applyNumberFormat="1"/>
    <xf borderId="13" fillId="0" fontId="3" numFmtId="0" xfId="0" applyBorder="1" applyFont="1"/>
    <xf borderId="0" fillId="7" fontId="3" numFmtId="0" xfId="0" applyFont="1"/>
    <xf borderId="14" fillId="0" fontId="3" numFmtId="165" xfId="0" applyBorder="1" applyFont="1" applyNumberFormat="1"/>
    <xf borderId="12" fillId="4" fontId="6" numFmtId="0" xfId="0" applyAlignment="1" applyBorder="1" applyFont="1">
      <alignment readingOrder="0"/>
    </xf>
    <xf borderId="13" fillId="7" fontId="6" numFmtId="2" xfId="0" applyAlignment="1" applyBorder="1" applyFont="1" applyNumberFormat="1">
      <alignment readingOrder="0"/>
    </xf>
    <xf borderId="13" fillId="0" fontId="6" numFmtId="2" xfId="0" applyAlignment="1" applyBorder="1" applyFont="1" applyNumberFormat="1">
      <alignment readingOrder="0"/>
    </xf>
    <xf borderId="13" fillId="7" fontId="6" numFmtId="2" xfId="0" applyBorder="1" applyFont="1" applyNumberFormat="1"/>
    <xf borderId="13" fillId="0" fontId="6" numFmtId="0" xfId="0" applyAlignment="1" applyBorder="1" applyFont="1">
      <alignment readingOrder="0"/>
    </xf>
    <xf borderId="12" fillId="4" fontId="6" numFmtId="0" xfId="0" applyAlignment="1" applyBorder="1" applyFont="1">
      <alignment readingOrder="0"/>
    </xf>
    <xf borderId="13" fillId="0" fontId="6" numFmtId="0" xfId="0" applyBorder="1" applyFont="1"/>
    <xf borderId="13" fillId="7" fontId="6" numFmtId="4" xfId="0" applyBorder="1" applyFont="1" applyNumberFormat="1"/>
    <xf borderId="15" fillId="4" fontId="6" numFmtId="0" xfId="0" applyBorder="1" applyFont="1"/>
    <xf borderId="24" fillId="7" fontId="6" numFmtId="165" xfId="0" applyBorder="1" applyFont="1" applyNumberFormat="1"/>
    <xf borderId="24" fillId="0" fontId="6" numFmtId="0" xfId="0" applyBorder="1" applyFont="1"/>
    <xf borderId="24" fillId="0" fontId="3" numFmtId="0" xfId="0" applyBorder="1" applyFont="1"/>
    <xf borderId="27" fillId="4" fontId="6" numFmtId="0" xfId="0" applyAlignment="1" applyBorder="1" applyFont="1">
      <alignment readingOrder="0"/>
    </xf>
    <xf borderId="36" fillId="7" fontId="6" numFmtId="2" xfId="0" applyBorder="1" applyFont="1" applyNumberFormat="1"/>
    <xf borderId="36" fillId="0" fontId="6" numFmtId="2" xfId="0" applyBorder="1" applyFont="1" applyNumberFormat="1"/>
    <xf borderId="36" fillId="0" fontId="3" numFmtId="0" xfId="0" applyBorder="1" applyFont="1"/>
    <xf borderId="28" fillId="0" fontId="3" numFmtId="0" xfId="0" applyBorder="1" applyFont="1"/>
    <xf borderId="13" fillId="7" fontId="9" numFmtId="165" xfId="0" applyBorder="1" applyFont="1" applyNumberFormat="1"/>
    <xf borderId="13" fillId="0" fontId="9" numFmtId="165" xfId="0" applyBorder="1" applyFont="1" applyNumberFormat="1"/>
    <xf borderId="30" fillId="7" fontId="9" numFmtId="165" xfId="0" applyBorder="1" applyFont="1" applyNumberFormat="1"/>
    <xf borderId="30" fillId="0" fontId="9" numFmtId="165" xfId="0" applyBorder="1" applyFont="1" applyNumberFormat="1"/>
    <xf borderId="30" fillId="0" fontId="3" numFmtId="0" xfId="0" applyBorder="1" applyFont="1"/>
    <xf borderId="31" fillId="0" fontId="3" numFmtId="0" xfId="0" applyBorder="1" applyFont="1"/>
    <xf borderId="0" fillId="5" fontId="17" numFmtId="0" xfId="0" applyAlignment="1" applyFont="1">
      <alignment readingOrder="0"/>
    </xf>
    <xf borderId="12" fillId="6" fontId="1" numFmtId="0" xfId="0" applyAlignment="1" applyBorder="1" applyFont="1">
      <alignment readingOrder="0"/>
    </xf>
    <xf borderId="23" fillId="5" fontId="3" numFmtId="0" xfId="0" applyAlignment="1" applyBorder="1" applyFont="1">
      <alignment readingOrder="0"/>
    </xf>
    <xf borderId="23" fillId="0" fontId="3" numFmtId="0" xfId="0" applyBorder="1" applyFont="1"/>
    <xf borderId="23" fillId="5" fontId="3" numFmtId="0" xfId="0" applyBorder="1" applyFont="1"/>
    <xf borderId="29" fillId="6" fontId="1" numFmtId="0" xfId="0" applyAlignment="1" applyBorder="1" applyFont="1">
      <alignment readingOrder="0"/>
    </xf>
    <xf borderId="37" fillId="0" fontId="3" numFmtId="0" xfId="0" applyBorder="1" applyFont="1"/>
    <xf borderId="23" fillId="0" fontId="3" numFmtId="0" xfId="0" applyAlignment="1" applyBorder="1" applyFont="1">
      <alignment horizontal="right" readingOrder="0"/>
    </xf>
    <xf borderId="24" fillId="0" fontId="3" numFmtId="2" xfId="0" applyBorder="1" applyFont="1" applyNumberFormat="1"/>
    <xf borderId="36" fillId="0" fontId="9" numFmtId="0" xfId="0" applyBorder="1" applyFont="1"/>
    <xf borderId="32" fillId="0" fontId="9" numFmtId="0" xfId="0" applyBorder="1" applyFont="1"/>
    <xf borderId="38" fillId="0" fontId="9" numFmtId="2" xfId="0" applyBorder="1" applyFont="1" applyNumberFormat="1"/>
    <xf borderId="24" fillId="0" fontId="3" numFmtId="0" xfId="0" applyAlignment="1" applyBorder="1" applyFont="1">
      <alignment readingOrder="0"/>
    </xf>
    <xf borderId="21" fillId="0" fontId="9" numFmtId="2" xfId="0" applyBorder="1" applyFont="1" applyNumberFormat="1"/>
    <xf borderId="21" fillId="0" fontId="9" numFmtId="0" xfId="0" applyBorder="1" applyFont="1"/>
    <xf borderId="14" fillId="0" fontId="3" numFmtId="2" xfId="0" applyAlignment="1" applyBorder="1" applyFont="1" applyNumberFormat="1">
      <alignment readingOrder="0"/>
    </xf>
    <xf borderId="19" fillId="4" fontId="3" numFmtId="0" xfId="0" applyAlignment="1" applyBorder="1" applyFont="1">
      <alignment readingOrder="0"/>
    </xf>
    <xf borderId="22" fillId="0" fontId="3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pace.com/21055-skylab-space-station-nasa-infographic.html" TargetMode="External"/><Relationship Id="rId10" Type="http://schemas.openxmlformats.org/officeDocument/2006/relationships/hyperlink" Target="https://en.wikipedia.org/wiki/International_Space_Station_programme" TargetMode="External"/><Relationship Id="rId13" Type="http://schemas.openxmlformats.org/officeDocument/2006/relationships/hyperlink" Target="https://en.wikipedia.org/wiki/Mir" TargetMode="External"/><Relationship Id="rId12" Type="http://schemas.openxmlformats.org/officeDocument/2006/relationships/hyperlink" Target="https://en.wikipedia.org/wiki/Skylab" TargetMode="External"/><Relationship Id="rId1" Type="http://schemas.openxmlformats.org/officeDocument/2006/relationships/hyperlink" Target="https://nahbclassic.org/generic.aspx?genericContentID=216616" TargetMode="External"/><Relationship Id="rId2" Type="http://schemas.openxmlformats.org/officeDocument/2006/relationships/hyperlink" Target="https://maxsungroup.com/seating-capacity-layout/" TargetMode="External"/><Relationship Id="rId3" Type="http://schemas.openxmlformats.org/officeDocument/2006/relationships/hyperlink" Target="https://totalfood.com/how-to-create-a-restaurant-floor-plan/" TargetMode="External"/><Relationship Id="rId4" Type="http://schemas.openxmlformats.org/officeDocument/2006/relationships/hyperlink" Target="https://www.engineeringtoolbox.com/number-persons-buildings-d_118.html" TargetMode="External"/><Relationship Id="rId9" Type="http://schemas.openxmlformats.org/officeDocument/2006/relationships/hyperlink" Target="https://www.nasa.gov/feature/facts-and-figures" TargetMode="External"/><Relationship Id="rId15" Type="http://schemas.openxmlformats.org/officeDocument/2006/relationships/hyperlink" Target="https://www.arcgis.com/home/item.html?id=b597302950234000b7ba4fa33cd785eb" TargetMode="External"/><Relationship Id="rId14" Type="http://schemas.openxmlformats.org/officeDocument/2006/relationships/hyperlink" Target="https://future.usap.gov/itc-general-2/02-McMurdo-Lodging-Draft-Modular-PS.pdf" TargetMode="External"/><Relationship Id="rId17" Type="http://schemas.openxmlformats.org/officeDocument/2006/relationships/hyperlink" Target="https://www.homestratosphere.com/average-size-bedroom/" TargetMode="External"/><Relationship Id="rId16" Type="http://schemas.openxmlformats.org/officeDocument/2006/relationships/hyperlink" Target="https://www.thebalance.com/does-bedroom-need-closet-1798997" TargetMode="External"/><Relationship Id="rId5" Type="http://schemas.openxmlformats.org/officeDocument/2006/relationships/hyperlink" Target="https://www.engineeringtoolbox.com/number-persons-buildings-d_118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samtell.com/blog/average-commercial-kitchen-size" TargetMode="External"/><Relationship Id="rId18" Type="http://schemas.openxmlformats.org/officeDocument/2006/relationships/hyperlink" Target="https://www.hunker.com/13400875/typical-shower-dimensions" TargetMode="External"/><Relationship Id="rId7" Type="http://schemas.openxmlformats.org/officeDocument/2006/relationships/hyperlink" Target="https://thehostelhelper.com/hostel-bathroom/" TargetMode="External"/><Relationship Id="rId8" Type="http://schemas.openxmlformats.org/officeDocument/2006/relationships/hyperlink" Target="https://www.shrm.org/resourcesandtools/hr-topics/risk-management/pages/osha-restroom-rules.aspx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www.thyssenkrupp-materials.co.uk/density-of-aluminium.html" TargetMode="External"/><Relationship Id="rId2" Type="http://schemas.openxmlformats.org/officeDocument/2006/relationships/hyperlink" Target="https://www.protocase.com/products/materials-components-finishes/materials/aluminum.php" TargetMode="External"/><Relationship Id="rId3" Type="http://schemas.openxmlformats.org/officeDocument/2006/relationships/hyperlink" Target="https://www.google.com/url?sa=t&amp;rct=j&amp;q=&amp;esrc=s&amp;source=web&amp;cd=&amp;cad=rja&amp;uact=8&amp;ved=2ahUKEwimo9G3k9vvAhVKV80KHS6eA_MQFjABegQIBhAD&amp;url=https%3A%2F%2Fwww.cnet.com%2Fnews%2Fnasa-astronaut-shows-off-new-23-million-space-toilet-that-just-landed-on-iss%2F&amp;usg=AOvVaw2OGdeMZxnvKy30eHXm8KEa" TargetMode="External"/><Relationship Id="rId4" Type="http://schemas.openxmlformats.org/officeDocument/2006/relationships/hyperlink" Target="https://www.google.com/url?sa=t&amp;rct=j&amp;q=&amp;esrc=s&amp;source=web&amp;cd=&amp;cad=rja&amp;uact=8&amp;ved=2ahUKEwj6kMXLk9vvAhXFZc0KHeYyDvMQFjAAegQIDBAD&amp;url=http%3A%2F%2Fwww.rempros.com%2Fdimensions%2Fbathroom_sink_sizes.html&amp;usg=AOvVaw3W8vlwVN-a45q-Y1PYJP3q" TargetMode="External"/><Relationship Id="rId9" Type="http://schemas.openxmlformats.org/officeDocument/2006/relationships/hyperlink" Target="https://www.google.com/url?sa=t&amp;rct=j&amp;q=&amp;esrc=s&amp;source=web&amp;cd=&amp;cad=rja&amp;uact=8&amp;ved=2ahUKEwiE-urnlNvvAhWTW80KHUMFA_MQFjAAegQIAxAD&amp;url=https%3A%2F%2Fwww.techwalla.com%2Farticles%2Fwhat-are-the-dimensions-of-full-tower-computer-cases&amp;usg=AOvVaw2IOuAHu97Esddv3wuC0FPo" TargetMode="External"/><Relationship Id="rId5" Type="http://schemas.openxmlformats.org/officeDocument/2006/relationships/hyperlink" Target="https://www.google.com/url?sa=t&amp;rct=j&amp;q=&amp;esrc=s&amp;source=web&amp;cd=&amp;cad=rja&amp;uact=8&amp;ved=2ahUKEwj6kMXLk9vvAhXFZc0KHeYyDvMQFjAAegQIDBAD&amp;url=http%3A%2F%2Fwww.rempros.com%2Fdimensions%2Fbathroom_sink_sizes.html&amp;usg=AOvVaw3W8vlwVN-a45q-Y1PYJP3q" TargetMode="External"/><Relationship Id="rId6" Type="http://schemas.openxmlformats.org/officeDocument/2006/relationships/hyperlink" Target="https://www.google.com/url?sa=t&amp;rct=j&amp;q=&amp;esrc=s&amp;source=web&amp;cd=&amp;cad=rja&amp;uact=8&amp;ved=2ahUKEwijrP_nk9vvAhULbs0KHZpJDjgQFjABegQIBBAD&amp;url=https%3A%2F%2Fwww.leesa.com%2Fblogs%2Fquestions-and-answers%2Fhow-much-does-the-leesa-mattress-weigh&amp;usg=AOvVaw3J9ZnEyiqZ2GL8uPjSz8FN" TargetMode="External"/><Relationship Id="rId7" Type="http://schemas.openxmlformats.org/officeDocument/2006/relationships/hyperlink" Target="https://www.amazon.com/DHP-Studio-Bookcase-Metal-Frame/dp/B00RHH5176/ref=sr_1_1?dchild=1&amp;keywords=twin+xl+lofted+bed&amp;qid=1617215149&amp;sr=8-1" TargetMode="External"/><Relationship Id="rId8" Type="http://schemas.openxmlformats.org/officeDocument/2006/relationships/hyperlink" Target="https://www.google.com/url?sa=t&amp;rct=j&amp;q=&amp;esrc=s&amp;source=web&amp;cd=&amp;cad=rja&amp;uact=8&amp;ved=2ahUKEwjZiKi9lNvvAhVBaM0KHYo7CvIQFjAKegQIAhAD&amp;url=http%3A%2F%2Fergonomictrends.com%2Fbest-ergonomic-gaming-chairs-under-200%2F&amp;usg=AOvVaw3_P80F2eyuRq14rrTHb2Z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goldinsolar.com/going-solar-florida/how-many-solar-panels/" TargetMode="External"/><Relationship Id="rId10" Type="http://schemas.openxmlformats.org/officeDocument/2006/relationships/hyperlink" Target="https://www.consumerreports.org/cro/news/2015/04/washing-machines-that-save-water-and-money/index.htm" TargetMode="External"/><Relationship Id="rId13" Type="http://schemas.openxmlformats.org/officeDocument/2006/relationships/hyperlink" Target="https://www.esquiremag.ph/style/fashion/dirty-laundry-how-many-times-can-i-wear-the-same-shirt-a1942-20180117" TargetMode="External"/><Relationship Id="rId12" Type="http://schemas.openxmlformats.org/officeDocument/2006/relationships/hyperlink" Target="https://goldinsolar.com/going-solar-florida/how-many-solar-panels/" TargetMode="External"/><Relationship Id="rId1" Type="http://schemas.openxmlformats.org/officeDocument/2006/relationships/hyperlink" Target="https://www.cdc.gov/nchs/fastats/body-measurements.htm" TargetMode="External"/><Relationship Id="rId2" Type="http://schemas.openxmlformats.org/officeDocument/2006/relationships/hyperlink" Target="https://www.waterpik.com/shower-head/blog/5-things-to-know-about-flow-rate-when-choosing-shower-head/" TargetMode="External"/><Relationship Id="rId3" Type="http://schemas.openxmlformats.org/officeDocument/2006/relationships/hyperlink" Target="https://www.epa.gov/sites/production/files/2017-02/documents/ws-ourwater-shower-better-learning-resource_0.pdf" TargetMode="External"/><Relationship Id="rId4" Type="http://schemas.openxmlformats.org/officeDocument/2006/relationships/hyperlink" Target="https://www.self.com/story/how-often-to-shower" TargetMode="External"/><Relationship Id="rId9" Type="http://schemas.openxmlformats.org/officeDocument/2006/relationships/hyperlink" Target="https://prudentreviews.com/washing-machine-dryer-weight/" TargetMode="External"/><Relationship Id="rId15" Type="http://schemas.openxmlformats.org/officeDocument/2006/relationships/hyperlink" Target="https://www.parcl.com/education/customers/shipping_weight/" TargetMode="External"/><Relationship Id="rId14" Type="http://schemas.openxmlformats.org/officeDocument/2006/relationships/hyperlink" Target="https://www.gq.com/story/how-often-you-should-wash-your-clothes" TargetMode="External"/><Relationship Id="rId17" Type="http://schemas.openxmlformats.org/officeDocument/2006/relationships/hyperlink" Target="https://www.consumerreports.org/cro/news/2015/04/washing-machines-that-save-water-and-money/index.htm" TargetMode="External"/><Relationship Id="rId16" Type="http://schemas.openxmlformats.org/officeDocument/2006/relationships/hyperlink" Target="https://www.consumerreports.org/cro/news/2015/04/washing-machines-that-save-water-and-money/index.htm" TargetMode="External"/><Relationship Id="rId5" Type="http://schemas.openxmlformats.org/officeDocument/2006/relationships/hyperlink" Target="https://www.healthline.com/health/how-many-times-should-you-poop-a-day" TargetMode="External"/><Relationship Id="rId6" Type="http://schemas.openxmlformats.org/officeDocument/2006/relationships/hyperlink" Target="https://www.healthline.com/health/how-often-should-you-pee" TargetMode="External"/><Relationship Id="rId18" Type="http://schemas.openxmlformats.org/officeDocument/2006/relationships/drawing" Target="../drawings/drawing4.xml"/><Relationship Id="rId7" Type="http://schemas.openxmlformats.org/officeDocument/2006/relationships/hyperlink" Target="https://elemental.green/all-you-need-to-know-about-low-flow-toilets/" TargetMode="External"/><Relationship Id="rId8" Type="http://schemas.openxmlformats.org/officeDocument/2006/relationships/hyperlink" Target="https://www.smithsonianmag.com/smart-news/there-no-laundry-space-nasa-works-reducing-astronaut-stench-2-180952031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20.57"/>
    <col customWidth="1" min="3" max="3" width="21.43"/>
    <col customWidth="1" min="4" max="4" width="20.57"/>
    <col customWidth="1" min="6" max="6" width="3.71"/>
    <col customWidth="1" min="7" max="7" width="20.43"/>
    <col customWidth="1" min="9" max="9" width="3.71"/>
    <col customWidth="1" min="10" max="10" width="26.0"/>
    <col customWidth="1" min="12" max="12" width="28.57"/>
    <col customWidth="1" min="13" max="13" width="22.14"/>
    <col customWidth="1" min="14" max="14" width="28.14"/>
    <col customWidth="1" min="16" max="16" width="18.71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6"/>
      <c r="J1" s="7" t="s">
        <v>2</v>
      </c>
      <c r="K1" s="8"/>
      <c r="L1" s="9"/>
      <c r="M1" s="10" t="s">
        <v>3</v>
      </c>
      <c r="N1" s="10" t="s">
        <v>4</v>
      </c>
    </row>
    <row r="2">
      <c r="A2" s="11" t="s">
        <v>5</v>
      </c>
      <c r="B2" s="12" t="s">
        <v>6</v>
      </c>
      <c r="C2" s="12" t="s">
        <v>7</v>
      </c>
      <c r="D2" s="12" t="s">
        <v>4</v>
      </c>
      <c r="E2" s="13" t="s">
        <v>8</v>
      </c>
      <c r="G2" s="11" t="s">
        <v>9</v>
      </c>
      <c r="H2" s="13" t="s">
        <v>10</v>
      </c>
      <c r="J2" s="14" t="s">
        <v>9</v>
      </c>
      <c r="K2" s="15" t="s">
        <v>11</v>
      </c>
      <c r="L2" s="16"/>
      <c r="M2" s="10">
        <v>300.0</v>
      </c>
      <c r="N2" s="10">
        <v>10.0</v>
      </c>
    </row>
    <row r="3">
      <c r="A3" s="17" t="s">
        <v>12</v>
      </c>
      <c r="B3" s="18">
        <v>388.0</v>
      </c>
      <c r="C3" s="19">
        <v>419725.0</v>
      </c>
      <c r="D3" s="18">
        <v>6.0</v>
      </c>
      <c r="E3" s="20">
        <f t="shared" ref="E3:E4" si="1">B3/D3</f>
        <v>64.66666667</v>
      </c>
      <c r="G3" s="21" t="s">
        <v>13</v>
      </c>
      <c r="H3" s="22">
        <v>1.11</v>
      </c>
      <c r="J3" s="23" t="s">
        <v>14</v>
      </c>
      <c r="K3" s="18" t="s">
        <v>15</v>
      </c>
      <c r="L3" s="22" t="s">
        <v>16</v>
      </c>
      <c r="M3" s="24"/>
      <c r="O3" s="25"/>
      <c r="P3" s="26"/>
    </row>
    <row r="4">
      <c r="A4" s="17" t="s">
        <v>17</v>
      </c>
      <c r="B4" s="18">
        <v>361.0</v>
      </c>
      <c r="C4" s="19">
        <v>76540.0</v>
      </c>
      <c r="D4" s="18">
        <v>3.0</v>
      </c>
      <c r="E4" s="20">
        <f t="shared" si="1"/>
        <v>120.3333333</v>
      </c>
      <c r="G4" s="21" t="s">
        <v>18</v>
      </c>
      <c r="H4" s="22">
        <v>1.39</v>
      </c>
      <c r="J4" s="17" t="s">
        <v>19</v>
      </c>
      <c r="K4" s="27">
        <v>0.116</v>
      </c>
      <c r="L4" s="28">
        <f t="shared" ref="L4:L6" si="2">K4*$M$2</f>
        <v>34.8</v>
      </c>
    </row>
    <row r="5">
      <c r="A5" s="17" t="s">
        <v>20</v>
      </c>
      <c r="B5" s="19">
        <v>350.0</v>
      </c>
      <c r="C5" s="19">
        <v>129700.0</v>
      </c>
      <c r="D5" s="19">
        <v>3.0</v>
      </c>
      <c r="E5" s="20">
        <f>B5/$D$5</f>
        <v>116.6666667</v>
      </c>
      <c r="G5" s="21" t="s">
        <v>21</v>
      </c>
      <c r="H5" s="22">
        <v>0.92</v>
      </c>
      <c r="J5" s="17" t="s">
        <v>22</v>
      </c>
      <c r="K5" s="27">
        <v>0.074</v>
      </c>
      <c r="L5" s="28">
        <f t="shared" si="2"/>
        <v>22.2</v>
      </c>
    </row>
    <row r="6">
      <c r="A6" s="17" t="s">
        <v>23</v>
      </c>
      <c r="B6" s="19">
        <v>36483.0</v>
      </c>
      <c r="C6" s="29" t="s">
        <v>24</v>
      </c>
      <c r="D6" s="30">
        <v>280.0</v>
      </c>
      <c r="E6" s="31">
        <f>B6/D6</f>
        <v>130.2964286</v>
      </c>
      <c r="G6" s="32" t="s">
        <v>21</v>
      </c>
      <c r="H6" s="33">
        <v>1.0</v>
      </c>
      <c r="J6" s="17" t="s">
        <v>25</v>
      </c>
      <c r="K6" s="27">
        <v>0.201</v>
      </c>
      <c r="L6" s="28">
        <f t="shared" si="2"/>
        <v>60.3</v>
      </c>
      <c r="M6" s="34"/>
    </row>
    <row r="7">
      <c r="A7" s="17" t="s">
        <v>26</v>
      </c>
      <c r="B7" s="19"/>
      <c r="C7" s="29"/>
      <c r="D7" s="30"/>
      <c r="E7" s="35">
        <v>120.0</v>
      </c>
      <c r="G7" s="36"/>
      <c r="H7" s="37"/>
      <c r="J7" s="17"/>
      <c r="K7" s="27"/>
      <c r="L7" s="28"/>
    </row>
    <row r="8">
      <c r="A8" s="17" t="s">
        <v>27</v>
      </c>
      <c r="B8" s="19">
        <v>384.0</v>
      </c>
      <c r="C8" s="29" t="s">
        <v>24</v>
      </c>
      <c r="D8" s="30">
        <v>6.0</v>
      </c>
      <c r="E8" s="31">
        <f>B8/D8</f>
        <v>64</v>
      </c>
      <c r="G8" s="38" t="s">
        <v>28</v>
      </c>
      <c r="H8" s="39">
        <f>AVERAGE(H3:H6)</f>
        <v>1.105</v>
      </c>
      <c r="J8" s="17" t="s">
        <v>29</v>
      </c>
      <c r="K8" s="27">
        <v>0.123</v>
      </c>
      <c r="L8" s="28">
        <f t="shared" ref="L8:L12" si="4">K8*$M$2</f>
        <v>36.9</v>
      </c>
    </row>
    <row r="9">
      <c r="A9" s="38" t="s">
        <v>28</v>
      </c>
      <c r="B9" s="40">
        <f t="shared" ref="B9:C9" si="3">AVERAGE(B3:B8)</f>
        <v>7593.2</v>
      </c>
      <c r="C9" s="40">
        <f t="shared" si="3"/>
        <v>208655</v>
      </c>
      <c r="D9" s="40">
        <f>AVERAGE(D3:D5,D8)</f>
        <v>4.5</v>
      </c>
      <c r="E9" s="41">
        <f>roundup(AVERAGE(E3:E8))</f>
        <v>103</v>
      </c>
      <c r="H9" s="42"/>
      <c r="J9" s="17" t="s">
        <v>30</v>
      </c>
      <c r="K9" s="27">
        <v>0.037</v>
      </c>
      <c r="L9" s="28">
        <f t="shared" si="4"/>
        <v>11.1</v>
      </c>
    </row>
    <row r="10">
      <c r="A10" s="10" t="s">
        <v>31</v>
      </c>
      <c r="B10" s="43"/>
      <c r="C10" s="44"/>
      <c r="D10" s="44"/>
      <c r="E10" s="44"/>
      <c r="F10" s="45"/>
      <c r="G10" s="7" t="s">
        <v>32</v>
      </c>
      <c r="H10" s="9"/>
      <c r="J10" s="17" t="s">
        <v>33</v>
      </c>
      <c r="K10" s="27">
        <v>0.288</v>
      </c>
      <c r="L10" s="28">
        <f t="shared" si="4"/>
        <v>86.4</v>
      </c>
    </row>
    <row r="11">
      <c r="A11" s="7" t="s">
        <v>34</v>
      </c>
      <c r="B11" s="9"/>
      <c r="C11" s="46" t="s">
        <v>35</v>
      </c>
      <c r="D11" s="9"/>
      <c r="F11" s="45"/>
      <c r="G11" s="47" t="s">
        <v>9</v>
      </c>
      <c r="H11" s="48" t="s">
        <v>36</v>
      </c>
      <c r="J11" s="17" t="s">
        <v>37</v>
      </c>
      <c r="K11" s="27">
        <v>0.034</v>
      </c>
      <c r="L11" s="28">
        <f t="shared" si="4"/>
        <v>10.2</v>
      </c>
    </row>
    <row r="12">
      <c r="A12" s="49"/>
      <c r="B12" s="50" t="s">
        <v>16</v>
      </c>
      <c r="C12" s="51" t="s">
        <v>9</v>
      </c>
      <c r="D12" s="52" t="s">
        <v>38</v>
      </c>
      <c r="F12" s="45"/>
      <c r="G12" s="53" t="s">
        <v>39</v>
      </c>
      <c r="H12" s="33">
        <v>0.46</v>
      </c>
      <c r="J12" s="54" t="s">
        <v>40</v>
      </c>
      <c r="K12" s="55">
        <v>0.127</v>
      </c>
      <c r="L12" s="56">
        <f t="shared" si="4"/>
        <v>38.1</v>
      </c>
    </row>
    <row r="13">
      <c r="A13" s="17" t="s">
        <v>41</v>
      </c>
      <c r="B13" s="57">
        <v>6.5</v>
      </c>
      <c r="C13" s="58" t="s">
        <v>42</v>
      </c>
      <c r="D13" s="59">
        <v>2.75</v>
      </c>
      <c r="F13" s="45"/>
      <c r="G13" s="38" t="s">
        <v>43</v>
      </c>
      <c r="H13" s="60">
        <f>H12*N2</f>
        <v>4.6</v>
      </c>
      <c r="J13" s="38" t="s">
        <v>44</v>
      </c>
      <c r="K13" s="61">
        <f t="shared" ref="K13:L13" si="5">sum(K4:K12)</f>
        <v>1</v>
      </c>
      <c r="L13" s="62">
        <f t="shared" si="5"/>
        <v>300</v>
      </c>
      <c r="N13" s="26"/>
      <c r="Q13" s="26"/>
    </row>
    <row r="14">
      <c r="A14" s="17" t="s">
        <v>45</v>
      </c>
      <c r="B14" s="63">
        <v>12.3</v>
      </c>
      <c r="C14" s="17" t="s">
        <v>46</v>
      </c>
      <c r="D14" s="22">
        <v>2.75</v>
      </c>
      <c r="H14" s="64"/>
      <c r="N14" s="26"/>
    </row>
    <row r="15">
      <c r="A15" s="17" t="s">
        <v>47</v>
      </c>
      <c r="B15" s="63">
        <v>4.0</v>
      </c>
      <c r="C15" s="17" t="s">
        <v>48</v>
      </c>
      <c r="D15" s="22">
        <v>2.75</v>
      </c>
      <c r="G15" s="7" t="s">
        <v>49</v>
      </c>
      <c r="H15" s="9"/>
      <c r="J15" s="7" t="s">
        <v>50</v>
      </c>
      <c r="K15" s="8"/>
      <c r="L15" s="9"/>
      <c r="N15" s="65" t="s">
        <v>51</v>
      </c>
      <c r="Q15" s="66"/>
    </row>
    <row r="16">
      <c r="A16" s="54" t="s">
        <v>48</v>
      </c>
      <c r="B16" s="67">
        <v>7.15</v>
      </c>
      <c r="C16" s="54" t="s">
        <v>52</v>
      </c>
      <c r="D16" s="33">
        <v>4.0</v>
      </c>
      <c r="G16" s="14" t="s">
        <v>9</v>
      </c>
      <c r="H16" s="68" t="s">
        <v>53</v>
      </c>
      <c r="J16" s="14" t="s">
        <v>14</v>
      </c>
      <c r="K16" s="69" t="s">
        <v>16</v>
      </c>
      <c r="L16" s="16" t="s">
        <v>54</v>
      </c>
      <c r="M16" s="70"/>
      <c r="N16" s="10" t="s">
        <v>55</v>
      </c>
      <c r="O16" s="10">
        <v>1.0</v>
      </c>
    </row>
    <row r="17">
      <c r="A17" s="38" t="s">
        <v>28</v>
      </c>
      <c r="B17" s="71">
        <f>round(AVERAGE(B13:B16),1)</f>
        <v>7.5</v>
      </c>
      <c r="C17" s="38" t="s">
        <v>28</v>
      </c>
      <c r="D17" s="72">
        <f>round(AVERAGE(D13:D16),1)</f>
        <v>3.1</v>
      </c>
      <c r="G17" s="17" t="s">
        <v>56</v>
      </c>
      <c r="H17" s="73">
        <v>6.0</v>
      </c>
      <c r="J17" s="17" t="s">
        <v>57</v>
      </c>
      <c r="K17" s="74">
        <f>roundup(B17*N2)</f>
        <v>75</v>
      </c>
      <c r="L17" s="75">
        <f>roundup(K17/K10)</f>
        <v>261</v>
      </c>
      <c r="N17" s="65" t="s">
        <v>58</v>
      </c>
      <c r="O17" s="10">
        <v>1.0</v>
      </c>
    </row>
    <row r="18">
      <c r="G18" s="17" t="s">
        <v>59</v>
      </c>
      <c r="H18" s="22">
        <v>10.0</v>
      </c>
      <c r="J18" s="17" t="s">
        <v>22</v>
      </c>
      <c r="K18" s="76">
        <f>roundup(H8*N2)</f>
        <v>12</v>
      </c>
      <c r="L18" s="77">
        <f>roundup(K18/K5)</f>
        <v>163</v>
      </c>
      <c r="N18" s="10" t="s">
        <v>60</v>
      </c>
      <c r="O18" s="78">
        <f>O16*O17*B20</f>
        <v>3.1</v>
      </c>
    </row>
    <row r="19">
      <c r="A19" s="7" t="s">
        <v>61</v>
      </c>
      <c r="B19" s="9"/>
      <c r="G19" s="54" t="s">
        <v>62</v>
      </c>
      <c r="H19" s="33">
        <v>8.0</v>
      </c>
      <c r="J19" s="17" t="s">
        <v>19</v>
      </c>
      <c r="K19" s="76">
        <f>H12*N2</f>
        <v>4.6</v>
      </c>
      <c r="L19" s="77">
        <f>roundup(K19/K4)</f>
        <v>40</v>
      </c>
      <c r="N19" s="26"/>
    </row>
    <row r="20">
      <c r="A20" s="17" t="s">
        <v>63</v>
      </c>
      <c r="B20" s="79">
        <f>D17</f>
        <v>3.1</v>
      </c>
      <c r="G20" s="80" t="s">
        <v>64</v>
      </c>
      <c r="H20" s="81"/>
      <c r="J20" s="82" t="s">
        <v>65</v>
      </c>
      <c r="K20" s="83">
        <v>15.87</v>
      </c>
      <c r="L20" s="84">
        <f>roundup(K20/K8)</f>
        <v>130</v>
      </c>
      <c r="N20" s="45"/>
    </row>
    <row r="21">
      <c r="A21" s="17" t="s">
        <v>66</v>
      </c>
      <c r="B21" s="85">
        <f>B17</f>
        <v>7.5</v>
      </c>
      <c r="G21" s="86" t="s">
        <v>67</v>
      </c>
      <c r="H21" s="87">
        <f>roundup(N2/H17)</f>
        <v>2</v>
      </c>
    </row>
    <row r="22">
      <c r="A22" s="17" t="s">
        <v>68</v>
      </c>
      <c r="B22" s="88">
        <f>B20*B21</f>
        <v>23.25</v>
      </c>
      <c r="G22" s="86" t="s">
        <v>69</v>
      </c>
      <c r="H22" s="87">
        <f>roundup(N2/H18)</f>
        <v>1</v>
      </c>
      <c r="N22" s="66"/>
    </row>
    <row r="23">
      <c r="A23" s="82" t="s">
        <v>70</v>
      </c>
      <c r="B23" s="89">
        <f>E9</f>
        <v>103</v>
      </c>
      <c r="C23" s="90"/>
      <c r="E23" s="91"/>
      <c r="G23" s="92" t="s">
        <v>71</v>
      </c>
      <c r="H23" s="93">
        <f>roundup(N2/H19)</f>
        <v>2</v>
      </c>
    </row>
    <row r="24">
      <c r="C24" s="90"/>
      <c r="E24" s="91"/>
    </row>
    <row r="25">
      <c r="C25" s="90"/>
      <c r="E25" s="91"/>
    </row>
    <row r="26">
      <c r="C26" s="90"/>
      <c r="E26" s="91"/>
      <c r="G26" s="7" t="s">
        <v>72</v>
      </c>
      <c r="H26" s="9"/>
      <c r="J26" s="94" t="s">
        <v>73</v>
      </c>
    </row>
    <row r="27">
      <c r="C27" s="90"/>
      <c r="G27" s="17" t="s">
        <v>67</v>
      </c>
      <c r="H27" s="22">
        <v>4.0</v>
      </c>
      <c r="J27" s="95" t="s">
        <v>74</v>
      </c>
    </row>
    <row r="28">
      <c r="G28" s="17" t="s">
        <v>69</v>
      </c>
      <c r="H28" s="22">
        <v>2.0</v>
      </c>
    </row>
    <row r="29">
      <c r="A29" s="10" t="s">
        <v>75</v>
      </c>
      <c r="B29" s="10">
        <v>1.0</v>
      </c>
      <c r="C29" s="10">
        <v>2.0</v>
      </c>
      <c r="D29" s="10">
        <v>3.0</v>
      </c>
      <c r="E29" s="10">
        <v>4.0</v>
      </c>
      <c r="F29" s="10">
        <v>5.0</v>
      </c>
      <c r="G29" s="82" t="s">
        <v>71</v>
      </c>
      <c r="H29" s="96">
        <v>4.0</v>
      </c>
    </row>
    <row r="30">
      <c r="A30" s="10" t="s">
        <v>12</v>
      </c>
      <c r="B30" s="97" t="s">
        <v>76</v>
      </c>
      <c r="C30" s="97" t="s">
        <v>77</v>
      </c>
    </row>
    <row r="31">
      <c r="A31" s="10" t="s">
        <v>17</v>
      </c>
      <c r="B31" s="97" t="s">
        <v>78</v>
      </c>
      <c r="C31" s="97" t="s">
        <v>79</v>
      </c>
      <c r="G31" s="7" t="s">
        <v>80</v>
      </c>
      <c r="H31" s="9"/>
    </row>
    <row r="32">
      <c r="A32" s="10" t="s">
        <v>20</v>
      </c>
      <c r="B32" s="97" t="s">
        <v>81</v>
      </c>
      <c r="G32" s="17" t="s">
        <v>67</v>
      </c>
      <c r="H32" s="22">
        <v>1.0</v>
      </c>
    </row>
    <row r="33">
      <c r="A33" s="10" t="s">
        <v>48</v>
      </c>
      <c r="B33" s="97" t="s">
        <v>82</v>
      </c>
      <c r="F33" s="97" t="s">
        <v>83</v>
      </c>
      <c r="G33" s="17" t="s">
        <v>69</v>
      </c>
      <c r="H33" s="22">
        <v>1.0</v>
      </c>
    </row>
    <row r="34">
      <c r="A34" s="10" t="s">
        <v>47</v>
      </c>
      <c r="B34" s="24" t="s">
        <v>84</v>
      </c>
      <c r="G34" s="82" t="s">
        <v>71</v>
      </c>
      <c r="H34" s="96">
        <v>0.0</v>
      </c>
    </row>
    <row r="35">
      <c r="A35" s="10" t="s">
        <v>41</v>
      </c>
      <c r="B35" s="95" t="s">
        <v>85</v>
      </c>
    </row>
    <row r="36">
      <c r="A36" s="10" t="s">
        <v>86</v>
      </c>
      <c r="B36" s="95" t="s">
        <v>87</v>
      </c>
      <c r="G36" s="7" t="s">
        <v>88</v>
      </c>
      <c r="H36" s="9"/>
      <c r="J36" s="97" t="s">
        <v>89</v>
      </c>
    </row>
    <row r="37">
      <c r="A37" s="10" t="s">
        <v>26</v>
      </c>
      <c r="B37" s="10" t="s">
        <v>90</v>
      </c>
      <c r="G37" s="17" t="s">
        <v>91</v>
      </c>
      <c r="H37" s="22">
        <v>0.84</v>
      </c>
    </row>
    <row r="38">
      <c r="G38" s="17" t="s">
        <v>92</v>
      </c>
      <c r="H38" s="22">
        <v>13.38</v>
      </c>
    </row>
    <row r="39">
      <c r="G39" s="54" t="s">
        <v>93</v>
      </c>
      <c r="H39" s="33">
        <v>2.49</v>
      </c>
    </row>
    <row r="40">
      <c r="G40" s="38" t="s">
        <v>94</v>
      </c>
      <c r="H40" s="62">
        <f>sum(H38:H39)</f>
        <v>15.87</v>
      </c>
    </row>
  </sheetData>
  <mergeCells count="12">
    <mergeCell ref="A11:B11"/>
    <mergeCell ref="A19:B19"/>
    <mergeCell ref="G26:H26"/>
    <mergeCell ref="G31:H31"/>
    <mergeCell ref="G36:H36"/>
    <mergeCell ref="A1:E1"/>
    <mergeCell ref="G1:H1"/>
    <mergeCell ref="J1:L1"/>
    <mergeCell ref="G10:H10"/>
    <mergeCell ref="C11:D11"/>
    <mergeCell ref="G15:H15"/>
    <mergeCell ref="J15:L15"/>
  </mergeCells>
  <hyperlinks>
    <hyperlink r:id="rId1" ref="K2"/>
    <hyperlink r:id="rId2" ref="G3"/>
    <hyperlink r:id="rId3" ref="G4"/>
    <hyperlink r:id="rId4" ref="G5"/>
    <hyperlink r:id="rId5" ref="G6"/>
    <hyperlink r:id="rId6" ref="H11"/>
    <hyperlink r:id="rId7" ref="H16"/>
    <hyperlink r:id="rId8" ref="J27"/>
    <hyperlink r:id="rId9" ref="B30"/>
    <hyperlink r:id="rId10" ref="C30"/>
    <hyperlink r:id="rId11" ref="B31"/>
    <hyperlink r:id="rId12" location="Program_cost" ref="C31"/>
    <hyperlink r:id="rId13" ref="B32"/>
    <hyperlink r:id="rId14" ref="B33"/>
    <hyperlink r:id="rId15" ref="F33"/>
    <hyperlink r:id="rId16" ref="B35"/>
    <hyperlink r:id="rId17" ref="B36"/>
    <hyperlink r:id="rId18" ref="J36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4" max="4" width="17.14"/>
    <col customWidth="1" min="6" max="6" width="15.14"/>
  </cols>
  <sheetData>
    <row r="1">
      <c r="A1" s="10" t="s">
        <v>95</v>
      </c>
    </row>
    <row r="2">
      <c r="A2" s="10" t="s">
        <v>96</v>
      </c>
      <c r="B2" s="10">
        <v>2710.0</v>
      </c>
    </row>
    <row r="4">
      <c r="B4" s="10" t="s">
        <v>97</v>
      </c>
    </row>
    <row r="5">
      <c r="A5" s="10" t="s">
        <v>98</v>
      </c>
      <c r="B5" s="10">
        <f>0.00081 * 2</f>
        <v>0.00162</v>
      </c>
      <c r="D5" s="10" t="s">
        <v>99</v>
      </c>
    </row>
    <row r="6">
      <c r="A6" s="10" t="s">
        <v>100</v>
      </c>
      <c r="B6" s="10">
        <v>3.1</v>
      </c>
    </row>
    <row r="7">
      <c r="A7" s="10" t="s">
        <v>101</v>
      </c>
      <c r="B7" s="10">
        <v>3.0</v>
      </c>
    </row>
    <row r="8">
      <c r="A8" s="10" t="s">
        <v>102</v>
      </c>
      <c r="B8" s="10">
        <v>2.0</v>
      </c>
    </row>
    <row r="9">
      <c r="A9" s="10" t="s">
        <v>103</v>
      </c>
      <c r="B9" s="10">
        <v>3.0</v>
      </c>
    </row>
    <row r="10">
      <c r="A10" s="10" t="s">
        <v>104</v>
      </c>
      <c r="B10" s="10">
        <v>3.0</v>
      </c>
    </row>
    <row r="11">
      <c r="A11" s="10" t="s">
        <v>105</v>
      </c>
      <c r="B11" s="10">
        <v>3.0</v>
      </c>
    </row>
    <row r="12">
      <c r="A12" s="10" t="s">
        <v>106</v>
      </c>
      <c r="B12" s="10">
        <v>3.0</v>
      </c>
    </row>
    <row r="14">
      <c r="B14" s="10" t="s">
        <v>107</v>
      </c>
      <c r="C14" s="10" t="s">
        <v>108</v>
      </c>
      <c r="D14" s="10" t="s">
        <v>109</v>
      </c>
    </row>
    <row r="15">
      <c r="A15" s="10" t="s">
        <v>110</v>
      </c>
      <c r="B15" s="78">
        <f>B5*B6*B7</f>
        <v>0.015066</v>
      </c>
      <c r="C15" s="10">
        <v>7.0</v>
      </c>
      <c r="D15" s="78">
        <f t="shared" ref="D15:D17" si="1">B15*C15</f>
        <v>0.105462</v>
      </c>
    </row>
    <row r="16">
      <c r="A16" s="10" t="s">
        <v>111</v>
      </c>
      <c r="B16" s="78">
        <f>B5*B6*B10</f>
        <v>0.015066</v>
      </c>
      <c r="C16" s="10">
        <v>3.0</v>
      </c>
      <c r="D16" s="78">
        <f t="shared" si="1"/>
        <v>0.045198</v>
      </c>
    </row>
    <row r="17">
      <c r="A17" s="10" t="s">
        <v>112</v>
      </c>
      <c r="B17" s="78">
        <f>B5*B6*B8</f>
        <v>0.010044</v>
      </c>
      <c r="C17" s="10">
        <v>4.0</v>
      </c>
      <c r="D17" s="78">
        <f t="shared" si="1"/>
        <v>0.040176</v>
      </c>
    </row>
    <row r="18">
      <c r="A18" s="10" t="s">
        <v>64</v>
      </c>
      <c r="B18" s="78">
        <f>SUM(B15:B17)</f>
        <v>0.040176</v>
      </c>
      <c r="D18" s="78">
        <f>SUM(D15:D17)</f>
        <v>0.190836</v>
      </c>
    </row>
    <row r="19">
      <c r="A19" s="10" t="s">
        <v>113</v>
      </c>
      <c r="D19" s="78">
        <f>D18*1.2</f>
        <v>0.2290032</v>
      </c>
    </row>
    <row r="21">
      <c r="A21" s="94" t="s">
        <v>114</v>
      </c>
      <c r="B21" s="98"/>
      <c r="C21" s="98"/>
      <c r="D21" s="98">
        <f>D19*B2</f>
        <v>620.598672</v>
      </c>
    </row>
    <row r="23">
      <c r="A23" s="10" t="s">
        <v>115</v>
      </c>
      <c r="B23" s="95" t="s">
        <v>116</v>
      </c>
    </row>
    <row r="24">
      <c r="A24" s="10" t="s">
        <v>117</v>
      </c>
      <c r="B24" s="95" t="s">
        <v>118</v>
      </c>
    </row>
    <row r="26">
      <c r="A26" s="10" t="s">
        <v>119</v>
      </c>
      <c r="B26" s="10" t="s">
        <v>120</v>
      </c>
      <c r="C26" s="10" t="s">
        <v>108</v>
      </c>
      <c r="D26" s="10" t="s">
        <v>121</v>
      </c>
      <c r="E26" s="10" t="s">
        <v>122</v>
      </c>
      <c r="F26" s="10" t="s">
        <v>123</v>
      </c>
      <c r="G26" s="10" t="s">
        <v>9</v>
      </c>
    </row>
    <row r="27">
      <c r="A27" s="10" t="s">
        <v>124</v>
      </c>
      <c r="B27" s="10">
        <v>45.0</v>
      </c>
      <c r="C27" s="10">
        <v>2.0</v>
      </c>
      <c r="D27" s="78">
        <f t="shared" ref="D27:D34" si="2">B27*C27</f>
        <v>90</v>
      </c>
      <c r="E27" s="99">
        <v>0.0</v>
      </c>
      <c r="F27" s="99">
        <f t="shared" ref="F27:F34" si="3">C27*E27</f>
        <v>0</v>
      </c>
      <c r="G27" s="95" t="s">
        <v>125</v>
      </c>
    </row>
    <row r="28">
      <c r="A28" s="10" t="s">
        <v>126</v>
      </c>
      <c r="B28" s="10">
        <v>41.0</v>
      </c>
      <c r="C28" s="10">
        <v>1.0</v>
      </c>
      <c r="D28" s="78">
        <f t="shared" si="2"/>
        <v>41</v>
      </c>
      <c r="E28" s="99">
        <v>0.0</v>
      </c>
      <c r="F28" s="99">
        <f t="shared" si="3"/>
        <v>0</v>
      </c>
      <c r="G28" s="95" t="s">
        <v>127</v>
      </c>
    </row>
    <row r="29">
      <c r="A29" s="10" t="s">
        <v>128</v>
      </c>
      <c r="B29" s="10">
        <v>15.0</v>
      </c>
      <c r="C29" s="10">
        <v>6.0</v>
      </c>
      <c r="D29" s="78">
        <f t="shared" si="2"/>
        <v>90</v>
      </c>
      <c r="E29" s="99">
        <v>0.1</v>
      </c>
      <c r="F29" s="99">
        <f t="shared" si="3"/>
        <v>0.6</v>
      </c>
      <c r="G29" s="95" t="s">
        <v>127</v>
      </c>
    </row>
    <row r="30">
      <c r="A30" s="10" t="s">
        <v>129</v>
      </c>
      <c r="B30" s="10">
        <v>22.0</v>
      </c>
      <c r="C30" s="10">
        <v>6.0</v>
      </c>
      <c r="D30" s="78">
        <f t="shared" si="2"/>
        <v>132</v>
      </c>
      <c r="E30" s="99">
        <v>0.0</v>
      </c>
      <c r="F30" s="99">
        <f t="shared" si="3"/>
        <v>0</v>
      </c>
      <c r="G30" s="95" t="s">
        <v>130</v>
      </c>
    </row>
    <row r="31">
      <c r="A31" s="10" t="s">
        <v>131</v>
      </c>
      <c r="B31" s="10">
        <v>54.0</v>
      </c>
      <c r="C31" s="10">
        <v>6.0</v>
      </c>
      <c r="D31" s="78">
        <f t="shared" si="2"/>
        <v>324</v>
      </c>
      <c r="E31" s="99">
        <v>0.0</v>
      </c>
      <c r="F31" s="99">
        <f t="shared" si="3"/>
        <v>0</v>
      </c>
      <c r="G31" s="95" t="s">
        <v>132</v>
      </c>
    </row>
    <row r="32">
      <c r="A32" s="10" t="s">
        <v>133</v>
      </c>
      <c r="B32" s="10">
        <v>23.0</v>
      </c>
      <c r="C32" s="10">
        <v>6.0</v>
      </c>
      <c r="D32" s="78">
        <f t="shared" si="2"/>
        <v>138</v>
      </c>
      <c r="E32" s="99">
        <v>0.0</v>
      </c>
      <c r="F32" s="99">
        <f t="shared" si="3"/>
        <v>0</v>
      </c>
      <c r="G32" s="95" t="s">
        <v>134</v>
      </c>
    </row>
    <row r="33">
      <c r="A33" s="10" t="s">
        <v>135</v>
      </c>
      <c r="B33" s="10">
        <v>14.0</v>
      </c>
      <c r="C33" s="10">
        <v>6.0</v>
      </c>
      <c r="D33" s="78">
        <f t="shared" si="2"/>
        <v>84</v>
      </c>
      <c r="E33" s="99">
        <v>0.17</v>
      </c>
      <c r="F33" s="99">
        <f t="shared" si="3"/>
        <v>1.02</v>
      </c>
      <c r="G33" s="95" t="s">
        <v>136</v>
      </c>
    </row>
    <row r="34">
      <c r="A34" s="10" t="s">
        <v>137</v>
      </c>
      <c r="B34" s="91">
        <f>D21</f>
        <v>620.598672</v>
      </c>
      <c r="C34" s="10">
        <v>1.0</v>
      </c>
      <c r="D34" s="91">
        <f t="shared" si="2"/>
        <v>620.598672</v>
      </c>
      <c r="E34" s="99">
        <v>0.0</v>
      </c>
      <c r="F34" s="10">
        <f t="shared" si="3"/>
        <v>0</v>
      </c>
      <c r="G34" s="10" t="s">
        <v>24</v>
      </c>
    </row>
    <row r="35">
      <c r="A35" s="94" t="s">
        <v>64</v>
      </c>
      <c r="B35" s="98"/>
      <c r="C35" s="98"/>
      <c r="D35" s="100">
        <f>SUM(D27:D34)</f>
        <v>1519.598672</v>
      </c>
      <c r="F35" s="98">
        <f>SUM(F27:F34)</f>
        <v>1.62</v>
      </c>
    </row>
  </sheetData>
  <hyperlinks>
    <hyperlink r:id="rId1" ref="B23"/>
    <hyperlink r:id="rId2" ref="B24"/>
    <hyperlink r:id="rId3" ref="G27"/>
    <hyperlink r:id="rId4" ref="G28"/>
    <hyperlink r:id="rId5" ref="G29"/>
    <hyperlink r:id="rId6" ref="G30"/>
    <hyperlink r:id="rId7" ref="G31"/>
    <hyperlink r:id="rId8" ref="G32"/>
    <hyperlink r:id="rId9" ref="G33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4" max="4" width="25.57"/>
    <col customWidth="1" min="7" max="7" width="26.0"/>
    <col customWidth="1" min="9" max="9" width="18.57"/>
    <col customWidth="1" min="10" max="10" width="17.29"/>
  </cols>
  <sheetData>
    <row r="1">
      <c r="A1" s="7" t="s">
        <v>138</v>
      </c>
      <c r="B1" s="9"/>
      <c r="G1" s="7" t="s">
        <v>139</v>
      </c>
      <c r="H1" s="8"/>
      <c r="I1" s="8"/>
      <c r="J1" s="8"/>
      <c r="K1" s="9"/>
    </row>
    <row r="2">
      <c r="A2" s="17" t="s">
        <v>140</v>
      </c>
      <c r="B2" s="20">
        <f>'Habitat Sizing Calculations'!E9</f>
        <v>103</v>
      </c>
      <c r="G2" s="14" t="s">
        <v>14</v>
      </c>
      <c r="H2" s="69" t="s">
        <v>15</v>
      </c>
      <c r="I2" s="69" t="s">
        <v>141</v>
      </c>
      <c r="J2" s="69" t="s">
        <v>142</v>
      </c>
      <c r="K2" s="16" t="s">
        <v>143</v>
      </c>
    </row>
    <row r="3">
      <c r="A3" s="17" t="s">
        <v>63</v>
      </c>
      <c r="B3" s="59">
        <f>'Habitat Sizing Calculations'!B20</f>
        <v>3.1</v>
      </c>
      <c r="G3" s="101" t="s">
        <v>19</v>
      </c>
      <c r="H3" s="102">
        <f>'Habitat Sizing Calculations'!K4</f>
        <v>0.116</v>
      </c>
      <c r="I3" s="103">
        <f>H3*$B$5</f>
        <v>73.22967742</v>
      </c>
      <c r="J3" s="103">
        <f>E17</f>
        <v>8.74</v>
      </c>
      <c r="K3" s="104">
        <f>I3-J3</f>
        <v>64.48967742</v>
      </c>
    </row>
    <row r="4">
      <c r="A4" s="54" t="s">
        <v>107</v>
      </c>
      <c r="B4" s="105">
        <f>B2*B7</f>
        <v>1957</v>
      </c>
      <c r="G4" s="101"/>
      <c r="H4" s="102"/>
      <c r="I4" s="103"/>
      <c r="J4" s="103"/>
      <c r="K4" s="104"/>
    </row>
    <row r="5">
      <c r="A5" s="82" t="s">
        <v>16</v>
      </c>
      <c r="B5" s="106">
        <f>B4/B3</f>
        <v>631.2903226</v>
      </c>
      <c r="G5" s="101" t="s">
        <v>22</v>
      </c>
      <c r="H5" s="102">
        <f>'Habitat Sizing Calculations'!K5</f>
        <v>0.074</v>
      </c>
      <c r="I5" s="103">
        <f t="shared" ref="I5:I11" si="1">H5*$B$5</f>
        <v>46.71548387</v>
      </c>
      <c r="J5" s="103">
        <f>E12</f>
        <v>20.995</v>
      </c>
      <c r="K5" s="104">
        <f t="shared" ref="K5:K12" si="2">I5-J5</f>
        <v>25.72048387</v>
      </c>
    </row>
    <row r="6">
      <c r="G6" s="101" t="s">
        <v>25</v>
      </c>
      <c r="H6" s="102">
        <f>'Habitat Sizing Calculations'!K6</f>
        <v>0.201</v>
      </c>
      <c r="I6" s="103">
        <f t="shared" si="1"/>
        <v>126.8893548</v>
      </c>
      <c r="J6" s="103"/>
      <c r="K6" s="104">
        <f t="shared" si="2"/>
        <v>126.8893548</v>
      </c>
    </row>
    <row r="7">
      <c r="A7" s="107" t="s">
        <v>4</v>
      </c>
      <c r="B7" s="108">
        <v>19.0</v>
      </c>
      <c r="G7" s="101" t="s">
        <v>29</v>
      </c>
      <c r="H7" s="102">
        <f>'Habitat Sizing Calculations'!K8</f>
        <v>0.123</v>
      </c>
      <c r="I7" s="103">
        <f t="shared" si="1"/>
        <v>77.64870968</v>
      </c>
      <c r="J7" s="103">
        <f>B36</f>
        <v>15.87</v>
      </c>
      <c r="K7" s="104">
        <f t="shared" si="2"/>
        <v>61.77870968</v>
      </c>
    </row>
    <row r="8">
      <c r="G8" s="101" t="s">
        <v>30</v>
      </c>
      <c r="H8" s="102">
        <f>'Habitat Sizing Calculations'!K9</f>
        <v>0.037</v>
      </c>
      <c r="I8" s="103">
        <f t="shared" si="1"/>
        <v>23.35774194</v>
      </c>
      <c r="J8" s="103">
        <f>E22</f>
        <v>1</v>
      </c>
      <c r="K8" s="104">
        <f t="shared" si="2"/>
        <v>22.35774194</v>
      </c>
    </row>
    <row r="9">
      <c r="A9" s="7" t="s">
        <v>144</v>
      </c>
      <c r="B9" s="9"/>
      <c r="D9" s="7" t="s">
        <v>145</v>
      </c>
      <c r="E9" s="9"/>
      <c r="G9" s="101" t="s">
        <v>33</v>
      </c>
      <c r="H9" s="102">
        <f>'Habitat Sizing Calculations'!K10</f>
        <v>0.288</v>
      </c>
      <c r="I9" s="103">
        <f t="shared" si="1"/>
        <v>181.8116129</v>
      </c>
      <c r="J9" s="103">
        <f>B14</f>
        <v>142.5</v>
      </c>
      <c r="K9" s="104">
        <f t="shared" si="2"/>
        <v>39.3116129</v>
      </c>
    </row>
    <row r="10">
      <c r="A10" s="17" t="s">
        <v>107</v>
      </c>
      <c r="B10" s="104">
        <f>'Habitat Sizing Calculations'!B22</f>
        <v>23.25</v>
      </c>
      <c r="D10" s="54" t="s">
        <v>146</v>
      </c>
      <c r="E10" s="109">
        <f>'Habitat Sizing Calculations'!H8</f>
        <v>1.105</v>
      </c>
      <c r="G10" s="101" t="s">
        <v>37</v>
      </c>
      <c r="H10" s="102">
        <f>'Habitat Sizing Calculations'!K11</f>
        <v>0.034</v>
      </c>
      <c r="I10" s="103">
        <f t="shared" si="1"/>
        <v>21.46387097</v>
      </c>
      <c r="J10" s="103"/>
      <c r="K10" s="104">
        <f t="shared" si="2"/>
        <v>21.46387097</v>
      </c>
    </row>
    <row r="11">
      <c r="A11" s="17" t="s">
        <v>63</v>
      </c>
      <c r="B11" s="59">
        <f>B3</f>
        <v>3.1</v>
      </c>
      <c r="D11" s="80" t="s">
        <v>147</v>
      </c>
      <c r="E11" s="110">
        <f>E12*B3</f>
        <v>65.0845</v>
      </c>
      <c r="G11" s="111" t="s">
        <v>40</v>
      </c>
      <c r="H11" s="112">
        <f>'Habitat Sizing Calculations'!K12</f>
        <v>0.127</v>
      </c>
      <c r="I11" s="113">
        <f t="shared" si="1"/>
        <v>80.17387097</v>
      </c>
      <c r="J11" s="113"/>
      <c r="K11" s="105">
        <f t="shared" si="2"/>
        <v>80.17387097</v>
      </c>
    </row>
    <row r="12">
      <c r="A12" s="54" t="s">
        <v>16</v>
      </c>
      <c r="B12" s="114">
        <f>'Habitat Sizing Calculations'!B21</f>
        <v>7.5</v>
      </c>
      <c r="D12" s="92" t="s">
        <v>148</v>
      </c>
      <c r="E12" s="115">
        <f>E10*B7</f>
        <v>20.995</v>
      </c>
      <c r="G12" s="38" t="s">
        <v>64</v>
      </c>
      <c r="H12" s="116">
        <f t="shared" ref="H12:J12" si="3">SUM(H3:H11)</f>
        <v>1</v>
      </c>
      <c r="I12" s="117">
        <f t="shared" si="3"/>
        <v>631.2903226</v>
      </c>
      <c r="J12" s="117">
        <f t="shared" si="3"/>
        <v>189.105</v>
      </c>
      <c r="K12" s="118">
        <f t="shared" si="2"/>
        <v>442.1853226</v>
      </c>
    </row>
    <row r="13">
      <c r="A13" s="80" t="s">
        <v>149</v>
      </c>
      <c r="B13" s="110">
        <f>B14*B11</f>
        <v>441.75</v>
      </c>
    </row>
    <row r="14">
      <c r="A14" s="92" t="s">
        <v>150</v>
      </c>
      <c r="B14" s="115">
        <f>B12*B7</f>
        <v>142.5</v>
      </c>
      <c r="D14" s="7" t="s">
        <v>151</v>
      </c>
      <c r="E14" s="9"/>
    </row>
    <row r="15">
      <c r="D15" s="54" t="s">
        <v>39</v>
      </c>
      <c r="E15" s="56">
        <f>'Habitat Sizing Calculations'!H12</f>
        <v>0.46</v>
      </c>
    </row>
    <row r="16">
      <c r="A16" s="7" t="s">
        <v>152</v>
      </c>
      <c r="B16" s="9"/>
      <c r="D16" s="80" t="s">
        <v>153</v>
      </c>
      <c r="E16" s="110">
        <f>E17*B3</f>
        <v>27.094</v>
      </c>
    </row>
    <row r="17">
      <c r="A17" s="17" t="s">
        <v>154</v>
      </c>
      <c r="B17" s="28"/>
      <c r="D17" s="92" t="s">
        <v>155</v>
      </c>
      <c r="E17" s="93">
        <f>E15*B7</f>
        <v>8.74</v>
      </c>
    </row>
    <row r="18">
      <c r="A18" s="119" t="s">
        <v>156</v>
      </c>
      <c r="B18" s="22">
        <f>'Habitat Sizing Calculations'!H27/2</f>
        <v>2</v>
      </c>
    </row>
    <row r="19">
      <c r="A19" s="119" t="s">
        <v>157</v>
      </c>
      <c r="B19" s="22">
        <f>'Habitat Sizing Calculations'!H28/2</f>
        <v>1</v>
      </c>
      <c r="D19" s="7" t="s">
        <v>158</v>
      </c>
      <c r="E19" s="9"/>
    </row>
    <row r="20">
      <c r="A20" s="119" t="s">
        <v>159</v>
      </c>
      <c r="B20" s="22">
        <f>'Habitat Sizing Calculations'!H29/2</f>
        <v>2</v>
      </c>
      <c r="D20" s="54" t="s">
        <v>160</v>
      </c>
      <c r="E20" s="56"/>
    </row>
    <row r="21">
      <c r="A21" s="119" t="s">
        <v>16</v>
      </c>
      <c r="B21" s="28">
        <f>'Habitat Sizing Calculations'!H38/2</f>
        <v>6.69</v>
      </c>
      <c r="D21" s="80" t="s">
        <v>161</v>
      </c>
      <c r="E21" s="81">
        <f>E22*B3</f>
        <v>3.1</v>
      </c>
    </row>
    <row r="22">
      <c r="A22" s="120"/>
      <c r="B22" s="28"/>
      <c r="D22" s="92" t="s">
        <v>162</v>
      </c>
      <c r="E22" s="93">
        <f>'Habitat Sizing Calculations'!O16*'Habitat Sizing Calculations'!O17</f>
        <v>1</v>
      </c>
    </row>
    <row r="23">
      <c r="A23" s="17" t="s">
        <v>163</v>
      </c>
      <c r="B23" s="28"/>
    </row>
    <row r="24">
      <c r="A24" s="119" t="s">
        <v>156</v>
      </c>
      <c r="B24" s="22">
        <f>'Habitat Sizing Calculations'!H27/2</f>
        <v>2</v>
      </c>
    </row>
    <row r="25">
      <c r="A25" s="119" t="s">
        <v>157</v>
      </c>
      <c r="B25" s="22">
        <f>'Habitat Sizing Calculations'!H28/2</f>
        <v>1</v>
      </c>
    </row>
    <row r="26">
      <c r="A26" s="119" t="s">
        <v>159</v>
      </c>
      <c r="B26" s="22">
        <f>'Habitat Sizing Calculations'!H29/2</f>
        <v>2</v>
      </c>
    </row>
    <row r="27">
      <c r="A27" s="119" t="s">
        <v>16</v>
      </c>
      <c r="B27" s="28">
        <f>'Habitat Sizing Calculations'!H38/2</f>
        <v>6.69</v>
      </c>
    </row>
    <row r="28">
      <c r="A28" s="120"/>
      <c r="B28" s="28"/>
    </row>
    <row r="29">
      <c r="A29" s="17" t="s">
        <v>164</v>
      </c>
      <c r="B29" s="28"/>
    </row>
    <row r="30">
      <c r="A30" s="119" t="s">
        <v>156</v>
      </c>
      <c r="B30" s="28">
        <f>'Habitat Sizing Calculations'!H32</f>
        <v>1</v>
      </c>
    </row>
    <row r="31">
      <c r="A31" s="119" t="s">
        <v>157</v>
      </c>
      <c r="B31" s="28">
        <f>'Habitat Sizing Calculations'!H33</f>
        <v>1</v>
      </c>
    </row>
    <row r="32">
      <c r="A32" s="119" t="s">
        <v>159</v>
      </c>
      <c r="B32" s="28">
        <f>'Habitat Sizing Calculations'!H34</f>
        <v>0</v>
      </c>
    </row>
    <row r="33">
      <c r="A33" s="119" t="s">
        <v>16</v>
      </c>
      <c r="B33" s="28">
        <f>'Habitat Sizing Calculations'!H39</f>
        <v>2.49</v>
      </c>
    </row>
    <row r="34">
      <c r="A34" s="121"/>
      <c r="B34" s="56"/>
    </row>
    <row r="35">
      <c r="A35" s="80" t="s">
        <v>165</v>
      </c>
      <c r="B35" s="110">
        <f>B36*B3</f>
        <v>49.197</v>
      </c>
    </row>
    <row r="36">
      <c r="A36" s="92" t="s">
        <v>166</v>
      </c>
      <c r="B36" s="115">
        <f>B21+B27+B33</f>
        <v>15.87</v>
      </c>
    </row>
  </sheetData>
  <mergeCells count="7">
    <mergeCell ref="A1:B1"/>
    <mergeCell ref="G1:K1"/>
    <mergeCell ref="A9:B9"/>
    <mergeCell ref="D9:E9"/>
    <mergeCell ref="D14:E14"/>
    <mergeCell ref="A16:B16"/>
    <mergeCell ref="D19:E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  <col customWidth="1" min="3" max="3" width="15.14"/>
    <col customWidth="1" min="7" max="7" width="42.71"/>
  </cols>
  <sheetData>
    <row r="1">
      <c r="A1" s="7" t="s">
        <v>167</v>
      </c>
      <c r="B1" s="8"/>
      <c r="C1" s="8"/>
      <c r="D1" s="9"/>
      <c r="G1" s="122" t="s">
        <v>168</v>
      </c>
    </row>
    <row r="2">
      <c r="A2" s="123"/>
      <c r="B2" s="124" t="s">
        <v>120</v>
      </c>
      <c r="C2" s="124" t="s">
        <v>108</v>
      </c>
      <c r="D2" s="125" t="s">
        <v>169</v>
      </c>
      <c r="G2" s="10" t="s">
        <v>170</v>
      </c>
    </row>
    <row r="3">
      <c r="A3" s="17" t="s">
        <v>171</v>
      </c>
      <c r="B3" s="18"/>
      <c r="C3" s="18"/>
      <c r="D3" s="28"/>
      <c r="G3" s="10" t="s">
        <v>172</v>
      </c>
    </row>
    <row r="4">
      <c r="A4" s="119" t="s">
        <v>173</v>
      </c>
      <c r="B4" s="126">
        <v>0.22</v>
      </c>
      <c r="C4" s="18">
        <v>5.0</v>
      </c>
      <c r="D4" s="127">
        <v>1.29</v>
      </c>
      <c r="G4" s="10" t="s">
        <v>174</v>
      </c>
    </row>
    <row r="5">
      <c r="A5" s="119" t="s">
        <v>175</v>
      </c>
      <c r="B5" s="126">
        <v>0.7</v>
      </c>
      <c r="C5" s="18">
        <v>2.0</v>
      </c>
      <c r="D5" s="127">
        <v>1.95</v>
      </c>
      <c r="G5" s="10" t="s">
        <v>176</v>
      </c>
    </row>
    <row r="6">
      <c r="A6" s="119" t="s">
        <v>177</v>
      </c>
      <c r="B6" s="126">
        <v>0.3</v>
      </c>
      <c r="C6" s="18">
        <v>2.0</v>
      </c>
      <c r="D6" s="127">
        <v>0.8</v>
      </c>
      <c r="G6" s="10" t="s">
        <v>178</v>
      </c>
    </row>
    <row r="7">
      <c r="A7" s="119" t="s">
        <v>179</v>
      </c>
      <c r="B7" s="126">
        <v>0.2</v>
      </c>
      <c r="C7" s="18">
        <v>10.0</v>
      </c>
      <c r="D7" s="127">
        <v>1.0</v>
      </c>
      <c r="G7" s="10" t="s">
        <v>180</v>
      </c>
    </row>
    <row r="8">
      <c r="A8" s="119" t="s">
        <v>181</v>
      </c>
      <c r="B8" s="126">
        <v>0.2</v>
      </c>
      <c r="C8" s="18">
        <v>10.0</v>
      </c>
      <c r="D8" s="127">
        <v>2.5</v>
      </c>
      <c r="G8" s="10" t="s">
        <v>182</v>
      </c>
    </row>
    <row r="9">
      <c r="A9" s="119" t="s">
        <v>183</v>
      </c>
      <c r="B9" s="126">
        <v>0.1</v>
      </c>
      <c r="C9" s="18">
        <v>10.0</v>
      </c>
      <c r="D9" s="127">
        <v>1.25</v>
      </c>
    </row>
    <row r="10">
      <c r="A10" s="119" t="s">
        <v>184</v>
      </c>
      <c r="B10" s="126">
        <v>0.5</v>
      </c>
      <c r="C10" s="18">
        <v>2.0</v>
      </c>
      <c r="D10" s="127">
        <v>1.1</v>
      </c>
      <c r="G10" s="10" t="s">
        <v>185</v>
      </c>
      <c r="H10" s="97" t="s">
        <v>186</v>
      </c>
    </row>
    <row r="11">
      <c r="A11" s="119" t="s">
        <v>187</v>
      </c>
      <c r="B11" s="126">
        <v>0.5</v>
      </c>
      <c r="C11" s="18">
        <v>2.0</v>
      </c>
      <c r="D11" s="127">
        <f>B11*C11</f>
        <v>1</v>
      </c>
    </row>
    <row r="12">
      <c r="A12" s="17" t="s">
        <v>188</v>
      </c>
      <c r="B12" s="18"/>
      <c r="C12" s="18"/>
      <c r="D12" s="28"/>
    </row>
    <row r="13">
      <c r="A13" s="119" t="s">
        <v>173</v>
      </c>
      <c r="B13" s="18">
        <v>0.3</v>
      </c>
      <c r="C13" s="18">
        <v>5.0</v>
      </c>
      <c r="D13" s="28">
        <f t="shared" ref="D13:D19" si="1">B13*C13</f>
        <v>1.5</v>
      </c>
    </row>
    <row r="14">
      <c r="A14" s="119" t="s">
        <v>175</v>
      </c>
      <c r="B14" s="18">
        <v>1.25</v>
      </c>
      <c r="C14" s="18">
        <v>2.0</v>
      </c>
      <c r="D14" s="28">
        <f t="shared" si="1"/>
        <v>2.5</v>
      </c>
    </row>
    <row r="15">
      <c r="A15" s="119" t="s">
        <v>177</v>
      </c>
      <c r="B15" s="18">
        <v>0.5</v>
      </c>
      <c r="C15" s="18">
        <v>2.0</v>
      </c>
      <c r="D15" s="28">
        <f t="shared" si="1"/>
        <v>1</v>
      </c>
    </row>
    <row r="16">
      <c r="A16" s="119" t="s">
        <v>181</v>
      </c>
      <c r="B16" s="18">
        <v>0.3</v>
      </c>
      <c r="C16" s="18">
        <v>10.0</v>
      </c>
      <c r="D16" s="28">
        <f t="shared" si="1"/>
        <v>3</v>
      </c>
    </row>
    <row r="17">
      <c r="A17" s="119" t="s">
        <v>183</v>
      </c>
      <c r="B17" s="18">
        <v>0.15</v>
      </c>
      <c r="C17" s="18">
        <v>10.0</v>
      </c>
      <c r="D17" s="28">
        <f t="shared" si="1"/>
        <v>1.5</v>
      </c>
    </row>
    <row r="18">
      <c r="A18" s="119" t="s">
        <v>184</v>
      </c>
      <c r="B18" s="18">
        <v>0.6</v>
      </c>
      <c r="C18" s="18">
        <v>2.0</v>
      </c>
      <c r="D18" s="28">
        <f t="shared" si="1"/>
        <v>1.2</v>
      </c>
    </row>
    <row r="19">
      <c r="A19" s="128" t="s">
        <v>187</v>
      </c>
      <c r="B19" s="129">
        <v>0.6</v>
      </c>
      <c r="C19" s="129">
        <v>2.0</v>
      </c>
      <c r="D19" s="56">
        <f t="shared" si="1"/>
        <v>1.2</v>
      </c>
    </row>
    <row r="20">
      <c r="A20" s="130" t="s">
        <v>189</v>
      </c>
      <c r="B20" s="131"/>
      <c r="C20" s="131">
        <f>sum(C13:C18)</f>
        <v>31</v>
      </c>
      <c r="D20" s="132">
        <f>sum(D13:D19)</f>
        <v>11.9</v>
      </c>
    </row>
    <row r="21">
      <c r="A21" s="92" t="s">
        <v>190</v>
      </c>
      <c r="B21" s="133"/>
      <c r="C21" s="133">
        <f>sum(C4:C11)</f>
        <v>43</v>
      </c>
      <c r="D21" s="134">
        <f>SUM(D4:D11)</f>
        <v>10.89</v>
      </c>
    </row>
    <row r="23">
      <c r="A23" s="7" t="s">
        <v>191</v>
      </c>
      <c r="B23" s="8"/>
      <c r="C23" s="8"/>
      <c r="D23" s="9"/>
      <c r="G23" s="135"/>
    </row>
    <row r="24">
      <c r="A24" s="136"/>
      <c r="B24" s="124" t="s">
        <v>192</v>
      </c>
      <c r="C24" s="124" t="s">
        <v>193</v>
      </c>
      <c r="D24" s="125" t="s">
        <v>194</v>
      </c>
      <c r="G24" s="137"/>
      <c r="H24" s="138"/>
    </row>
    <row r="25">
      <c r="A25" s="17" t="s">
        <v>195</v>
      </c>
      <c r="B25" s="126">
        <v>92.9864</v>
      </c>
      <c r="C25" s="126">
        <v>10.2</v>
      </c>
      <c r="D25" s="22">
        <v>49.2</v>
      </c>
      <c r="G25" s="137"/>
      <c r="H25" s="138"/>
    </row>
    <row r="26">
      <c r="A26" s="82" t="s">
        <v>196</v>
      </c>
      <c r="B26" s="139">
        <v>56.25</v>
      </c>
      <c r="C26" s="140">
        <v>10.2</v>
      </c>
      <c r="D26" s="96">
        <v>0.0</v>
      </c>
      <c r="G26" s="137"/>
      <c r="H26" s="138"/>
    </row>
    <row r="27">
      <c r="G27" s="137"/>
      <c r="H27" s="138"/>
    </row>
    <row r="28">
      <c r="A28" s="7" t="s">
        <v>197</v>
      </c>
      <c r="B28" s="8"/>
      <c r="C28" s="8"/>
      <c r="D28" s="8"/>
      <c r="E28" s="9"/>
      <c r="G28" s="137"/>
      <c r="H28" s="138"/>
    </row>
    <row r="29">
      <c r="A29" s="123"/>
      <c r="B29" s="141" t="s">
        <v>198</v>
      </c>
      <c r="C29" s="124" t="s">
        <v>199</v>
      </c>
      <c r="D29" s="124" t="s">
        <v>4</v>
      </c>
      <c r="E29" s="125">
        <v>19.0</v>
      </c>
    </row>
    <row r="30">
      <c r="A30" s="17" t="s">
        <v>200</v>
      </c>
      <c r="B30" s="142">
        <f>(average(D21,D20)/7)*E29</f>
        <v>30.92928571</v>
      </c>
      <c r="C30" s="143">
        <f>B30</f>
        <v>30.92928571</v>
      </c>
      <c r="D30" s="144"/>
      <c r="E30" s="127"/>
      <c r="G30" s="10" t="s">
        <v>201</v>
      </c>
    </row>
    <row r="31">
      <c r="A31" s="17" t="s">
        <v>202</v>
      </c>
      <c r="B31" s="145">
        <f>B30*7</f>
        <v>216.505</v>
      </c>
      <c r="C31" s="143" t="str">
        <f>B32</f>
        <v/>
      </c>
      <c r="D31" s="144"/>
      <c r="E31" s="28"/>
      <c r="I31" s="10" t="s">
        <v>9</v>
      </c>
    </row>
    <row r="32">
      <c r="A32" s="17" t="s">
        <v>203</v>
      </c>
      <c r="B32" s="142"/>
      <c r="C32" s="143">
        <f>B30 * 365</f>
        <v>11289.18929</v>
      </c>
      <c r="D32" s="18"/>
      <c r="E32" s="146"/>
      <c r="G32" s="10" t="s">
        <v>204</v>
      </c>
      <c r="H32" s="10">
        <v>6.81</v>
      </c>
      <c r="I32" s="95" t="s">
        <v>205</v>
      </c>
    </row>
    <row r="33">
      <c r="A33" s="147" t="s">
        <v>206</v>
      </c>
      <c r="B33" s="148">
        <f>B31 + B25 + B26</f>
        <v>365.7414</v>
      </c>
      <c r="C33" s="149">
        <f>C32</f>
        <v>11289.18929</v>
      </c>
      <c r="D33" s="18"/>
      <c r="E33" s="146"/>
      <c r="G33" s="10" t="s">
        <v>207</v>
      </c>
      <c r="H33" s="10">
        <v>8.0</v>
      </c>
      <c r="I33" s="95" t="s">
        <v>208</v>
      </c>
    </row>
    <row r="34">
      <c r="A34" s="147"/>
      <c r="B34" s="150"/>
      <c r="C34" s="151"/>
      <c r="D34" s="18"/>
      <c r="E34" s="146"/>
      <c r="G34" s="10" t="s">
        <v>209</v>
      </c>
      <c r="H34" s="10">
        <v>3.0</v>
      </c>
      <c r="I34" s="97" t="s">
        <v>210</v>
      </c>
    </row>
    <row r="35">
      <c r="A35" s="147" t="s">
        <v>211</v>
      </c>
      <c r="B35" s="150">
        <f>roundup(B31/C25)</f>
        <v>22</v>
      </c>
      <c r="C35" s="151">
        <v>0.0</v>
      </c>
      <c r="D35" s="144"/>
      <c r="E35" s="146"/>
      <c r="G35" s="10" t="s">
        <v>212</v>
      </c>
      <c r="H35" s="78">
        <f>H32*H33</f>
        <v>54.48</v>
      </c>
    </row>
    <row r="36">
      <c r="A36" s="147" t="s">
        <v>213</v>
      </c>
      <c r="B36" s="150">
        <f>roundup(B35/7)</f>
        <v>4</v>
      </c>
      <c r="C36" s="151">
        <v>0.0</v>
      </c>
      <c r="D36" s="144"/>
      <c r="E36" s="146"/>
      <c r="G36" s="10" t="s">
        <v>214</v>
      </c>
      <c r="H36" s="91">
        <f>H32*H33*H34*19*52</f>
        <v>161478.72</v>
      </c>
    </row>
    <row r="37">
      <c r="A37" s="152" t="s">
        <v>215</v>
      </c>
      <c r="B37" s="148">
        <f>0.25 + 2.25</f>
        <v>2.5</v>
      </c>
      <c r="C37" s="151">
        <v>0.0</v>
      </c>
      <c r="D37" s="144"/>
      <c r="E37" s="28"/>
      <c r="G37" s="10" t="s">
        <v>216</v>
      </c>
      <c r="H37" s="91">
        <f>H36/365</f>
        <v>442.4074521</v>
      </c>
    </row>
    <row r="38">
      <c r="A38" s="147" t="s">
        <v>217</v>
      </c>
      <c r="B38" s="150">
        <f>B36*B37</f>
        <v>10</v>
      </c>
      <c r="C38" s="151">
        <v>0.0</v>
      </c>
      <c r="D38" s="144"/>
      <c r="E38" s="28"/>
    </row>
    <row r="39">
      <c r="A39" s="147"/>
      <c r="B39" s="148"/>
      <c r="C39" s="153"/>
      <c r="D39" s="144"/>
      <c r="E39" s="28"/>
      <c r="G39" s="10" t="s">
        <v>124</v>
      </c>
    </row>
    <row r="40">
      <c r="A40" s="147" t="s">
        <v>218</v>
      </c>
      <c r="B40" s="148">
        <v>9.07185</v>
      </c>
      <c r="C40" s="151">
        <v>0.0</v>
      </c>
      <c r="D40" s="144"/>
      <c r="E40" s="28"/>
      <c r="G40" s="10" t="s">
        <v>219</v>
      </c>
      <c r="H40" s="78">
        <f>2+7</f>
        <v>9</v>
      </c>
      <c r="I40" s="97" t="s">
        <v>220</v>
      </c>
      <c r="N40" s="97" t="s">
        <v>221</v>
      </c>
    </row>
    <row r="41">
      <c r="A41" s="147" t="s">
        <v>222</v>
      </c>
      <c r="B41" s="150">
        <f>250*4/1000</f>
        <v>1</v>
      </c>
      <c r="C41" s="151">
        <v>0.0</v>
      </c>
      <c r="D41" s="144"/>
      <c r="E41" s="28"/>
      <c r="G41" s="10" t="s">
        <v>223</v>
      </c>
      <c r="H41" s="10">
        <v>6.06</v>
      </c>
      <c r="I41" s="97" t="s">
        <v>224</v>
      </c>
    </row>
    <row r="42">
      <c r="A42" s="147" t="s">
        <v>225</v>
      </c>
      <c r="B42" s="154">
        <f>roundup(B38/B41)</f>
        <v>10</v>
      </c>
      <c r="C42" s="151">
        <v>0.0</v>
      </c>
      <c r="D42" s="144"/>
      <c r="E42" s="28"/>
      <c r="G42" s="10" t="s">
        <v>226</v>
      </c>
      <c r="H42" s="10">
        <v>0.0</v>
      </c>
    </row>
    <row r="43">
      <c r="A43" s="147" t="s">
        <v>227</v>
      </c>
      <c r="B43" s="150">
        <f>B40*B42</f>
        <v>90.7185</v>
      </c>
      <c r="C43" s="151">
        <v>0.0</v>
      </c>
      <c r="D43" s="144"/>
      <c r="E43" s="28"/>
      <c r="G43" s="10" t="s">
        <v>228</v>
      </c>
      <c r="H43" s="78">
        <f>H40*E29</f>
        <v>171</v>
      </c>
    </row>
    <row r="44">
      <c r="A44" s="155"/>
      <c r="B44" s="156"/>
      <c r="C44" s="157"/>
      <c r="D44" s="158"/>
      <c r="E44" s="56"/>
      <c r="G44" s="10" t="s">
        <v>229</v>
      </c>
      <c r="H44" s="10">
        <v>0.0</v>
      </c>
    </row>
    <row r="45">
      <c r="A45" s="159" t="s">
        <v>230</v>
      </c>
      <c r="B45" s="160">
        <f>B43+B33</f>
        <v>456.4599</v>
      </c>
      <c r="C45" s="161">
        <f>C33</f>
        <v>11289.18929</v>
      </c>
      <c r="D45" s="162"/>
      <c r="E45" s="163"/>
      <c r="G45" s="10" t="s">
        <v>231</v>
      </c>
      <c r="H45" s="78">
        <f>H43*H41</f>
        <v>1036.26</v>
      </c>
    </row>
    <row r="46">
      <c r="A46" s="86" t="s">
        <v>232</v>
      </c>
      <c r="B46" s="164">
        <f t="shared" ref="B46:C46" si="2">B45*2720</f>
        <v>1241570.928</v>
      </c>
      <c r="C46" s="165">
        <f t="shared" si="2"/>
        <v>30706594.86</v>
      </c>
      <c r="D46" s="144"/>
      <c r="E46" s="28"/>
    </row>
    <row r="47">
      <c r="A47" s="92" t="s">
        <v>233</v>
      </c>
      <c r="B47" s="166">
        <f>B46</f>
        <v>1241570.928</v>
      </c>
      <c r="C47" s="167">
        <f>C46*10</f>
        <v>307065948.6</v>
      </c>
      <c r="D47" s="168"/>
      <c r="E47" s="169"/>
      <c r="G47" s="64"/>
    </row>
    <row r="48">
      <c r="A48" s="10"/>
    </row>
    <row r="49">
      <c r="A49" s="10" t="s">
        <v>75</v>
      </c>
    </row>
    <row r="50">
      <c r="A50" s="10" t="s">
        <v>234</v>
      </c>
      <c r="B50" s="170" t="s">
        <v>235</v>
      </c>
    </row>
    <row r="51">
      <c r="A51" s="10" t="s">
        <v>236</v>
      </c>
      <c r="B51" s="170" t="s">
        <v>237</v>
      </c>
    </row>
    <row r="52">
      <c r="A52" s="10" t="s">
        <v>238</v>
      </c>
      <c r="B52" s="97" t="s">
        <v>239</v>
      </c>
    </row>
    <row r="53">
      <c r="A53" s="10" t="s">
        <v>240</v>
      </c>
      <c r="B53" s="97" t="s">
        <v>241</v>
      </c>
    </row>
    <row r="54">
      <c r="A54" s="10" t="s">
        <v>242</v>
      </c>
      <c r="B54" s="97" t="s">
        <v>241</v>
      </c>
    </row>
    <row r="55">
      <c r="A55" s="10" t="s">
        <v>243</v>
      </c>
      <c r="B55" s="95" t="s">
        <v>244</v>
      </c>
    </row>
    <row r="56">
      <c r="A56" s="10" t="s">
        <v>245</v>
      </c>
      <c r="B56" s="97" t="s">
        <v>246</v>
      </c>
    </row>
    <row r="57">
      <c r="A57" s="10" t="s">
        <v>247</v>
      </c>
      <c r="B57" s="97" t="s">
        <v>248</v>
      </c>
    </row>
    <row r="58">
      <c r="A58" s="10" t="s">
        <v>249</v>
      </c>
      <c r="B58" s="97" t="s">
        <v>239</v>
      </c>
    </row>
    <row r="59">
      <c r="A59" s="10" t="s">
        <v>250</v>
      </c>
      <c r="B59" s="97" t="s">
        <v>239</v>
      </c>
    </row>
  </sheetData>
  <mergeCells count="4">
    <mergeCell ref="A1:D1"/>
    <mergeCell ref="A23:D23"/>
    <mergeCell ref="G23:H23"/>
    <mergeCell ref="A28:E28"/>
  </mergeCells>
  <hyperlinks>
    <hyperlink r:id="rId1" ref="H10"/>
    <hyperlink r:id="rId2" ref="I32"/>
    <hyperlink r:id="rId3" ref="I33"/>
    <hyperlink r:id="rId4" ref="I34"/>
    <hyperlink r:id="rId5" location="frequency" ref="I40"/>
    <hyperlink r:id="rId6" location="urinary-frequency" ref="N40"/>
    <hyperlink r:id="rId7" ref="I41"/>
    <hyperlink r:id="rId8" ref="B50"/>
    <hyperlink r:id="rId9" ref="B51"/>
    <hyperlink r:id="rId10" ref="B52"/>
    <hyperlink r:id="rId11" ref="B53"/>
    <hyperlink r:id="rId12" ref="B54"/>
    <hyperlink r:id="rId13" ref="B55"/>
    <hyperlink r:id="rId14" ref="B56"/>
    <hyperlink r:id="rId15" ref="B57"/>
    <hyperlink r:id="rId16" ref="B58"/>
    <hyperlink r:id="rId17" ref="B59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15.43"/>
    <col customWidth="1" min="3" max="3" width="22.29"/>
    <col customWidth="1" min="4" max="4" width="16.86"/>
    <col customWidth="1" min="5" max="5" width="15.57"/>
    <col customWidth="1" min="7" max="7" width="15.43"/>
    <col customWidth="1" min="9" max="9" width="16.86"/>
  </cols>
  <sheetData>
    <row r="1">
      <c r="A1" s="7" t="s">
        <v>251</v>
      </c>
      <c r="B1" s="9"/>
      <c r="C1" s="7" t="s">
        <v>252</v>
      </c>
      <c r="D1" s="9"/>
      <c r="E1" s="7" t="s">
        <v>30</v>
      </c>
      <c r="F1" s="9"/>
      <c r="G1" s="7" t="s">
        <v>124</v>
      </c>
      <c r="H1" s="9"/>
    </row>
    <row r="2">
      <c r="A2" s="171" t="s">
        <v>4</v>
      </c>
      <c r="B2" s="172">
        <v>19.0</v>
      </c>
      <c r="C2" s="171" t="s">
        <v>253</v>
      </c>
      <c r="D2" s="173">
        <f>roundup((B2*B26) / 7)</f>
        <v>9</v>
      </c>
      <c r="E2" s="171" t="s">
        <v>254</v>
      </c>
      <c r="F2" s="28">
        <f>roundup(C13/D18/7)</f>
        <v>3</v>
      </c>
      <c r="G2" s="171" t="s">
        <v>255</v>
      </c>
      <c r="H2" s="28">
        <f>E24*B2</f>
        <v>171</v>
      </c>
    </row>
    <row r="3">
      <c r="A3" s="171" t="s">
        <v>188</v>
      </c>
      <c r="B3" s="172">
        <f>roundup(B2/2)</f>
        <v>10</v>
      </c>
      <c r="C3" s="171" t="s">
        <v>256</v>
      </c>
      <c r="D3" s="63">
        <v>0.0</v>
      </c>
      <c r="E3" s="171" t="s">
        <v>256</v>
      </c>
      <c r="F3" s="28">
        <f>F2*((C18 * 0.5) + (C19 * 0.75))</f>
        <v>7.5</v>
      </c>
      <c r="G3" s="171" t="s">
        <v>256</v>
      </c>
      <c r="H3" s="22">
        <v>0.0</v>
      </c>
    </row>
    <row r="4">
      <c r="A4" s="171" t="s">
        <v>257</v>
      </c>
      <c r="B4" s="174">
        <f>B2-B3</f>
        <v>9</v>
      </c>
      <c r="C4" s="171" t="s">
        <v>258</v>
      </c>
      <c r="D4" s="173">
        <f>D2*B25</f>
        <v>490.32</v>
      </c>
      <c r="E4" s="171" t="s">
        <v>258</v>
      </c>
      <c r="F4" s="28">
        <f>E18*F2</f>
        <v>147.6</v>
      </c>
      <c r="G4" s="171" t="s">
        <v>258</v>
      </c>
      <c r="H4" s="104">
        <f>H2*E23</f>
        <v>776.76579</v>
      </c>
    </row>
    <row r="5">
      <c r="A5" s="175" t="s">
        <v>120</v>
      </c>
      <c r="B5" s="176">
        <f>(B3 * 90.6) + (B4 * 77.5)</f>
        <v>1603.5</v>
      </c>
      <c r="C5" s="171" t="s">
        <v>120</v>
      </c>
      <c r="D5" s="177" t="s">
        <v>259</v>
      </c>
      <c r="E5" s="171" t="s">
        <v>120</v>
      </c>
      <c r="F5" s="104">
        <f>C12+B18+B19</f>
        <v>366.2464</v>
      </c>
      <c r="G5" s="171" t="s">
        <v>120</v>
      </c>
      <c r="H5" s="22">
        <f>45*'Habitat Sizing Calculations'!H21</f>
        <v>90</v>
      </c>
    </row>
    <row r="6">
      <c r="C6" s="175" t="s">
        <v>107</v>
      </c>
      <c r="D6" s="176"/>
      <c r="E6" s="175" t="s">
        <v>107</v>
      </c>
      <c r="F6" s="169">
        <f>F18+F19+C14</f>
        <v>4.05</v>
      </c>
      <c r="G6" s="175" t="s">
        <v>107</v>
      </c>
      <c r="H6" s="169">
        <f>0.2*'Habitat Sizing Calculations'!H21</f>
        <v>0.4</v>
      </c>
    </row>
    <row r="7">
      <c r="E7" s="10"/>
      <c r="G7" s="10"/>
    </row>
    <row r="8">
      <c r="A8" s="7" t="s">
        <v>260</v>
      </c>
      <c r="B8" s="8"/>
      <c r="C8" s="9"/>
    </row>
    <row r="9">
      <c r="A9" s="49"/>
      <c r="B9" s="69" t="s">
        <v>261</v>
      </c>
      <c r="C9" s="16" t="s">
        <v>262</v>
      </c>
    </row>
    <row r="10">
      <c r="A10" s="17" t="s">
        <v>188</v>
      </c>
      <c r="B10" s="143">
        <f>'Mass, Water, and Power Calculat'!D20</f>
        <v>11.9</v>
      </c>
      <c r="C10" s="22">
        <v>0.05</v>
      </c>
    </row>
    <row r="11">
      <c r="A11" s="54" t="s">
        <v>171</v>
      </c>
      <c r="B11" s="178">
        <f>'Mass, Water, and Power Calculat'!D21</f>
        <v>10.89</v>
      </c>
      <c r="C11" s="33">
        <v>0.05</v>
      </c>
    </row>
    <row r="12">
      <c r="A12" s="80" t="s">
        <v>121</v>
      </c>
      <c r="B12" s="179"/>
      <c r="C12" s="81">
        <f>(B3*B10) + (B4*B11)</f>
        <v>217.01</v>
      </c>
    </row>
    <row r="13">
      <c r="A13" s="36" t="s">
        <v>263</v>
      </c>
      <c r="B13" s="180"/>
      <c r="C13" s="181">
        <f>(C12/10)*7</f>
        <v>151.907</v>
      </c>
    </row>
    <row r="14">
      <c r="A14" s="92" t="s">
        <v>109</v>
      </c>
      <c r="B14" s="133"/>
      <c r="C14" s="93">
        <f>C10*B2</f>
        <v>0.95</v>
      </c>
    </row>
    <row r="16">
      <c r="A16" s="7" t="s">
        <v>30</v>
      </c>
      <c r="B16" s="8"/>
      <c r="C16" s="8"/>
      <c r="D16" s="8"/>
      <c r="E16" s="8"/>
      <c r="F16" s="8"/>
      <c r="G16" s="9"/>
    </row>
    <row r="17">
      <c r="A17" s="49"/>
      <c r="B17" s="69" t="s">
        <v>120</v>
      </c>
      <c r="C17" s="69" t="s">
        <v>122</v>
      </c>
      <c r="D17" s="69" t="s">
        <v>264</v>
      </c>
      <c r="E17" s="69" t="s">
        <v>265</v>
      </c>
      <c r="F17" s="69" t="s">
        <v>107</v>
      </c>
      <c r="G17" s="16" t="s">
        <v>108</v>
      </c>
    </row>
    <row r="18">
      <c r="A18" s="17" t="s">
        <v>195</v>
      </c>
      <c r="B18" s="143">
        <f>'Mass, Water, and Power Calculat'!B25</f>
        <v>92.9864</v>
      </c>
      <c r="C18" s="18">
        <v>0.5</v>
      </c>
      <c r="D18" s="143">
        <f>'Mass, Water, and Power Calculat'!C25</f>
        <v>10.2</v>
      </c>
      <c r="E18" s="144">
        <f>'Mass, Water, and Power Calculat'!D25</f>
        <v>49.2</v>
      </c>
      <c r="F18" s="144">
        <f>'Habitat Sizing Calculations'!O18/2</f>
        <v>1.55</v>
      </c>
      <c r="G18" s="22">
        <v>1.0</v>
      </c>
    </row>
    <row r="19">
      <c r="A19" s="54" t="s">
        <v>196</v>
      </c>
      <c r="B19" s="158">
        <f>'Mass, Water, and Power Calculat'!B26</f>
        <v>56.25</v>
      </c>
      <c r="C19" s="182">
        <v>3.0</v>
      </c>
      <c r="D19" s="143">
        <f>'Mass, Water, and Power Calculat'!C26</f>
        <v>10.2</v>
      </c>
      <c r="E19" s="144">
        <f>'Mass, Water, and Power Calculat'!D26</f>
        <v>0</v>
      </c>
      <c r="F19" s="158">
        <f>F18</f>
        <v>1.55</v>
      </c>
      <c r="G19" s="33">
        <v>1.0</v>
      </c>
    </row>
    <row r="20">
      <c r="A20" s="38" t="s">
        <v>64</v>
      </c>
      <c r="B20" s="183">
        <f t="shared" ref="B20:C20" si="1">SUM(B18:B19)</f>
        <v>149.2364</v>
      </c>
      <c r="C20" s="184">
        <f t="shared" si="1"/>
        <v>3.5</v>
      </c>
      <c r="D20" s="184"/>
      <c r="E20" s="184">
        <f t="shared" ref="E20:G20" si="2">SUM(E18:E19)</f>
        <v>49.2</v>
      </c>
      <c r="F20" s="184">
        <f t="shared" si="2"/>
        <v>3.1</v>
      </c>
      <c r="G20" s="62">
        <f t="shared" si="2"/>
        <v>2</v>
      </c>
    </row>
    <row r="22">
      <c r="A22" s="7" t="s">
        <v>201</v>
      </c>
      <c r="B22" s="9"/>
      <c r="D22" s="7" t="s">
        <v>124</v>
      </c>
      <c r="E22" s="9"/>
    </row>
    <row r="23">
      <c r="A23" s="17" t="s">
        <v>266</v>
      </c>
      <c r="B23" s="28">
        <f>'Mass, Water, and Power Calculat'!H32</f>
        <v>6.81</v>
      </c>
      <c r="D23" s="17" t="s">
        <v>267</v>
      </c>
      <c r="E23" s="185">
        <v>4.54249</v>
      </c>
    </row>
    <row r="24">
      <c r="A24" s="17" t="s">
        <v>207</v>
      </c>
      <c r="B24" s="28">
        <f>'Mass, Water, and Power Calculat'!H33</f>
        <v>8</v>
      </c>
      <c r="D24" s="54" t="s">
        <v>268</v>
      </c>
      <c r="E24" s="33">
        <v>9.0</v>
      </c>
    </row>
    <row r="25">
      <c r="A25" s="17" t="s">
        <v>269</v>
      </c>
      <c r="B25" s="28">
        <f>B23*B24</f>
        <v>54.48</v>
      </c>
      <c r="D25" s="186" t="s">
        <v>270</v>
      </c>
      <c r="E25" s="187">
        <f>E24*B2*E23</f>
        <v>776.76579</v>
      </c>
    </row>
    <row r="26">
      <c r="A26" s="82" t="s">
        <v>209</v>
      </c>
      <c r="B26" s="96">
        <f>'Mass, Water, and Power Calculat'!H34</f>
        <v>3</v>
      </c>
    </row>
  </sheetData>
  <mergeCells count="8">
    <mergeCell ref="A1:B1"/>
    <mergeCell ref="C1:D1"/>
    <mergeCell ref="E1:F1"/>
    <mergeCell ref="G1:H1"/>
    <mergeCell ref="A8:C8"/>
    <mergeCell ref="A16:G16"/>
    <mergeCell ref="A22:B22"/>
    <mergeCell ref="D22:E22"/>
  </mergeCells>
  <drawing r:id="rId1"/>
</worksheet>
</file>