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nstockwe_purdue_edu/Documents/Documents/Y4S2/AAE 450/SpaceX Analysis/"/>
    </mc:Choice>
  </mc:AlternateContent>
  <xr:revisionPtr revIDLastSave="2249" documentId="8_{3A205894-ADEC-427E-B4E3-566DA1711CAC}" xr6:coauthVersionLast="46" xr6:coauthVersionMax="46" xr10:uidLastSave="{083665DF-C026-4C1D-AFCF-EFD175E84A22}"/>
  <bookViews>
    <workbookView xWindow="1560" yWindow="1560" windowWidth="31590" windowHeight="19065" activeTab="1" xr2:uid="{6B4295AA-9BEF-42B2-ABDF-A4043E7BEE54}"/>
  </bookViews>
  <sheets>
    <sheet name="Parameters" sheetId="1" r:id="rId1"/>
    <sheet name="Calculations" sheetId="2" r:id="rId2"/>
  </sheets>
  <definedNames>
    <definedName name="solver_adj" localSheetId="0" hidden="1">Parameters!$D$27</definedName>
    <definedName name="solver_cvg" localSheetId="0" hidden="1">0.0001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Parameters!$D$31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0" hidden="1">1</definedName>
    <definedName name="solver_opt" localSheetId="1" hidden="1">Calculations!$O$15</definedName>
    <definedName name="solver_opt" localSheetId="0" hidden="1">Parameters!$D$35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Parameters!$D$7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F16" i="2" s="1"/>
  <c r="E16" i="2"/>
  <c r="G16" i="2" s="1"/>
  <c r="D17" i="2"/>
  <c r="E17" i="2"/>
  <c r="F17" i="2"/>
  <c r="G17" i="2"/>
  <c r="H17" i="2"/>
  <c r="I17" i="2"/>
  <c r="K17" i="2" s="1"/>
  <c r="L17" i="2" s="1"/>
  <c r="D18" i="2"/>
  <c r="E20" i="2" s="1"/>
  <c r="G20" i="2" s="1"/>
  <c r="D19" i="2"/>
  <c r="E21" i="2" s="1"/>
  <c r="G21" i="2" s="1"/>
  <c r="E19" i="2"/>
  <c r="F19" i="2"/>
  <c r="G19" i="2"/>
  <c r="H19" i="2"/>
  <c r="I19" i="2"/>
  <c r="K19" i="2" s="1"/>
  <c r="L19" i="2" s="1"/>
  <c r="D20" i="2"/>
  <c r="F20" i="2"/>
  <c r="D21" i="2"/>
  <c r="F21" i="2"/>
  <c r="D22" i="2"/>
  <c r="E22" i="2" s="1"/>
  <c r="G22" i="2" s="1"/>
  <c r="D23" i="2"/>
  <c r="E25" i="2" s="1"/>
  <c r="G25" i="2" s="1"/>
  <c r="F23" i="2"/>
  <c r="D24" i="2"/>
  <c r="F24" i="2"/>
  <c r="D25" i="2"/>
  <c r="F25" i="2" s="1"/>
  <c r="D51" i="1"/>
  <c r="D52" i="1"/>
  <c r="D50" i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5" i="2"/>
  <c r="C8" i="2"/>
  <c r="C7" i="2"/>
  <c r="C6" i="2"/>
  <c r="C5" i="2"/>
  <c r="O17" i="2" l="1"/>
  <c r="O19" i="2"/>
  <c r="I25" i="2"/>
  <c r="H25" i="2"/>
  <c r="H22" i="2"/>
  <c r="I22" i="2"/>
  <c r="H21" i="2"/>
  <c r="I21" i="2"/>
  <c r="H20" i="2"/>
  <c r="I20" i="2"/>
  <c r="H16" i="2"/>
  <c r="I16" i="2"/>
  <c r="E23" i="2"/>
  <c r="G23" i="2" s="1"/>
  <c r="F22" i="2"/>
  <c r="E24" i="2"/>
  <c r="G24" i="2" s="1"/>
  <c r="F18" i="2"/>
  <c r="E18" i="2"/>
  <c r="G18" i="2" s="1"/>
  <c r="E8" i="2"/>
  <c r="D54" i="1"/>
  <c r="D55" i="1" s="1"/>
  <c r="E7" i="2"/>
  <c r="G7" i="2" s="1"/>
  <c r="E6" i="2"/>
  <c r="G6" i="2" s="1"/>
  <c r="F5" i="2"/>
  <c r="E5" i="2"/>
  <c r="G5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K16" i="2" l="1"/>
  <c r="L16" i="2" s="1"/>
  <c r="K21" i="2"/>
  <c r="L21" i="2" s="1"/>
  <c r="K25" i="2"/>
  <c r="L25" i="2" s="1"/>
  <c r="H24" i="2"/>
  <c r="I24" i="2"/>
  <c r="H18" i="2"/>
  <c r="I18" i="2"/>
  <c r="I23" i="2"/>
  <c r="H23" i="2"/>
  <c r="K20" i="2"/>
  <c r="L20" i="2" s="1"/>
  <c r="K22" i="2"/>
  <c r="L22" i="2" s="1"/>
  <c r="G8" i="2"/>
  <c r="I8" i="2" s="1"/>
  <c r="H5" i="2"/>
  <c r="I5" i="2"/>
  <c r="H15" i="2"/>
  <c r="I15" i="2"/>
  <c r="H11" i="2"/>
  <c r="I11" i="2"/>
  <c r="H12" i="2"/>
  <c r="I12" i="2"/>
  <c r="H13" i="2"/>
  <c r="I13" i="2"/>
  <c r="H7" i="2"/>
  <c r="I7" i="2"/>
  <c r="H14" i="2"/>
  <c r="I14" i="2"/>
  <c r="H9" i="2"/>
  <c r="I9" i="2"/>
  <c r="I6" i="2"/>
  <c r="H6" i="2"/>
  <c r="H10" i="2"/>
  <c r="I10" i="2"/>
  <c r="O25" i="2" l="1"/>
  <c r="O21" i="2"/>
  <c r="K23" i="2"/>
  <c r="L23" i="2" s="1"/>
  <c r="K24" i="2"/>
  <c r="L24" i="2" s="1"/>
  <c r="K18" i="2"/>
  <c r="L18" i="2" s="1"/>
  <c r="O16" i="2"/>
  <c r="O22" i="2"/>
  <c r="O20" i="2"/>
  <c r="H8" i="2"/>
  <c r="K8" i="2"/>
  <c r="L8" i="2" s="1"/>
  <c r="F33" i="2" s="1"/>
  <c r="D28" i="1"/>
  <c r="K10" i="2"/>
  <c r="L10" i="2" s="1"/>
  <c r="F35" i="2" s="1"/>
  <c r="K6" i="2"/>
  <c r="L6" i="2" s="1"/>
  <c r="F31" i="2" s="1"/>
  <c r="O6" i="2"/>
  <c r="K7" i="2"/>
  <c r="L7" i="2" s="1"/>
  <c r="F32" i="2" s="1"/>
  <c r="O7" i="2"/>
  <c r="K11" i="2"/>
  <c r="L11" i="2" s="1"/>
  <c r="F36" i="2" s="1"/>
  <c r="K13" i="2"/>
  <c r="L13" i="2" s="1"/>
  <c r="F38" i="2" s="1"/>
  <c r="K12" i="2"/>
  <c r="L12" i="2" s="1"/>
  <c r="F37" i="2" s="1"/>
  <c r="K15" i="2"/>
  <c r="L15" i="2" s="1"/>
  <c r="F40" i="2" s="1"/>
  <c r="D29" i="1"/>
  <c r="K5" i="2"/>
  <c r="L5" i="2" s="1"/>
  <c r="F30" i="2" s="1"/>
  <c r="O5" i="2"/>
  <c r="K9" i="2"/>
  <c r="L9" i="2" s="1"/>
  <c r="F34" i="2" s="1"/>
  <c r="K14" i="2"/>
  <c r="L14" i="2" s="1"/>
  <c r="F39" i="2" s="1"/>
  <c r="M20" i="2" l="1"/>
  <c r="O24" i="2"/>
  <c r="O23" i="2"/>
  <c r="M25" i="2"/>
  <c r="M16" i="2"/>
  <c r="M17" i="2"/>
  <c r="M19" i="2"/>
  <c r="M21" i="2"/>
  <c r="M22" i="2"/>
  <c r="M24" i="2"/>
  <c r="M18" i="2"/>
  <c r="M23" i="2"/>
  <c r="O18" i="2"/>
  <c r="O8" i="2"/>
  <c r="O9" i="2"/>
  <c r="M5" i="2"/>
  <c r="E30" i="2" s="1"/>
  <c r="M13" i="2"/>
  <c r="E38" i="2" s="1"/>
  <c r="M9" i="2"/>
  <c r="E34" i="2" s="1"/>
  <c r="M14" i="2"/>
  <c r="E39" i="2" s="1"/>
  <c r="M6" i="2"/>
  <c r="E31" i="2" s="1"/>
  <c r="M15" i="2"/>
  <c r="E40" i="2" s="1"/>
  <c r="M12" i="2"/>
  <c r="E37" i="2" s="1"/>
  <c r="M7" i="2"/>
  <c r="E32" i="2" s="1"/>
  <c r="M8" i="2"/>
  <c r="E33" i="2" s="1"/>
  <c r="M10" i="2"/>
  <c r="E35" i="2" s="1"/>
  <c r="M11" i="2"/>
  <c r="E36" i="2" s="1"/>
  <c r="O15" i="2"/>
  <c r="D31" i="1" s="1"/>
  <c r="O12" i="2"/>
  <c r="O13" i="2"/>
  <c r="O11" i="2"/>
  <c r="O14" i="2"/>
  <c r="O10" i="2"/>
  <c r="D30" i="1" l="1"/>
  <c r="D35" i="1" s="1"/>
  <c r="D36" i="1" s="1"/>
  <c r="I35" i="1" s="1"/>
</calcChain>
</file>

<file path=xl/sharedStrings.xml><?xml version="1.0" encoding="utf-8"?>
<sst xmlns="http://schemas.openxmlformats.org/spreadsheetml/2006/main" count="132" uniqueCount="86">
  <si>
    <t>Manufacturing Cost</t>
  </si>
  <si>
    <t>Development Cost</t>
  </si>
  <si>
    <t>Discount Rate</t>
  </si>
  <si>
    <t>Free Cash Flow Target</t>
  </si>
  <si>
    <t>% of Revenue</t>
  </si>
  <si>
    <t>$ M</t>
  </si>
  <si>
    <t>%</t>
  </si>
  <si>
    <t>% / Yr</t>
  </si>
  <si>
    <t>$ M / unit</t>
  </si>
  <si>
    <t>Fleet Availability</t>
  </si>
  <si>
    <t>Value</t>
  </si>
  <si>
    <t>Parameter</t>
  </si>
  <si>
    <t>Unit</t>
  </si>
  <si>
    <t>Flights / year</t>
  </si>
  <si>
    <t>Fuel &amp; Turnaround</t>
  </si>
  <si>
    <t>LRIP Rate</t>
  </si>
  <si>
    <t>Shipsets / Month</t>
  </si>
  <si>
    <t>LRIP Duration</t>
  </si>
  <si>
    <t>Year</t>
  </si>
  <si>
    <t>Years</t>
  </si>
  <si>
    <t>Target Rate</t>
  </si>
  <si>
    <t>Manufacturing</t>
  </si>
  <si>
    <t>Ramp Duration</t>
  </si>
  <si>
    <t>Operations</t>
  </si>
  <si>
    <t>Program</t>
  </si>
  <si>
    <t>Source</t>
  </si>
  <si>
    <t>https://www.nextbigfuture.com/2020/03/two-thousand-spacex-super-heavy-starship-launches-for-the-price-of-one-sls-launch.html</t>
  </si>
  <si>
    <t>Comment</t>
  </si>
  <si>
    <t>https://www.fool.com/investing/2020/02/16/are-elon-musks-spacex-promises-even-possible.aspx</t>
  </si>
  <si>
    <t>Original Value</t>
  </si>
  <si>
    <t>Musk claimed a year ago that it would be $5 B. This number is incredibly low for a FAA-certified plane, let alone a spacecraft.</t>
  </si>
  <si>
    <t>The pandemic has driven interest rates down.</t>
  </si>
  <si>
    <t>Results</t>
  </si>
  <si>
    <t>Cost / Flight</t>
  </si>
  <si>
    <t>PV</t>
  </si>
  <si>
    <t>FV</t>
  </si>
  <si>
    <t>NPV</t>
  </si>
  <si>
    <t>Development Cost [$M]</t>
  </si>
  <si>
    <t>Production Rate [#/Yr]</t>
  </si>
  <si>
    <t>Cumulative Built [#]</t>
  </si>
  <si>
    <t>Mfg. Cost [$M]</t>
  </si>
  <si>
    <t>Flight Count [#/Yr]</t>
  </si>
  <si>
    <t>Flight Cost [$ M / Yr]</t>
  </si>
  <si>
    <t>LRIP Start</t>
  </si>
  <si>
    <t>That $5 M number is straight up not possible. Even Musk admits SpaceX needs at minimum 3,000 workers at a rate of 10 shipsets/mo. This is the averaged cost, as would probably be applied with program accounting.</t>
  </si>
  <si>
    <t>Flights / Spacecraft / Yr</t>
  </si>
  <si>
    <t>Relatively standard</t>
  </si>
  <si>
    <t>SpaceX Revenue</t>
  </si>
  <si>
    <t>% of US GDP</t>
  </si>
  <si>
    <t>Free Cash Flow (% of Revenue)</t>
  </si>
  <si>
    <t>Revenue [$M / Yr]</t>
  </si>
  <si>
    <t>Fval</t>
  </si>
  <si>
    <t>NPV @ 2031</t>
  </si>
  <si>
    <t>Fuel Expenses</t>
  </si>
  <si>
    <t>Objective Value</t>
  </si>
  <si>
    <t>Optimization</t>
  </si>
  <si>
    <t>Cost to AAE 450</t>
  </si>
  <si>
    <t>Days</t>
  </si>
  <si>
    <t>Payload integration</t>
  </si>
  <si>
    <t>Time in LEO refueling</t>
  </si>
  <si>
    <t>Time in transit (one-way)</t>
  </si>
  <si>
    <t>Time on Moon</t>
  </si>
  <si>
    <t>Refuelings needed in LEO</t>
  </si>
  <si>
    <t>I assumed all refueling happens in LEO.</t>
  </si>
  <si>
    <t>#</t>
  </si>
  <si>
    <t>Mfg. Cost of Tanker</t>
  </si>
  <si>
    <t>Tankers required</t>
  </si>
  <si>
    <t>Total # of Missions</t>
  </si>
  <si>
    <t>Over program duration, for amortizing cost of tanker</t>
  </si>
  <si>
    <t>Launch Cost</t>
  </si>
  <si>
    <t>Opportunity Cost</t>
  </si>
  <si>
    <t>Amortized Tanker Cost</t>
  </si>
  <si>
    <t>Integration cost</t>
  </si>
  <si>
    <t>This number is definitely not zero.</t>
  </si>
  <si>
    <t>Total Flight Cost</t>
  </si>
  <si>
    <t>Total cost to program</t>
  </si>
  <si>
    <t>NPV Target (2031)</t>
  </si>
  <si>
    <t>Free Cash Flow @ 2031</t>
  </si>
  <si>
    <t>Solution Type</t>
  </si>
  <si>
    <t>Message</t>
  </si>
  <si>
    <t>Falcon 9 Costs $28M - I feel like it's generous to assume Starship can be an order of magnitude cheaper when it's much more complicated, especially at the beginning when we're buying flight https://www.cnbc.com/2021/02/19/spacex-valuation-driven-by-elon-musks-starship-and-starlink-projects.html#:~:text=%22Starship%20is%20really%20a%20significant,about%20%2428%20million%20per%20launch.</t>
  </si>
  <si>
    <t>See below</t>
  </si>
  <si>
    <t>With the huge reduction in flights and increase in cost, the size of the program decreases a lot</t>
  </si>
  <si>
    <t>Notes are in post-it yellow</t>
  </si>
  <si>
    <t>This represents a 10-fold increase in demand for payload to orbit: 1 starship flight every 2 days</t>
  </si>
  <si>
    <t>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</si>
</sst>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2" applyNumberFormat="0" applyAlignment="0" applyProtection="0"/>
    <xf numFmtId="0" fontId="6" fillId="3" borderId="3" applyNumberFormat="0" applyAlignment="0" applyProtection="0"/>
    <xf numFmtId="0" fontId="7" fillId="3" borderId="2" applyNumberFormat="0" applyAlignment="0" applyProtection="0"/>
    <xf numFmtId="0" fontId="1" fillId="4" borderId="4" applyNumberFormat="0" applyFont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0" fontId="4" fillId="0" borderId="0" xfId="5"/>
    <xf numFmtId="164" fontId="0" fillId="0" borderId="0" xfId="0" applyNumberFormat="1"/>
    <xf numFmtId="9" fontId="0" fillId="0" borderId="0" xfId="2" applyFont="1"/>
    <xf numFmtId="10" fontId="7" fillId="3" borderId="2" xfId="8" applyNumberFormat="1"/>
    <xf numFmtId="164" fontId="7" fillId="3" borderId="2" xfId="8" applyNumberFormat="1"/>
    <xf numFmtId="9" fontId="5" fillId="2" borderId="2" xfId="6" applyNumberFormat="1"/>
    <xf numFmtId="1" fontId="5" fillId="2" borderId="2" xfId="6" applyNumberFormat="1"/>
    <xf numFmtId="165" fontId="5" fillId="2" borderId="2" xfId="6" applyNumberFormat="1"/>
    <xf numFmtId="164" fontId="5" fillId="2" borderId="2" xfId="6" applyNumberFormat="1"/>
    <xf numFmtId="0" fontId="5" fillId="2" borderId="2" xfId="6"/>
    <xf numFmtId="0" fontId="8" fillId="0" borderId="0" xfId="3" applyFont="1"/>
    <xf numFmtId="166" fontId="7" fillId="3" borderId="2" xfId="1" applyNumberFormat="1" applyFont="1" applyFill="1" applyBorder="1"/>
    <xf numFmtId="44" fontId="7" fillId="3" borderId="2" xfId="8" applyNumberFormat="1"/>
    <xf numFmtId="44" fontId="5" fillId="2" borderId="2" xfId="6" applyNumberFormat="1"/>
    <xf numFmtId="44" fontId="6" fillId="3" borderId="3" xfId="7" applyNumberFormat="1"/>
    <xf numFmtId="164" fontId="5" fillId="2" borderId="2" xfId="1" applyNumberFormat="1" applyFont="1" applyFill="1" applyBorder="1"/>
    <xf numFmtId="10" fontId="7" fillId="3" borderId="2" xfId="2" applyNumberFormat="1" applyFont="1" applyFill="1" applyBorder="1"/>
    <xf numFmtId="0" fontId="0" fillId="4" borderId="4" xfId="9" applyFont="1"/>
    <xf numFmtId="44" fontId="0" fillId="0" borderId="0" xfId="0" applyNumberFormat="1"/>
    <xf numFmtId="44" fontId="0" fillId="0" borderId="0" xfId="1" applyFont="1"/>
    <xf numFmtId="0" fontId="9" fillId="0" borderId="0" xfId="10"/>
    <xf numFmtId="0" fontId="3" fillId="0" borderId="1" xfId="4" applyAlignment="1">
      <alignment horizontal="center"/>
    </xf>
  </cellXfs>
  <cellStyles count="11">
    <cellStyle name="Calculation" xfId="8" builtinId="22"/>
    <cellStyle name="Currency" xfId="1" builtinId="4"/>
    <cellStyle name="Heading 2" xfId="4" builtinId="17"/>
    <cellStyle name="Heading 4" xfId="5" builtinId="19"/>
    <cellStyle name="Hyperlink" xfId="10" builtinId="8"/>
    <cellStyle name="Input" xfId="6" builtinId="20"/>
    <cellStyle name="Normal" xfId="0" builtinId="0"/>
    <cellStyle name="Note" xfId="9" builtinId="10"/>
    <cellStyle name="Output" xfId="7" builtinId="21"/>
    <cellStyle name="Percent" xfId="2" builtinId="5"/>
    <cellStyle name="Title" xfId="3" builtinId="15"/>
  </cellStyles>
  <dxfs count="3">
    <dxf>
      <fill>
        <patternFill>
          <bgColor theme="4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</a:t>
            </a:r>
            <a:r>
              <a:rPr lang="en-US" baseline="0"/>
              <a:t> of Key Program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Calculations!$E$29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Calculations!$D$30:$D$40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</c:numCache>
            </c:numRef>
          </c:xVal>
          <c:yVal>
            <c:numRef>
              <c:f>Calculations!$E$30:$E$40</c:f>
              <c:numCache>
                <c:formatCode>_("$"* #,##0_);_("$"* \(#,##0\);_("$"* "-"??_);_(@_)</c:formatCode>
                <c:ptCount val="11"/>
                <c:pt idx="0">
                  <c:v>-1000</c:v>
                </c:pt>
                <c:pt idx="1">
                  <c:v>-2886.7924528301883</c:v>
                </c:pt>
                <c:pt idx="2">
                  <c:v>-5556.7817728729078</c:v>
                </c:pt>
                <c:pt idx="3">
                  <c:v>-8190.6297590662653</c:v>
                </c:pt>
                <c:pt idx="4">
                  <c:v>-6526.3698316994614</c:v>
                </c:pt>
                <c:pt idx="5">
                  <c:v>-3902.1906493668312</c:v>
                </c:pt>
                <c:pt idx="6">
                  <c:v>-257.54002255437126</c:v>
                </c:pt>
                <c:pt idx="7">
                  <c:v>4448.3232575430211</c:v>
                </c:pt>
                <c:pt idx="8">
                  <c:v>10238.937433692881</c:v>
                </c:pt>
                <c:pt idx="9">
                  <c:v>17122.982367655735</c:v>
                </c:pt>
                <c:pt idx="10">
                  <c:v>25000.000000000004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2-4B62-80B4-A6F3C308A6BA}"/>
            </c:ext>
          </c:extLst>
        </c:ser>
        <c:ser>
          <c:idx val="1"/>
          <c:order val="1"/>
          <c:tx>
            <c:strRef>
              <c:f>Calculations!$F$29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Calculations!$D$30:$D$40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</c:numCache>
            </c:numRef>
          </c:xVal>
          <c:yVal>
            <c:numRef>
              <c:f>Calculations!$F$30:$F$40</c:f>
              <c:numCache>
                <c:formatCode>_("$"* #,##0_);_("$"* \(#,##0\);_("$"* "-"??_);_(@_)</c:formatCode>
                <c:ptCount val="11"/>
                <c:pt idx="0">
                  <c:v>-1000</c:v>
                </c:pt>
                <c:pt idx="1">
                  <c:v>-1886.7924528301885</c:v>
                </c:pt>
                <c:pt idx="2">
                  <c:v>-2669.9893200427196</c:v>
                </c:pt>
                <c:pt idx="3">
                  <c:v>-2633.847986193357</c:v>
                </c:pt>
                <c:pt idx="4">
                  <c:v>1664.2599273668038</c:v>
                </c:pt>
                <c:pt idx="5">
                  <c:v>2624.1791823326303</c:v>
                </c:pt>
                <c:pt idx="6">
                  <c:v>3644.6506268124599</c:v>
                </c:pt>
                <c:pt idx="7">
                  <c:v>4705.8632800973919</c:v>
                </c:pt>
                <c:pt idx="8">
                  <c:v>5790.6141761498611</c:v>
                </c:pt>
                <c:pt idx="9">
                  <c:v>6884.0449339628522</c:v>
                </c:pt>
                <c:pt idx="10">
                  <c:v>7877.0176323442693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12-4B62-80B4-A6F3C308A6B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84542336"/>
        <c:axId val="2084540672"/>
      </c:scatterChart>
      <c:valAx>
        <c:axId val="20845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0672"/>
        <c:crosses val="autoZero"/>
        <c:crossBetween val="midCat"/>
      </c:valAx>
      <c:valAx>
        <c:axId val="20845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Present</a:t>
                </a:r>
                <a:r>
                  <a:rPr lang="en-US" baseline="0"/>
                  <a:t> Value [$ Millions]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894523</xdr:colOff>
      <xdr:row>28</xdr:row>
      <xdr:rowOff>132522</xdr:rowOff>
    </xdr:from>
    <xdr:to>
      <xdr:col>15</xdr:col>
      <xdr:colOff>215349</xdr:colOff>
      <xdr:row>47</xdr:row>
      <xdr:rowOff>141632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57FD8-BD80-4077-9608-2FEDB1D00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ool.com/investing/2020/02/16/are-elon-musks-spacex-promises-even-possible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BCC0-9781-4101-AEC5-FCCA8B77ABD0}">
  <dimension ref="C2:I63"/>
  <sheetViews>
    <sheetView topLeftCell="A16" zoomScale="130" zoomScaleNormal="130" workbookViewId="0">
      <selection activeCell="D6" sqref="D6"/>
    </sheetView>
  </sheetViews>
  <sheetFormatPr defaultRowHeight="15" x14ac:dyDescent="0.25"/>
  <cols>
    <col min="3" max="3" width="23.7109375" bestFit="1" customWidth="1"/>
    <col min="4" max="4" width="12" bestFit="1" customWidth="1"/>
    <col min="5" max="5" width="21.5703125" bestFit="1" customWidth="1"/>
    <col min="7" max="7" width="13.7109375" bestFit="1" customWidth="1"/>
    <col min="9" max="9" width="195.42578125" bestFit="1" customWidth="1"/>
  </cols>
  <sheetData>
    <row r="2" spans="3:9" x14ac:dyDescent="0.25">
      <c r="I2" s="20" t="s">
        <v>83</v>
      </c>
    </row>
    <row r="3" spans="3:9" ht="18" thickBot="1" x14ac:dyDescent="0.35">
      <c r="C3" s="24" t="s">
        <v>24</v>
      </c>
      <c r="D3" s="24"/>
      <c r="E3" s="24"/>
    </row>
    <row r="4" spans="3:9" ht="15.75" thickTop="1" x14ac:dyDescent="0.25">
      <c r="C4" s="3" t="s">
        <v>11</v>
      </c>
      <c r="D4" s="3" t="s">
        <v>10</v>
      </c>
      <c r="E4" s="3" t="s">
        <v>12</v>
      </c>
      <c r="G4" s="3" t="s">
        <v>29</v>
      </c>
      <c r="H4" s="3" t="s">
        <v>25</v>
      </c>
      <c r="I4" s="3" t="s">
        <v>27</v>
      </c>
    </row>
    <row r="5" spans="3:9" x14ac:dyDescent="0.25">
      <c r="C5" t="s">
        <v>1</v>
      </c>
      <c r="D5" s="11">
        <v>10000</v>
      </c>
      <c r="E5" t="s">
        <v>5</v>
      </c>
      <c r="G5" s="2">
        <v>10000</v>
      </c>
      <c r="H5" t="s">
        <v>28</v>
      </c>
      <c r="I5" t="s">
        <v>30</v>
      </c>
    </row>
    <row r="6" spans="3:9" x14ac:dyDescent="0.25">
      <c r="C6" t="s">
        <v>2</v>
      </c>
      <c r="D6" s="8">
        <v>0.06</v>
      </c>
      <c r="E6" t="s">
        <v>7</v>
      </c>
      <c r="G6" s="1">
        <v>0.06</v>
      </c>
      <c r="I6" t="s">
        <v>31</v>
      </c>
    </row>
    <row r="7" spans="3:9" x14ac:dyDescent="0.25">
      <c r="C7" t="s">
        <v>3</v>
      </c>
      <c r="D7" s="8">
        <v>0.1</v>
      </c>
      <c r="E7" t="s">
        <v>4</v>
      </c>
      <c r="G7" s="1">
        <v>0.1</v>
      </c>
      <c r="I7" t="s">
        <v>46</v>
      </c>
    </row>
    <row r="8" spans="3:9" x14ac:dyDescent="0.25">
      <c r="C8" t="s">
        <v>76</v>
      </c>
      <c r="D8" s="18">
        <v>25000</v>
      </c>
      <c r="E8" t="s">
        <v>5</v>
      </c>
      <c r="G8" s="2">
        <v>100000</v>
      </c>
      <c r="I8" s="20" t="s">
        <v>82</v>
      </c>
    </row>
    <row r="10" spans="3:9" ht="18" thickBot="1" x14ac:dyDescent="0.35">
      <c r="C10" s="24" t="s">
        <v>21</v>
      </c>
      <c r="D10" s="24"/>
      <c r="E10" s="24"/>
    </row>
    <row r="11" spans="3:9" ht="15.75" thickTop="1" x14ac:dyDescent="0.25">
      <c r="C11" s="3" t="s">
        <v>11</v>
      </c>
      <c r="D11" s="3" t="s">
        <v>10</v>
      </c>
      <c r="E11" s="3" t="s">
        <v>12</v>
      </c>
      <c r="G11" s="3" t="s">
        <v>29</v>
      </c>
      <c r="H11" s="3" t="s">
        <v>25</v>
      </c>
      <c r="I11" s="3" t="s">
        <v>27</v>
      </c>
    </row>
    <row r="12" spans="3:9" x14ac:dyDescent="0.25">
      <c r="C12" t="s">
        <v>0</v>
      </c>
      <c r="D12" s="11">
        <v>250</v>
      </c>
      <c r="E12" t="s">
        <v>8</v>
      </c>
      <c r="G12">
        <v>250</v>
      </c>
      <c r="H12" t="s">
        <v>28</v>
      </c>
      <c r="I12" t="s">
        <v>44</v>
      </c>
    </row>
    <row r="13" spans="3:9" x14ac:dyDescent="0.25">
      <c r="C13" t="s">
        <v>43</v>
      </c>
      <c r="D13" s="9">
        <v>2023</v>
      </c>
      <c r="G13">
        <v>2023</v>
      </c>
    </row>
    <row r="14" spans="3:9" x14ac:dyDescent="0.25">
      <c r="C14" t="s">
        <v>15</v>
      </c>
      <c r="D14" s="12">
        <v>0.125</v>
      </c>
      <c r="E14" t="s">
        <v>16</v>
      </c>
      <c r="G14">
        <v>1</v>
      </c>
    </row>
    <row r="15" spans="3:9" x14ac:dyDescent="0.25">
      <c r="C15" t="s">
        <v>17</v>
      </c>
      <c r="D15" s="12">
        <v>2</v>
      </c>
      <c r="E15" t="s">
        <v>19</v>
      </c>
      <c r="G15">
        <v>1</v>
      </c>
    </row>
    <row r="16" spans="3:9" x14ac:dyDescent="0.25">
      <c r="C16" t="s">
        <v>20</v>
      </c>
      <c r="D16" s="12">
        <v>0.25</v>
      </c>
      <c r="E16" t="s">
        <v>16</v>
      </c>
      <c r="G16">
        <v>10</v>
      </c>
      <c r="H16" t="s">
        <v>26</v>
      </c>
      <c r="I16" s="20" t="s">
        <v>81</v>
      </c>
    </row>
    <row r="17" spans="3:9" x14ac:dyDescent="0.25">
      <c r="C17" t="s">
        <v>22</v>
      </c>
      <c r="D17" s="12">
        <v>5</v>
      </c>
      <c r="E17" t="s">
        <v>19</v>
      </c>
      <c r="G17">
        <v>4</v>
      </c>
    </row>
    <row r="19" spans="3:9" ht="18" thickBot="1" x14ac:dyDescent="0.35">
      <c r="C19" s="24" t="s">
        <v>23</v>
      </c>
      <c r="D19" s="24"/>
      <c r="E19" s="24"/>
    </row>
    <row r="20" spans="3:9" ht="15.75" thickTop="1" x14ac:dyDescent="0.25">
      <c r="C20" s="3" t="s">
        <v>11</v>
      </c>
      <c r="D20" s="3" t="s">
        <v>10</v>
      </c>
      <c r="E20" s="3" t="s">
        <v>12</v>
      </c>
      <c r="G20" s="3" t="s">
        <v>29</v>
      </c>
      <c r="H20" s="3" t="s">
        <v>25</v>
      </c>
      <c r="I20" s="3" t="s">
        <v>27</v>
      </c>
    </row>
    <row r="21" spans="3:9" x14ac:dyDescent="0.25">
      <c r="C21" t="s">
        <v>9</v>
      </c>
      <c r="D21" s="8">
        <v>0.95</v>
      </c>
      <c r="E21" t="s">
        <v>6</v>
      </c>
      <c r="G21" s="1">
        <v>0.95</v>
      </c>
    </row>
    <row r="22" spans="3:9" x14ac:dyDescent="0.25">
      <c r="C22" t="s">
        <v>13</v>
      </c>
      <c r="D22" s="9">
        <v>10</v>
      </c>
      <c r="E22" t="s">
        <v>45</v>
      </c>
      <c r="G22">
        <v>1095</v>
      </c>
      <c r="H22" t="s">
        <v>28</v>
      </c>
      <c r="I22" s="20" t="s">
        <v>84</v>
      </c>
    </row>
    <row r="23" spans="3:9" x14ac:dyDescent="0.25">
      <c r="C23" t="s">
        <v>14</v>
      </c>
      <c r="D23" s="10">
        <v>30</v>
      </c>
      <c r="E23" t="s">
        <v>5</v>
      </c>
      <c r="G23">
        <v>2.0219999999999998</v>
      </c>
      <c r="H23" s="23" t="s">
        <v>28</v>
      </c>
      <c r="I23" s="20" t="s">
        <v>80</v>
      </c>
    </row>
    <row r="25" spans="3:9" ht="18" thickBot="1" x14ac:dyDescent="0.35">
      <c r="C25" s="24" t="s">
        <v>32</v>
      </c>
      <c r="D25" s="24"/>
      <c r="E25" s="24"/>
    </row>
    <row r="26" spans="3:9" ht="15.75" thickTop="1" x14ac:dyDescent="0.25">
      <c r="C26" s="3" t="s">
        <v>11</v>
      </c>
      <c r="D26" s="3" t="s">
        <v>10</v>
      </c>
      <c r="E26" s="3" t="s">
        <v>12</v>
      </c>
    </row>
    <row r="27" spans="3:9" x14ac:dyDescent="0.25">
      <c r="C27" t="s">
        <v>33</v>
      </c>
      <c r="D27" s="14">
        <v>116.88034434217066</v>
      </c>
      <c r="E27" t="s">
        <v>5</v>
      </c>
      <c r="G27" s="21"/>
    </row>
    <row r="28" spans="3:9" x14ac:dyDescent="0.25">
      <c r="C28" t="s">
        <v>53</v>
      </c>
      <c r="D28" s="6">
        <f>Calculations!H15/(21000000+Calculations!I15)/2</f>
        <v>1.2202671943939139E-4</v>
      </c>
      <c r="E28" t="s">
        <v>48</v>
      </c>
    </row>
    <row r="29" spans="3:9" x14ac:dyDescent="0.25">
      <c r="C29" t="s">
        <v>47</v>
      </c>
      <c r="D29" s="6">
        <f>Calculations!I15/(21000000+Calculations!I15)</f>
        <v>9.5083499913476777E-4</v>
      </c>
      <c r="E29" t="s">
        <v>48</v>
      </c>
    </row>
    <row r="30" spans="3:9" x14ac:dyDescent="0.25">
      <c r="C30" t="s">
        <v>52</v>
      </c>
      <c r="D30" s="7">
        <f>Calculations!M15</f>
        <v>25000.000000000004</v>
      </c>
      <c r="E30" t="s">
        <v>5</v>
      </c>
    </row>
    <row r="31" spans="3:9" x14ac:dyDescent="0.25">
      <c r="C31" t="s">
        <v>77</v>
      </c>
      <c r="D31" s="19">
        <f>Calculations!O15</f>
        <v>0.70580198829997653</v>
      </c>
      <c r="E31" t="s">
        <v>4</v>
      </c>
    </row>
    <row r="33" spans="3:9" ht="18" thickBot="1" x14ac:dyDescent="0.35">
      <c r="C33" s="24" t="s">
        <v>55</v>
      </c>
      <c r="D33" s="24"/>
      <c r="E33" s="24"/>
    </row>
    <row r="34" spans="3:9" ht="15.75" thickTop="1" x14ac:dyDescent="0.25">
      <c r="C34" s="3" t="s">
        <v>11</v>
      </c>
      <c r="D34" s="3" t="s">
        <v>10</v>
      </c>
      <c r="E34" s="3" t="s">
        <v>12</v>
      </c>
    </row>
    <row r="35" spans="3:9" ht="23.25" x14ac:dyDescent="0.35">
      <c r="C35" t="s">
        <v>51</v>
      </c>
      <c r="D35">
        <f>(D8/D8-D30/D8)^2</f>
        <v>4.9303806576313238E-32</v>
      </c>
      <c r="E35" t="s">
        <v>54</v>
      </c>
      <c r="I35" s="13" t="str">
        <f>IF(D36&lt;&gt;0,IF(D36=2,"Solution found, constraints active", "Scenario changed, run optimzier again"), "Solution found")</f>
        <v>Solution found</v>
      </c>
    </row>
    <row r="36" spans="3:9" ht="23.25" x14ac:dyDescent="0.35">
      <c r="C36" t="s">
        <v>78</v>
      </c>
      <c r="D36">
        <f>IF(D35&gt;0.000001,IF(ABS(D31-D7)&lt;0.000001,2, 1), 0)</f>
        <v>0</v>
      </c>
      <c r="E36" t="s">
        <v>79</v>
      </c>
      <c r="I36" s="13"/>
    </row>
    <row r="38" spans="3:9" ht="18" thickBot="1" x14ac:dyDescent="0.35">
      <c r="C38" s="24" t="s">
        <v>56</v>
      </c>
      <c r="D38" s="24"/>
      <c r="E38" s="24"/>
    </row>
    <row r="39" spans="3:9" ht="15.75" thickTop="1" x14ac:dyDescent="0.25">
      <c r="C39" s="3" t="s">
        <v>11</v>
      </c>
      <c r="D39" s="3" t="s">
        <v>10</v>
      </c>
      <c r="E39" s="3" t="s">
        <v>12</v>
      </c>
    </row>
    <row r="40" spans="3:9" x14ac:dyDescent="0.25">
      <c r="C40" t="s">
        <v>58</v>
      </c>
      <c r="D40" s="12">
        <v>5</v>
      </c>
      <c r="E40" t="s">
        <v>57</v>
      </c>
    </row>
    <row r="41" spans="3:9" x14ac:dyDescent="0.25">
      <c r="C41" t="s">
        <v>72</v>
      </c>
      <c r="D41" s="16">
        <v>0</v>
      </c>
      <c r="E41" t="s">
        <v>5</v>
      </c>
      <c r="I41" t="s">
        <v>73</v>
      </c>
    </row>
    <row r="42" spans="3:9" x14ac:dyDescent="0.25">
      <c r="C42" t="s">
        <v>59</v>
      </c>
      <c r="D42" s="12">
        <v>1</v>
      </c>
      <c r="E42" t="s">
        <v>57</v>
      </c>
    </row>
    <row r="43" spans="3:9" x14ac:dyDescent="0.25">
      <c r="C43" t="s">
        <v>60</v>
      </c>
      <c r="D43" s="12">
        <v>3</v>
      </c>
      <c r="E43" t="s">
        <v>57</v>
      </c>
    </row>
    <row r="44" spans="3:9" x14ac:dyDescent="0.25">
      <c r="C44" t="s">
        <v>61</v>
      </c>
      <c r="D44" s="12">
        <v>5</v>
      </c>
      <c r="E44" t="s">
        <v>57</v>
      </c>
    </row>
    <row r="45" spans="3:9" x14ac:dyDescent="0.25">
      <c r="C45" t="s">
        <v>62</v>
      </c>
      <c r="D45" s="12">
        <v>6</v>
      </c>
      <c r="E45" t="s">
        <v>64</v>
      </c>
      <c r="I45" t="s">
        <v>63</v>
      </c>
    </row>
    <row r="46" spans="3:9" x14ac:dyDescent="0.25">
      <c r="C46" t="s">
        <v>65</v>
      </c>
      <c r="D46" s="16">
        <v>100</v>
      </c>
      <c r="E46" t="s">
        <v>5</v>
      </c>
    </row>
    <row r="47" spans="3:9" x14ac:dyDescent="0.25">
      <c r="C47" t="s">
        <v>66</v>
      </c>
      <c r="D47" s="12">
        <v>2</v>
      </c>
      <c r="E47" t="s">
        <v>64</v>
      </c>
    </row>
    <row r="48" spans="3:9" x14ac:dyDescent="0.25">
      <c r="C48" t="s">
        <v>67</v>
      </c>
      <c r="D48" s="12">
        <v>20</v>
      </c>
      <c r="E48" t="s">
        <v>64</v>
      </c>
      <c r="I48" t="s">
        <v>68</v>
      </c>
    </row>
    <row r="50" spans="3:7" x14ac:dyDescent="0.25">
      <c r="C50" t="s">
        <v>69</v>
      </c>
      <c r="D50" s="15">
        <f>(D45+1)*D27</f>
        <v>818.16241039519457</v>
      </c>
      <c r="E50" t="s">
        <v>5</v>
      </c>
      <c r="G50" s="21"/>
    </row>
    <row r="51" spans="3:7" x14ac:dyDescent="0.25">
      <c r="C51" t="s">
        <v>70</v>
      </c>
      <c r="D51" s="15">
        <f>(D40+D42+D42*D47+2*D43+D44)*(D27-D23)*D22/365</f>
        <v>45.225384726061442</v>
      </c>
      <c r="E51" t="s">
        <v>5</v>
      </c>
    </row>
    <row r="52" spans="3:7" x14ac:dyDescent="0.25">
      <c r="C52" t="s">
        <v>71</v>
      </c>
      <c r="D52" s="15">
        <f>D46*D47/D48</f>
        <v>10</v>
      </c>
      <c r="E52" t="s">
        <v>5</v>
      </c>
    </row>
    <row r="54" spans="3:7" x14ac:dyDescent="0.25">
      <c r="C54" t="s">
        <v>74</v>
      </c>
      <c r="D54" s="17">
        <f>D52+D51+D50</f>
        <v>873.38779512125598</v>
      </c>
      <c r="E54" t="s">
        <v>5</v>
      </c>
    </row>
    <row r="55" spans="3:7" x14ac:dyDescent="0.25">
      <c r="C55" t="s">
        <v>75</v>
      </c>
      <c r="D55" s="17">
        <f>D54*D48</f>
        <v>17467.75590242512</v>
      </c>
      <c r="E55" t="s">
        <v>5</v>
      </c>
    </row>
    <row r="63" spans="3:7" x14ac:dyDescent="0.25">
      <c r="C63" s="22"/>
    </row>
  </sheetData>
  <mergeCells count="6">
    <mergeCell ref="C38:E38"/>
    <mergeCell ref="C10:E10"/>
    <mergeCell ref="C19:E19"/>
    <mergeCell ref="C3:E3"/>
    <mergeCell ref="C33:E33"/>
    <mergeCell ref="C25:E25"/>
  </mergeCells>
  <conditionalFormatting sqref="D35">
    <cfRule type="expression" dxfId="2" priority="3">
      <formula>$D$36=1</formula>
    </cfRule>
    <cfRule type="expression" dxfId="1" priority="2">
      <formula>$D$36=0</formula>
    </cfRule>
    <cfRule type="expression" dxfId="0" priority="1">
      <formula>$D$36=2</formula>
    </cfRule>
  </conditionalFormatting>
  <hyperlinks>
    <hyperlink ref="H23" r:id="rId1" xr:uid="{48C99EFE-2989-49AD-82D9-F9119500C634}"/>
  </hyperlinks>
  <pageMargins left="0.7" right="0.7" top="0.75" bottom="0.75" header="0.3" footer="0.3"/>
  <pageSetup orientation="portrait" horizontalDpi="90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4B3C-3C05-43F9-8954-0ADCF07C9A18}">
  <dimension ref="B4:O41"/>
  <sheetViews>
    <sheetView tabSelected="1" topLeftCell="A10" zoomScale="115" zoomScaleNormal="115" workbookViewId="0">
      <selection activeCell="F43" sqref="F43"/>
    </sheetView>
  </sheetViews>
  <sheetFormatPr defaultRowHeight="15" x14ac:dyDescent="0.25"/>
  <cols>
    <col min="3" max="3" width="22.42578125" bestFit="1" customWidth="1"/>
    <col min="4" max="4" width="20.85546875" bestFit="1" customWidth="1"/>
    <col min="5" max="5" width="18.85546875" bestFit="1" customWidth="1"/>
    <col min="6" max="6" width="14" bestFit="1" customWidth="1"/>
    <col min="7" max="7" width="17.42578125" bestFit="1" customWidth="1"/>
    <col min="8" max="8" width="19" bestFit="1" customWidth="1"/>
    <col min="9" max="9" width="15.7109375" bestFit="1" customWidth="1"/>
    <col min="11" max="11" width="10" bestFit="1" customWidth="1"/>
    <col min="12" max="12" width="9.7109375" bestFit="1" customWidth="1"/>
    <col min="13" max="13" width="10.7109375" bestFit="1" customWidth="1"/>
    <col min="15" max="15" width="28.85546875" bestFit="1" customWidth="1"/>
  </cols>
  <sheetData>
    <row r="4" spans="2:15" x14ac:dyDescent="0.25">
      <c r="B4" t="s">
        <v>18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50</v>
      </c>
      <c r="K4" t="s">
        <v>35</v>
      </c>
      <c r="L4" t="s">
        <v>34</v>
      </c>
      <c r="M4" t="s">
        <v>36</v>
      </c>
      <c r="O4" t="s">
        <v>49</v>
      </c>
    </row>
    <row r="5" spans="2:15" x14ac:dyDescent="0.25">
      <c r="B5">
        <v>2021</v>
      </c>
      <c r="C5">
        <f>Parameters!$D$5*0.1</f>
        <v>1000</v>
      </c>
      <c r="D5">
        <f>IF(B5&gt;Parameters!$D$13+Parameters!$D$15,MIN(Parameters!$D$14+(Parameters!$D$16-Parameters!$D$14)/Parameters!$D$17*(B5-Parameters!$D$15-Parameters!$D$13),Parameters!$D$16),IF(B5&gt;Parameters!$D$13,Parameters!$D$14,0))*12</f>
        <v>0</v>
      </c>
      <c r="E5">
        <f>SUM($D$5:D5)</f>
        <v>0</v>
      </c>
      <c r="F5" s="2">
        <f>D5*Parameters!$D$12</f>
        <v>0</v>
      </c>
      <c r="G5">
        <f>E5*Parameters!$D$22*Parameters!$D$21</f>
        <v>0</v>
      </c>
      <c r="H5" s="2">
        <f>G5*Parameters!$D$23</f>
        <v>0</v>
      </c>
      <c r="I5" s="2">
        <f>G5*Parameters!$D$27</f>
        <v>0</v>
      </c>
      <c r="K5" s="4">
        <f>I5-SUM(C5,F5,H5)</f>
        <v>-1000</v>
      </c>
      <c r="L5" s="4">
        <f>K5/(1+Parameters!$D$6)^(B5-$B$5)</f>
        <v>-1000</v>
      </c>
      <c r="M5" s="4">
        <f>SUM($L$5:L5)</f>
        <v>-1000</v>
      </c>
      <c r="O5" s="5">
        <f>IF(I5&lt;&gt;0,K5/I5,0)</f>
        <v>0</v>
      </c>
    </row>
    <row r="6" spans="2:15" x14ac:dyDescent="0.25">
      <c r="B6">
        <v>2022</v>
      </c>
      <c r="C6">
        <f>Parameters!$D$5*0.2</f>
        <v>2000</v>
      </c>
      <c r="D6">
        <f>IF(B6&gt;Parameters!$D$13+Parameters!$D$15,MIN(Parameters!$D$14+(Parameters!$D$16-Parameters!$D$14)/Parameters!$D$17*(B6-Parameters!$D$15-Parameters!$D$13),Parameters!$D$16),IF(B6&gt;Parameters!$D$13,Parameters!$D$14,0))*12</f>
        <v>0</v>
      </c>
      <c r="E6">
        <f>SUM($D$5:D6)</f>
        <v>0</v>
      </c>
      <c r="F6" s="2">
        <f>D6*Parameters!$D$12</f>
        <v>0</v>
      </c>
      <c r="G6">
        <f>E6*Parameters!$D$22*Parameters!$D$21</f>
        <v>0</v>
      </c>
      <c r="H6" s="2">
        <f>G6*Parameters!$D$23</f>
        <v>0</v>
      </c>
      <c r="I6" s="2">
        <f>G6*Parameters!$D$27</f>
        <v>0</v>
      </c>
      <c r="K6" s="4">
        <f t="shared" ref="K6:K15" si="0">I6-SUM(C6,F6,H6)</f>
        <v>-2000</v>
      </c>
      <c r="L6" s="4">
        <f>K6/(1+Parameters!$D$6)^(B6-$B$5)</f>
        <v>-1886.7924528301885</v>
      </c>
      <c r="M6" s="4">
        <f>SUM($L$5:L6)</f>
        <v>-2886.7924528301883</v>
      </c>
      <c r="O6" s="5">
        <f t="shared" ref="O6:O25" si="1">IF(I6&lt;&gt;0,K6/I6,0)</f>
        <v>0</v>
      </c>
    </row>
    <row r="7" spans="2:15" x14ac:dyDescent="0.25">
      <c r="B7">
        <v>2023</v>
      </c>
      <c r="C7">
        <f>Parameters!$D$5*0.3</f>
        <v>3000</v>
      </c>
      <c r="D7">
        <f>IF(B7&gt;Parameters!$D$13+Parameters!$D$15,MIN(Parameters!$D$14+(Parameters!$D$16-Parameters!$D$14)/Parameters!$D$17*(B7-Parameters!$D$15-Parameters!$D$13),Parameters!$D$16),IF(B7&gt;Parameters!$D$13,Parameters!$D$14,0))*12</f>
        <v>0</v>
      </c>
      <c r="E7">
        <f>SUM($D$5:D7)</f>
        <v>0</v>
      </c>
      <c r="F7" s="2">
        <f>D7*Parameters!$D$12</f>
        <v>0</v>
      </c>
      <c r="G7">
        <f>E7*Parameters!$D$22*Parameters!$D$21</f>
        <v>0</v>
      </c>
      <c r="H7" s="2">
        <f>G7*Parameters!$D$23</f>
        <v>0</v>
      </c>
      <c r="I7" s="2">
        <f>G7*Parameters!$D$27</f>
        <v>0</v>
      </c>
      <c r="K7" s="4">
        <f t="shared" si="0"/>
        <v>-3000</v>
      </c>
      <c r="L7" s="4">
        <f>K7/(1+Parameters!$D$6)^(B7-$B$5)</f>
        <v>-2669.9893200427196</v>
      </c>
      <c r="M7" s="4">
        <f>SUM($L$5:L7)</f>
        <v>-5556.7817728729078</v>
      </c>
      <c r="O7" s="5">
        <f t="shared" si="1"/>
        <v>0</v>
      </c>
    </row>
    <row r="8" spans="2:15" x14ac:dyDescent="0.25">
      <c r="B8">
        <v>2024</v>
      </c>
      <c r="C8">
        <f>Parameters!$D$5*0.4</f>
        <v>4000</v>
      </c>
      <c r="D8">
        <f>IF(B8&gt;Parameters!$D$13+Parameters!$D$15,MIN(Parameters!$D$14+(Parameters!$D$16-Parameters!$D$14)/Parameters!$D$17*(B8-Parameters!$D$15-Parameters!$D$13),Parameters!$D$16),IF(B8&gt;Parameters!$D$13,Parameters!$D$14,0))*12</f>
        <v>1.5</v>
      </c>
      <c r="E8">
        <f>SUM($D$5:D8)</f>
        <v>1.5</v>
      </c>
      <c r="F8" s="2">
        <f>D8*Parameters!$D$12</f>
        <v>375</v>
      </c>
      <c r="G8">
        <f>E8*Parameters!$D$22*Parameters!$D$21</f>
        <v>14.25</v>
      </c>
      <c r="H8" s="2">
        <f>G8*Parameters!$D$23</f>
        <v>427.5</v>
      </c>
      <c r="I8" s="2">
        <f>G8*Parameters!$D$27</f>
        <v>1665.5449068759319</v>
      </c>
      <c r="K8" s="4">
        <f t="shared" si="0"/>
        <v>-3136.9550931240683</v>
      </c>
      <c r="L8" s="4">
        <f>K8/(1+Parameters!$D$6)^(B8-$B$5)</f>
        <v>-2633.847986193357</v>
      </c>
      <c r="M8" s="4">
        <f>SUM($L$5:L8)</f>
        <v>-8190.6297590662653</v>
      </c>
      <c r="O8" s="5">
        <f t="shared" si="1"/>
        <v>-1.8834407167129856</v>
      </c>
    </row>
    <row r="9" spans="2:15" x14ac:dyDescent="0.25">
      <c r="B9">
        <v>2025</v>
      </c>
      <c r="C9">
        <v>0</v>
      </c>
      <c r="D9">
        <f>IF(B9&gt;Parameters!$D$13+Parameters!$D$15,MIN(Parameters!$D$14+(Parameters!$D$16-Parameters!$D$14)/Parameters!$D$17*(B9-Parameters!$D$15-Parameters!$D$13),Parameters!$D$16),IF(B9&gt;Parameters!$D$13,Parameters!$D$14,0))*12</f>
        <v>1.5</v>
      </c>
      <c r="E9">
        <f>SUM($D$5:D9)</f>
        <v>3</v>
      </c>
      <c r="F9" s="2">
        <f>D9*Parameters!$D$12</f>
        <v>375</v>
      </c>
      <c r="G9">
        <f>E9*Parameters!$D$22*Parameters!$D$21</f>
        <v>28.5</v>
      </c>
      <c r="H9" s="2">
        <f>G9*Parameters!$D$23</f>
        <v>855</v>
      </c>
      <c r="I9" s="2">
        <f>G9*Parameters!$D$27</f>
        <v>3331.0898137518639</v>
      </c>
      <c r="K9" s="4">
        <f t="shared" si="0"/>
        <v>2101.0898137518639</v>
      </c>
      <c r="L9" s="4">
        <f>K9/(1+Parameters!$D$6)^(B9-$B$5)</f>
        <v>1664.2599273668038</v>
      </c>
      <c r="M9" s="4">
        <f>SUM($L$5:L9)</f>
        <v>-6526.3698316994614</v>
      </c>
      <c r="O9" s="5">
        <f t="shared" si="1"/>
        <v>0.630751475111195</v>
      </c>
    </row>
    <row r="10" spans="2:15" x14ac:dyDescent="0.25">
      <c r="B10">
        <v>2026</v>
      </c>
      <c r="C10">
        <v>0</v>
      </c>
      <c r="D10">
        <f>IF(B10&gt;Parameters!$D$13+Parameters!$D$15,MIN(Parameters!$D$14+(Parameters!$D$16-Parameters!$D$14)/Parameters!$D$17*(B10-Parameters!$D$15-Parameters!$D$13),Parameters!$D$16),IF(B10&gt;Parameters!$D$13,Parameters!$D$14,0))*12</f>
        <v>1.7999999999999998</v>
      </c>
      <c r="E10">
        <f>SUM($D$5:D10)</f>
        <v>4.8</v>
      </c>
      <c r="F10" s="2">
        <f>D10*Parameters!$D$12</f>
        <v>449.99999999999994</v>
      </c>
      <c r="G10">
        <f>E10*Parameters!$D$22*Parameters!$D$21</f>
        <v>45.599999999999994</v>
      </c>
      <c r="H10" s="2">
        <f>G10*Parameters!$D$23</f>
        <v>1367.9999999999998</v>
      </c>
      <c r="I10" s="2">
        <f>G10*Parameters!$D$27</f>
        <v>5329.7437020029811</v>
      </c>
      <c r="K10" s="4">
        <f t="shared" si="0"/>
        <v>3511.7437020029811</v>
      </c>
      <c r="L10" s="4">
        <f>K10/(1+Parameters!$D$6)^(B10-$B$5)</f>
        <v>2624.1791823326303</v>
      </c>
      <c r="M10" s="4">
        <f>SUM($L$5:L10)</f>
        <v>-3902.1906493668312</v>
      </c>
      <c r="O10" s="5">
        <f t="shared" si="1"/>
        <v>0.65889541755698799</v>
      </c>
    </row>
    <row r="11" spans="2:15" x14ac:dyDescent="0.25">
      <c r="B11">
        <v>2027</v>
      </c>
      <c r="C11">
        <v>0</v>
      </c>
      <c r="D11">
        <f>IF(B11&gt;Parameters!$D$13+Parameters!$D$15,MIN(Parameters!$D$14+(Parameters!$D$16-Parameters!$D$14)/Parameters!$D$17*(B11-Parameters!$D$15-Parameters!$D$13),Parameters!$D$16),IF(B11&gt;Parameters!$D$13,Parameters!$D$14,0))*12</f>
        <v>2.0999999999999996</v>
      </c>
      <c r="E11">
        <f>SUM($D$5:D11)</f>
        <v>6.8999999999999995</v>
      </c>
      <c r="F11" s="2">
        <f>D11*Parameters!$D$12</f>
        <v>524.99999999999989</v>
      </c>
      <c r="G11">
        <f>E11*Parameters!$D$22*Parameters!$D$21</f>
        <v>65.55</v>
      </c>
      <c r="H11" s="2">
        <f>G11*Parameters!$D$23</f>
        <v>1966.5</v>
      </c>
      <c r="I11" s="2">
        <f>G11*Parameters!$D$27</f>
        <v>7661.5065716292866</v>
      </c>
      <c r="K11" s="4">
        <f t="shared" si="0"/>
        <v>5170.0065716292866</v>
      </c>
      <c r="L11" s="4">
        <f>K11/(1+Parameters!$D$6)^(B11-$B$5)</f>
        <v>3644.6506268124599</v>
      </c>
      <c r="M11" s="4">
        <f>SUM($L$5:L11)</f>
        <v>-257.54002255437126</v>
      </c>
      <c r="O11" s="5">
        <f t="shared" si="1"/>
        <v>0.67480286328721883</v>
      </c>
    </row>
    <row r="12" spans="2:15" x14ac:dyDescent="0.25">
      <c r="B12">
        <v>2028</v>
      </c>
      <c r="C12">
        <v>0</v>
      </c>
      <c r="D12">
        <f>IF(B12&gt;Parameters!$D$13+Parameters!$D$15,MIN(Parameters!$D$14+(Parameters!$D$16-Parameters!$D$14)/Parameters!$D$17*(B12-Parameters!$D$15-Parameters!$D$13),Parameters!$D$16),IF(B12&gt;Parameters!$D$13,Parameters!$D$14,0))*12</f>
        <v>2.4000000000000004</v>
      </c>
      <c r="E12">
        <f>SUM($D$5:D12)</f>
        <v>9.3000000000000007</v>
      </c>
      <c r="F12" s="2">
        <f>D12*Parameters!$D$12</f>
        <v>600.00000000000011</v>
      </c>
      <c r="G12">
        <f>E12*Parameters!$D$22*Parameters!$D$21</f>
        <v>88.35</v>
      </c>
      <c r="H12" s="2">
        <f>G12*Parameters!$D$23</f>
        <v>2650.5</v>
      </c>
      <c r="I12" s="2">
        <f>G12*Parameters!$D$27</f>
        <v>10326.378422630776</v>
      </c>
      <c r="K12" s="4">
        <f t="shared" si="0"/>
        <v>7075.8784226307762</v>
      </c>
      <c r="L12" s="4">
        <f>K12/(1+Parameters!$D$6)^(B12-$B$5)</f>
        <v>4705.8632800973919</v>
      </c>
      <c r="M12" s="4">
        <f>SUM($L$5:L12)</f>
        <v>4448.3232575430211</v>
      </c>
      <c r="O12" s="5">
        <f t="shared" si="1"/>
        <v>0.6852236217804718</v>
      </c>
    </row>
    <row r="13" spans="2:15" x14ac:dyDescent="0.25">
      <c r="B13">
        <v>2029</v>
      </c>
      <c r="C13">
        <v>0</v>
      </c>
      <c r="D13">
        <f>IF(B13&gt;Parameters!$D$13+Parameters!$D$15,MIN(Parameters!$D$14+(Parameters!$D$16-Parameters!$D$14)/Parameters!$D$17*(B13-Parameters!$D$15-Parameters!$D$13),Parameters!$D$16),IF(B13&gt;Parameters!$D$13,Parameters!$D$14,0))*12</f>
        <v>2.7</v>
      </c>
      <c r="E13">
        <f>SUM($D$5:D13)</f>
        <v>12</v>
      </c>
      <c r="F13" s="2">
        <f>D13*Parameters!$D$12</f>
        <v>675</v>
      </c>
      <c r="G13">
        <f>E13*Parameters!$D$22*Parameters!$D$21</f>
        <v>114</v>
      </c>
      <c r="H13" s="2">
        <f>G13*Parameters!$D$23</f>
        <v>3420</v>
      </c>
      <c r="I13" s="2">
        <f>G13*Parameters!$D$27</f>
        <v>13324.359255007455</v>
      </c>
      <c r="K13" s="4">
        <f t="shared" si="0"/>
        <v>9229.3592550074554</v>
      </c>
      <c r="L13" s="4">
        <f>K13/(1+Parameters!$D$6)^(B13-$B$5)</f>
        <v>5790.6141761498611</v>
      </c>
      <c r="M13" s="4">
        <f>SUM($L$5:L13)</f>
        <v>10238.937433692881</v>
      </c>
      <c r="O13" s="5">
        <f t="shared" si="1"/>
        <v>0.69266814849193969</v>
      </c>
    </row>
    <row r="14" spans="2:15" x14ac:dyDescent="0.25">
      <c r="B14">
        <v>2030</v>
      </c>
      <c r="C14">
        <v>0</v>
      </c>
      <c r="D14">
        <f>IF(B14&gt;Parameters!$D$13+Parameters!$D$15,MIN(Parameters!$D$14+(Parameters!$D$16-Parameters!$D$14)/Parameters!$D$17*(B14-Parameters!$D$15-Parameters!$D$13),Parameters!$D$16),IF(B14&gt;Parameters!$D$13,Parameters!$D$14,0))*12</f>
        <v>3</v>
      </c>
      <c r="E14">
        <f>SUM($D$5:D14)</f>
        <v>15</v>
      </c>
      <c r="F14" s="2">
        <f>D14*Parameters!$D$12</f>
        <v>750</v>
      </c>
      <c r="G14">
        <f>E14*Parameters!$D$22*Parameters!$D$21</f>
        <v>142.5</v>
      </c>
      <c r="H14" s="2">
        <f>G14*Parameters!$D$23</f>
        <v>4275</v>
      </c>
      <c r="I14" s="2">
        <f>G14*Parameters!$D$27</f>
        <v>16655.449068759321</v>
      </c>
      <c r="K14" s="4">
        <f t="shared" si="0"/>
        <v>11630.449068759321</v>
      </c>
      <c r="L14" s="4">
        <f>K14/(1+Parameters!$D$6)^(B14-$B$5)</f>
        <v>6884.0449339628522</v>
      </c>
      <c r="M14" s="4">
        <f>SUM($L$5:L14)</f>
        <v>17122.982367655735</v>
      </c>
      <c r="O14" s="5">
        <f t="shared" si="1"/>
        <v>0.6982969369810984</v>
      </c>
    </row>
    <row r="15" spans="2:15" x14ac:dyDescent="0.25">
      <c r="B15">
        <v>2031</v>
      </c>
      <c r="C15">
        <v>0</v>
      </c>
      <c r="D15">
        <f>IF(B15&gt;Parameters!$D$13+Parameters!$D$15,MIN(Parameters!$D$14+(Parameters!$D$16-Parameters!$D$14)/Parameters!$D$17*(B15-Parameters!$D$15-Parameters!$D$13),Parameters!$D$16),IF(B15&gt;Parameters!$D$13,Parameters!$D$14,0))*12</f>
        <v>3</v>
      </c>
      <c r="E15">
        <f>SUM($D$5:D15)</f>
        <v>18</v>
      </c>
      <c r="F15" s="2">
        <f>D15*Parameters!$D$12</f>
        <v>750</v>
      </c>
      <c r="G15">
        <f>E15*Parameters!$D$22*Parameters!$D$21</f>
        <v>171</v>
      </c>
      <c r="H15" s="2">
        <f>G15*Parameters!$D$23</f>
        <v>5130</v>
      </c>
      <c r="I15" s="2">
        <f>G15*Parameters!$D$27</f>
        <v>19986.538882511184</v>
      </c>
      <c r="K15" s="4">
        <f t="shared" si="0"/>
        <v>14106.538882511184</v>
      </c>
      <c r="L15" s="4">
        <f>K15/(1+Parameters!$D$6)^(B15-$B$5)</f>
        <v>7877.0176323442693</v>
      </c>
      <c r="M15" s="4">
        <f>SUM($L$5:L15)</f>
        <v>25000.000000000004</v>
      </c>
      <c r="O15" s="5">
        <f t="shared" si="1"/>
        <v>0.70580198829997653</v>
      </c>
    </row>
    <row r="16" spans="2:15" x14ac:dyDescent="0.25">
      <c r="B16">
        <v>2032</v>
      </c>
      <c r="C16">
        <v>0</v>
      </c>
      <c r="D16">
        <f>IF(B16&gt;Parameters!$D$13+Parameters!$D$15,MIN(Parameters!$D$14+(Parameters!$D$16-Parameters!$D$14)/Parameters!$D$17*(B16-Parameters!$D$15-Parameters!$D$13),Parameters!$D$16),IF(B16&gt;Parameters!$D$13,Parameters!$D$14,0))*12</f>
        <v>3</v>
      </c>
      <c r="E16">
        <f>SUM($D$5:D16)</f>
        <v>21</v>
      </c>
      <c r="F16" s="2">
        <f>D16*Parameters!$D$12</f>
        <v>750</v>
      </c>
      <c r="G16">
        <f>E16*Parameters!$D$22*Parameters!$D$21</f>
        <v>199.5</v>
      </c>
      <c r="H16" s="2">
        <f>G16*Parameters!$D$23</f>
        <v>5985</v>
      </c>
      <c r="I16" s="2">
        <f>G16*Parameters!$D$27</f>
        <v>23317.628696263047</v>
      </c>
      <c r="K16" s="4">
        <f t="shared" ref="K16:K25" si="2">I16-SUM(C16,F16,H16)</f>
        <v>16582.628696263047</v>
      </c>
      <c r="L16" s="4">
        <f>K16/(1+Parameters!$D$6)^(B16-$B$5)</f>
        <v>8735.5219353924858</v>
      </c>
      <c r="M16" s="4">
        <f>SUM($L$5:L16)</f>
        <v>33735.521935392491</v>
      </c>
      <c r="O16" s="5">
        <f t="shared" si="1"/>
        <v>0.71116273924203233</v>
      </c>
    </row>
    <row r="17" spans="2:15" x14ac:dyDescent="0.25">
      <c r="B17">
        <v>2033</v>
      </c>
      <c r="C17">
        <v>0</v>
      </c>
      <c r="D17">
        <f>IF(B17&gt;Parameters!$D$13+Parameters!$D$15,MIN(Parameters!$D$14+(Parameters!$D$16-Parameters!$D$14)/Parameters!$D$17*(B17-Parameters!$D$15-Parameters!$D$13),Parameters!$D$16),IF(B17&gt;Parameters!$D$13,Parameters!$D$14,0))*12</f>
        <v>3</v>
      </c>
      <c r="E17">
        <f>SUM($D$5:D17)</f>
        <v>24</v>
      </c>
      <c r="F17" s="2">
        <f>D17*Parameters!$D$12</f>
        <v>750</v>
      </c>
      <c r="G17">
        <f>E17*Parameters!$D$22*Parameters!$D$21</f>
        <v>228</v>
      </c>
      <c r="H17" s="2">
        <f>G17*Parameters!$D$23</f>
        <v>6840</v>
      </c>
      <c r="I17" s="2">
        <f>G17*Parameters!$D$27</f>
        <v>26648.718510014911</v>
      </c>
      <c r="K17" s="4">
        <f t="shared" si="2"/>
        <v>19058.718510014911</v>
      </c>
      <c r="L17" s="4">
        <f>K17/(1+Parameters!$D$6)^(B17-$B$5)</f>
        <v>9471.5992085153102</v>
      </c>
      <c r="M17" s="4">
        <f>SUM($L$5:L17)</f>
        <v>43207.121143907803</v>
      </c>
      <c r="O17" s="5">
        <f t="shared" si="1"/>
        <v>0.7151833024485742</v>
      </c>
    </row>
    <row r="18" spans="2:15" x14ac:dyDescent="0.25">
      <c r="B18">
        <v>2034</v>
      </c>
      <c r="C18">
        <v>0</v>
      </c>
      <c r="D18">
        <f>IF(B18&gt;Parameters!$D$13+Parameters!$D$15,MIN(Parameters!$D$14+(Parameters!$D$16-Parameters!$D$14)/Parameters!$D$17*(B18-Parameters!$D$15-Parameters!$D$13),Parameters!$D$16),IF(B18&gt;Parameters!$D$13,Parameters!$D$14,0))*12</f>
        <v>3</v>
      </c>
      <c r="E18">
        <f>SUM($D$5:D18)</f>
        <v>27</v>
      </c>
      <c r="F18" s="2">
        <f>D18*Parameters!$D$12</f>
        <v>750</v>
      </c>
      <c r="G18">
        <f>E18*Parameters!$D$22*Parameters!$D$21</f>
        <v>256.5</v>
      </c>
      <c r="H18" s="2">
        <f>G18*Parameters!$D$23</f>
        <v>7695</v>
      </c>
      <c r="I18" s="2">
        <f>G18*Parameters!$D$27</f>
        <v>29979.808323766774</v>
      </c>
      <c r="K18" s="4">
        <f t="shared" si="2"/>
        <v>21534.808323766774</v>
      </c>
      <c r="L18" s="4">
        <f>K18/(1+Parameters!$D$6)^(B18-$B$5)</f>
        <v>10096.358478693459</v>
      </c>
      <c r="M18" s="4">
        <f>SUM($L$5:L18)</f>
        <v>53303.479622601262</v>
      </c>
      <c r="O18" s="5">
        <f t="shared" si="1"/>
        <v>0.71831040716477335</v>
      </c>
    </row>
    <row r="19" spans="2:15" x14ac:dyDescent="0.25">
      <c r="B19">
        <v>2035</v>
      </c>
      <c r="C19">
        <v>0</v>
      </c>
      <c r="D19">
        <f>IF(B19&gt;Parameters!$D$13+Parameters!$D$15,MIN(Parameters!$D$14+(Parameters!$D$16-Parameters!$D$14)/Parameters!$D$17*(B19-Parameters!$D$15-Parameters!$D$13),Parameters!$D$16),IF(B19&gt;Parameters!$D$13,Parameters!$D$14,0))*12</f>
        <v>3</v>
      </c>
      <c r="E19">
        <f>SUM($D$5:D19)</f>
        <v>30</v>
      </c>
      <c r="F19" s="2">
        <f>D19*Parameters!$D$12</f>
        <v>750</v>
      </c>
      <c r="G19">
        <f>E19*Parameters!$D$22*Parameters!$D$21</f>
        <v>285</v>
      </c>
      <c r="H19" s="2">
        <f>G19*Parameters!$D$23</f>
        <v>8550</v>
      </c>
      <c r="I19" s="2">
        <f>G19*Parameters!$D$27</f>
        <v>33310.898137518641</v>
      </c>
      <c r="K19" s="4">
        <f t="shared" si="2"/>
        <v>24010.898137518641</v>
      </c>
      <c r="L19" s="4">
        <f>K19/(1+Parameters!$D$6)^(B19-$B$5)</f>
        <v>10620.043401846588</v>
      </c>
      <c r="M19" s="4">
        <f>SUM($L$5:L19)</f>
        <v>63923.523024447852</v>
      </c>
      <c r="O19" s="5">
        <f t="shared" si="1"/>
        <v>0.7208120909377328</v>
      </c>
    </row>
    <row r="20" spans="2:15" x14ac:dyDescent="0.25">
      <c r="B20">
        <v>2036</v>
      </c>
      <c r="C20">
        <v>0</v>
      </c>
      <c r="D20">
        <f>IF(B20&gt;Parameters!$D$13+Parameters!$D$15,MIN(Parameters!$D$14+(Parameters!$D$16-Parameters!$D$14)/Parameters!$D$17*(B20-Parameters!$D$15-Parameters!$D$13),Parameters!$D$16),IF(B20&gt;Parameters!$D$13,Parameters!$D$14,0))*12</f>
        <v>3</v>
      </c>
      <c r="E20">
        <f>SUM($D$5:D20)</f>
        <v>33</v>
      </c>
      <c r="F20" s="2">
        <f>D20*Parameters!$D$12</f>
        <v>750</v>
      </c>
      <c r="G20">
        <f>E20*Parameters!$D$22*Parameters!$D$21</f>
        <v>313.5</v>
      </c>
      <c r="H20" s="2">
        <f>G20*Parameters!$D$23</f>
        <v>9405</v>
      </c>
      <c r="I20" s="2">
        <f>G20*Parameters!$D$27</f>
        <v>36641.987951270501</v>
      </c>
      <c r="K20" s="4">
        <f t="shared" si="2"/>
        <v>26486.987951270501</v>
      </c>
      <c r="L20" s="4">
        <f>K20/(1+Parameters!$D$6)^(B20-$B$5)</f>
        <v>11052.094636188411</v>
      </c>
      <c r="M20" s="4">
        <f>SUM($L$5:L20)</f>
        <v>74975.617660636257</v>
      </c>
      <c r="O20" s="5">
        <f t="shared" si="1"/>
        <v>0.72285892311560862</v>
      </c>
    </row>
    <row r="21" spans="2:15" x14ac:dyDescent="0.25">
      <c r="B21">
        <v>2037</v>
      </c>
      <c r="C21">
        <v>0</v>
      </c>
      <c r="D21">
        <f>IF(B21&gt;Parameters!$D$13+Parameters!$D$15,MIN(Parameters!$D$14+(Parameters!$D$16-Parameters!$D$14)/Parameters!$D$17*(B21-Parameters!$D$15-Parameters!$D$13),Parameters!$D$16),IF(B21&gt;Parameters!$D$13,Parameters!$D$14,0))*12</f>
        <v>3</v>
      </c>
      <c r="E21">
        <f>SUM($D$5:D21)</f>
        <v>36</v>
      </c>
      <c r="F21" s="2">
        <f>D21*Parameters!$D$12</f>
        <v>750</v>
      </c>
      <c r="G21">
        <f>E21*Parameters!$D$22*Parameters!$D$21</f>
        <v>342</v>
      </c>
      <c r="H21" s="2">
        <f>G21*Parameters!$D$23</f>
        <v>10260</v>
      </c>
      <c r="I21" s="2">
        <f>G21*Parameters!$D$27</f>
        <v>39973.077765022368</v>
      </c>
      <c r="K21" s="4">
        <f t="shared" si="2"/>
        <v>28963.077765022368</v>
      </c>
      <c r="L21" s="4">
        <f>K21/(1+Parameters!$D$6)^(B21-$B$5)</f>
        <v>11401.207927085132</v>
      </c>
      <c r="M21" s="4">
        <f>SUM($L$5:L21)</f>
        <v>86376.825587721396</v>
      </c>
      <c r="O21" s="5">
        <f t="shared" si="1"/>
        <v>0.72456461659717186</v>
      </c>
    </row>
    <row r="22" spans="2:15" x14ac:dyDescent="0.25">
      <c r="B22">
        <v>2038</v>
      </c>
      <c r="C22">
        <v>0</v>
      </c>
      <c r="D22">
        <f>IF(B22&gt;Parameters!$D$13+Parameters!$D$15,MIN(Parameters!$D$14+(Parameters!$D$16-Parameters!$D$14)/Parameters!$D$17*(B22-Parameters!$D$15-Parameters!$D$13),Parameters!$D$16),IF(B22&gt;Parameters!$D$13,Parameters!$D$14,0))*12</f>
        <v>3</v>
      </c>
      <c r="E22">
        <f>SUM($D$5:D22)</f>
        <v>39</v>
      </c>
      <c r="F22" s="2">
        <f>D22*Parameters!$D$12</f>
        <v>750</v>
      </c>
      <c r="G22">
        <f>E22*Parameters!$D$22*Parameters!$D$21</f>
        <v>370.5</v>
      </c>
      <c r="H22" s="2">
        <f>G22*Parameters!$D$23</f>
        <v>11115</v>
      </c>
      <c r="I22" s="2">
        <f>G22*Parameters!$D$27</f>
        <v>43304.167578774228</v>
      </c>
      <c r="K22" s="4">
        <f t="shared" si="2"/>
        <v>31439.167578774228</v>
      </c>
      <c r="L22" s="4">
        <f>K22/(1+Parameters!$D$6)^(B22-$B$5)</f>
        <v>11675.388189063779</v>
      </c>
      <c r="M22" s="4">
        <f>SUM($L$5:L22)</f>
        <v>98052.213776785182</v>
      </c>
      <c r="O22" s="5">
        <f t="shared" si="1"/>
        <v>0.72600789569695612</v>
      </c>
    </row>
    <row r="23" spans="2:15" x14ac:dyDescent="0.25">
      <c r="B23">
        <v>2039</v>
      </c>
      <c r="C23">
        <v>0</v>
      </c>
      <c r="D23">
        <f>IF(B23&gt;Parameters!$D$13+Parameters!$D$15,MIN(Parameters!$D$14+(Parameters!$D$16-Parameters!$D$14)/Parameters!$D$17*(B23-Parameters!$D$15-Parameters!$D$13),Parameters!$D$16),IF(B23&gt;Parameters!$D$13,Parameters!$D$14,0))*12</f>
        <v>3</v>
      </c>
      <c r="E23">
        <f>SUM($D$5:D23)</f>
        <v>42</v>
      </c>
      <c r="F23" s="2">
        <f>D23*Parameters!$D$12</f>
        <v>750</v>
      </c>
      <c r="G23">
        <f>E23*Parameters!$D$22*Parameters!$D$21</f>
        <v>399</v>
      </c>
      <c r="H23" s="2">
        <f>G23*Parameters!$D$23</f>
        <v>11970</v>
      </c>
      <c r="I23" s="2">
        <f>G23*Parameters!$D$27</f>
        <v>46635.257392526095</v>
      </c>
      <c r="K23" s="4">
        <f t="shared" si="2"/>
        <v>33915.257392526095</v>
      </c>
      <c r="L23" s="4">
        <f>K23/(1+Parameters!$D$6)^(B23-$B$5)</f>
        <v>11881.999852020364</v>
      </c>
      <c r="M23" s="4">
        <f>SUM($L$5:L23)</f>
        <v>109934.21362880555</v>
      </c>
      <c r="O23" s="5">
        <f t="shared" si="1"/>
        <v>0.72724499206819981</v>
      </c>
    </row>
    <row r="24" spans="2:15" x14ac:dyDescent="0.25">
      <c r="B24">
        <v>2040</v>
      </c>
      <c r="C24">
        <v>0</v>
      </c>
      <c r="D24">
        <f>IF(B24&gt;Parameters!$D$13+Parameters!$D$15,MIN(Parameters!$D$14+(Parameters!$D$16-Parameters!$D$14)/Parameters!$D$17*(B24-Parameters!$D$15-Parameters!$D$13),Parameters!$D$16),IF(B24&gt;Parameters!$D$13,Parameters!$D$14,0))*12</f>
        <v>3</v>
      </c>
      <c r="E24">
        <f>SUM($D$5:D24)</f>
        <v>45</v>
      </c>
      <c r="F24" s="2">
        <f>D24*Parameters!$D$12</f>
        <v>750</v>
      </c>
      <c r="G24">
        <f>E24*Parameters!$D$22*Parameters!$D$21</f>
        <v>427.5</v>
      </c>
      <c r="H24" s="2">
        <f>G24*Parameters!$D$23</f>
        <v>12825</v>
      </c>
      <c r="I24" s="2">
        <f>G24*Parameters!$D$27</f>
        <v>49966.347206277955</v>
      </c>
      <c r="K24" s="4">
        <f t="shared" si="2"/>
        <v>36391.347206277955</v>
      </c>
      <c r="L24" s="4">
        <f>K24/(1+Parameters!$D$6)^(B24-$B$5)</f>
        <v>12027.813721270373</v>
      </c>
      <c r="M24" s="4">
        <f>SUM($L$5:L24)</f>
        <v>121962.02735007592</v>
      </c>
      <c r="O24" s="5">
        <f t="shared" si="1"/>
        <v>0.72831714225661093</v>
      </c>
    </row>
    <row r="25" spans="2:15" x14ac:dyDescent="0.25">
      <c r="B25">
        <v>2041</v>
      </c>
      <c r="C25">
        <v>0</v>
      </c>
      <c r="D25">
        <f>IF(B25&gt;Parameters!$D$13+Parameters!$D$15,MIN(Parameters!$D$14+(Parameters!$D$16-Parameters!$D$14)/Parameters!$D$17*(B25-Parameters!$D$15-Parameters!$D$13),Parameters!$D$16),IF(B25&gt;Parameters!$D$13,Parameters!$D$14,0))*12</f>
        <v>3</v>
      </c>
      <c r="E25">
        <f>SUM($D$5:D25)</f>
        <v>48</v>
      </c>
      <c r="F25" s="2">
        <f>D25*Parameters!$D$12</f>
        <v>750</v>
      </c>
      <c r="G25">
        <f>E25*Parameters!$D$22*Parameters!$D$21</f>
        <v>456</v>
      </c>
      <c r="H25" s="2">
        <f>G25*Parameters!$D$23</f>
        <v>13680</v>
      </c>
      <c r="I25" s="2">
        <f>G25*Parameters!$D$27</f>
        <v>53297.437020029822</v>
      </c>
      <c r="K25" s="4">
        <f t="shared" si="2"/>
        <v>38867.437020029822</v>
      </c>
      <c r="L25" s="4">
        <f>K25/(1+Parameters!$D$6)^(B25-$B$5)</f>
        <v>12119.05058479248</v>
      </c>
      <c r="M25" s="4">
        <f>SUM($L$5:L25)</f>
        <v>134081.0779348684</v>
      </c>
      <c r="O25" s="5">
        <f t="shared" si="1"/>
        <v>0.72925527367147069</v>
      </c>
    </row>
    <row r="29" spans="2:15" x14ac:dyDescent="0.25">
      <c r="D29" t="s">
        <v>18</v>
      </c>
      <c r="E29" t="s">
        <v>36</v>
      </c>
      <c r="F29" t="s">
        <v>85</v>
      </c>
    </row>
    <row r="30" spans="2:15" x14ac:dyDescent="0.25">
      <c r="D30">
        <v>2021</v>
      </c>
      <c r="E30" s="4">
        <f>M5</f>
        <v>-1000</v>
      </c>
      <c r="F30" s="4">
        <f>L5</f>
        <v>-1000</v>
      </c>
    </row>
    <row r="31" spans="2:15" x14ac:dyDescent="0.25">
      <c r="C31" s="4"/>
      <c r="D31">
        <v>2022</v>
      </c>
      <c r="E31" s="4">
        <f t="shared" ref="E31:E40" si="3">M6</f>
        <v>-2886.7924528301883</v>
      </c>
      <c r="F31" s="4">
        <f t="shared" ref="F31:F40" si="4">L6</f>
        <v>-1886.7924528301885</v>
      </c>
    </row>
    <row r="32" spans="2:15" x14ac:dyDescent="0.25">
      <c r="C32" s="4"/>
      <c r="D32">
        <v>2023</v>
      </c>
      <c r="E32" s="4">
        <f t="shared" si="3"/>
        <v>-5556.7817728729078</v>
      </c>
      <c r="F32" s="4">
        <f t="shared" si="4"/>
        <v>-2669.9893200427196</v>
      </c>
    </row>
    <row r="33" spans="3:6" x14ac:dyDescent="0.25">
      <c r="C33" s="4"/>
      <c r="D33">
        <v>2024</v>
      </c>
      <c r="E33" s="4">
        <f t="shared" si="3"/>
        <v>-8190.6297590662653</v>
      </c>
      <c r="F33" s="4">
        <f t="shared" si="4"/>
        <v>-2633.847986193357</v>
      </c>
    </row>
    <row r="34" spans="3:6" x14ac:dyDescent="0.25">
      <c r="C34" s="4"/>
      <c r="D34">
        <v>2025</v>
      </c>
      <c r="E34" s="4">
        <f t="shared" si="3"/>
        <v>-6526.3698316994614</v>
      </c>
      <c r="F34" s="4">
        <f t="shared" si="4"/>
        <v>1664.2599273668038</v>
      </c>
    </row>
    <row r="35" spans="3:6" x14ac:dyDescent="0.25">
      <c r="C35" s="4"/>
      <c r="D35">
        <v>2026</v>
      </c>
      <c r="E35" s="4">
        <f t="shared" si="3"/>
        <v>-3902.1906493668312</v>
      </c>
      <c r="F35" s="4">
        <f t="shared" si="4"/>
        <v>2624.1791823326303</v>
      </c>
    </row>
    <row r="36" spans="3:6" x14ac:dyDescent="0.25">
      <c r="C36" s="4"/>
      <c r="D36">
        <v>2027</v>
      </c>
      <c r="E36" s="4">
        <f t="shared" si="3"/>
        <v>-257.54002255437126</v>
      </c>
      <c r="F36" s="4">
        <f t="shared" si="4"/>
        <v>3644.6506268124599</v>
      </c>
    </row>
    <row r="37" spans="3:6" x14ac:dyDescent="0.25">
      <c r="C37" s="4"/>
      <c r="D37">
        <v>2028</v>
      </c>
      <c r="E37" s="4">
        <f t="shared" si="3"/>
        <v>4448.3232575430211</v>
      </c>
      <c r="F37" s="4">
        <f t="shared" si="4"/>
        <v>4705.8632800973919</v>
      </c>
    </row>
    <row r="38" spans="3:6" x14ac:dyDescent="0.25">
      <c r="C38" s="4"/>
      <c r="D38">
        <v>2029</v>
      </c>
      <c r="E38" s="4">
        <f t="shared" si="3"/>
        <v>10238.937433692881</v>
      </c>
      <c r="F38" s="4">
        <f t="shared" si="4"/>
        <v>5790.6141761498611</v>
      </c>
    </row>
    <row r="39" spans="3:6" x14ac:dyDescent="0.25">
      <c r="C39" s="4"/>
      <c r="D39">
        <v>2030</v>
      </c>
      <c r="E39" s="4">
        <f t="shared" si="3"/>
        <v>17122.982367655735</v>
      </c>
      <c r="F39" s="4">
        <f t="shared" si="4"/>
        <v>6884.0449339628522</v>
      </c>
    </row>
    <row r="40" spans="3:6" x14ac:dyDescent="0.25">
      <c r="C40" s="4"/>
      <c r="D40">
        <v>2031</v>
      </c>
      <c r="E40" s="4">
        <f t="shared" si="3"/>
        <v>25000.000000000004</v>
      </c>
      <c r="F40" s="4">
        <f t="shared" si="4"/>
        <v>7877.0176323442693</v>
      </c>
    </row>
    <row r="41" spans="3:6" x14ac:dyDescent="0.25">
      <c r="C41" s="4"/>
      <c r="D41" s="4"/>
      <c r="E41" s="4"/>
      <c r="F4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Stockwell</dc:creator>
  <cp:lastModifiedBy>Noah Stockwell</cp:lastModifiedBy>
  <dcterms:created xsi:type="dcterms:W3CDTF">2021-03-14T15:27:51Z</dcterms:created>
  <dcterms:modified xsi:type="dcterms:W3CDTF">2021-04-01T15:24:02Z</dcterms:modified>
</cp:coreProperties>
</file>