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nstockwe_purdue_edu/Documents/Documents/Y4S2/AAE 450/SpaceX Analysis/"/>
    </mc:Choice>
  </mc:AlternateContent>
  <xr:revisionPtr revIDLastSave="821" documentId="8_{3A205894-ADEC-427E-B4E3-566DA1711CAC}" xr6:coauthVersionLast="46" xr6:coauthVersionMax="46" xr10:uidLastSave="{6CC59122-19A5-406A-AAC9-366229F89B04}"/>
  <bookViews>
    <workbookView xWindow="1560" yWindow="1560" windowWidth="31590" windowHeight="19065" xr2:uid="{6B4295AA-9BEF-42B2-ABDF-A4043E7BEE54}"/>
  </bookViews>
  <sheets>
    <sheet name="Parameters" sheetId="1" r:id="rId1"/>
    <sheet name="Calculations" sheetId="2" r:id="rId2"/>
  </sheets>
  <definedNames>
    <definedName name="solver_adj" localSheetId="0" hidden="1">Parameters!$D$27</definedName>
    <definedName name="solver_cvg" localSheetId="0" hidden="1">0.0001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Parameters!$D$31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0" hidden="1">1</definedName>
    <definedName name="solver_opt" localSheetId="1" hidden="1">Calculations!$O$15</definedName>
    <definedName name="solver_opt" localSheetId="0" hidden="1">Parameters!$D$35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Parameters!$D$7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5" i="2"/>
  <c r="D51" i="1"/>
  <c r="D52" i="1"/>
  <c r="D50" i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5" i="2"/>
  <c r="E8" i="2" s="1"/>
  <c r="C8" i="2"/>
  <c r="C7" i="2"/>
  <c r="C6" i="2"/>
  <c r="C5" i="2"/>
  <c r="I8" i="2" l="1"/>
  <c r="D54" i="1"/>
  <c r="D55" i="1" s="1"/>
  <c r="H8" i="2"/>
  <c r="E7" i="2"/>
  <c r="E6" i="2"/>
  <c r="F5" i="2"/>
  <c r="E5" i="2"/>
  <c r="E15" i="2"/>
  <c r="E14" i="2"/>
  <c r="E13" i="2"/>
  <c r="E12" i="2"/>
  <c r="E11" i="2"/>
  <c r="E10" i="2"/>
  <c r="E9" i="2"/>
  <c r="K8" i="2" l="1"/>
  <c r="L8" i="2" s="1"/>
  <c r="H5" i="2"/>
  <c r="I5" i="2"/>
  <c r="H15" i="2"/>
  <c r="I15" i="2"/>
  <c r="H11" i="2"/>
  <c r="I11" i="2"/>
  <c r="H12" i="2"/>
  <c r="I12" i="2"/>
  <c r="H13" i="2"/>
  <c r="I13" i="2"/>
  <c r="H7" i="2"/>
  <c r="I7" i="2"/>
  <c r="H14" i="2"/>
  <c r="I14" i="2"/>
  <c r="H9" i="2"/>
  <c r="I9" i="2"/>
  <c r="I6" i="2"/>
  <c r="H6" i="2"/>
  <c r="H10" i="2"/>
  <c r="I10" i="2"/>
  <c r="O8" i="2" l="1"/>
  <c r="D28" i="1"/>
  <c r="K10" i="2"/>
  <c r="L10" i="2" s="1"/>
  <c r="K6" i="2"/>
  <c r="L6" i="2" s="1"/>
  <c r="O6" i="2"/>
  <c r="K7" i="2"/>
  <c r="L7" i="2" s="1"/>
  <c r="O7" i="2"/>
  <c r="K11" i="2"/>
  <c r="L11" i="2" s="1"/>
  <c r="K13" i="2"/>
  <c r="L13" i="2" s="1"/>
  <c r="K12" i="2"/>
  <c r="L12" i="2" s="1"/>
  <c r="K15" i="2"/>
  <c r="L15" i="2" s="1"/>
  <c r="D29" i="1"/>
  <c r="K5" i="2"/>
  <c r="L5" i="2" s="1"/>
  <c r="O5" i="2"/>
  <c r="K9" i="2"/>
  <c r="L9" i="2" s="1"/>
  <c r="K14" i="2"/>
  <c r="L14" i="2" s="1"/>
  <c r="O9" i="2" l="1"/>
  <c r="M5" i="2"/>
  <c r="M13" i="2"/>
  <c r="M9" i="2"/>
  <c r="M14" i="2"/>
  <c r="M6" i="2"/>
  <c r="M15" i="2"/>
  <c r="D30" i="1" s="1"/>
  <c r="D35" i="1" s="1"/>
  <c r="M12" i="2"/>
  <c r="M7" i="2"/>
  <c r="M8" i="2"/>
  <c r="M10" i="2"/>
  <c r="M11" i="2"/>
  <c r="O15" i="2"/>
  <c r="D31" i="1" s="1"/>
  <c r="O12" i="2"/>
  <c r="O13" i="2"/>
  <c r="O11" i="2"/>
  <c r="O14" i="2"/>
  <c r="O10" i="2"/>
  <c r="D36" i="1" l="1"/>
  <c r="I35" i="1" s="1"/>
</calcChain>
</file>

<file path=xl/sharedStrings.xml><?xml version="1.0" encoding="utf-8"?>
<sst xmlns="http://schemas.openxmlformats.org/spreadsheetml/2006/main" count="129" uniqueCount="85">
  <si>
    <t>Manufacturing Cost</t>
  </si>
  <si>
    <t>Development Cost</t>
  </si>
  <si>
    <t>Discount Rate</t>
  </si>
  <si>
    <t>Free Cash Flow Target</t>
  </si>
  <si>
    <t>% of Revenue</t>
  </si>
  <si>
    <t>$ M</t>
  </si>
  <si>
    <t>%</t>
  </si>
  <si>
    <t>% / Yr</t>
  </si>
  <si>
    <t>$ M / unit</t>
  </si>
  <si>
    <t>Fleet Availability</t>
  </si>
  <si>
    <t>Value</t>
  </si>
  <si>
    <t>Parameter</t>
  </si>
  <si>
    <t>Unit</t>
  </si>
  <si>
    <t>Flights / year</t>
  </si>
  <si>
    <t>Fuel &amp; Turnaround</t>
  </si>
  <si>
    <t>LRIP Rate</t>
  </si>
  <si>
    <t>Shipsets / Month</t>
  </si>
  <si>
    <t>LRIP Duration</t>
  </si>
  <si>
    <t>Year</t>
  </si>
  <si>
    <t>Years</t>
  </si>
  <si>
    <t>Target Rate</t>
  </si>
  <si>
    <t>Manufacturing</t>
  </si>
  <si>
    <t>Ramp Duration</t>
  </si>
  <si>
    <t>Operations</t>
  </si>
  <si>
    <t>Program</t>
  </si>
  <si>
    <t>Source</t>
  </si>
  <si>
    <t>https://www.nextbigfuture.com/2020/03/two-thousand-spacex-super-heavy-starship-launches-for-the-price-of-one-sls-launch.html</t>
  </si>
  <si>
    <t>Comment</t>
  </si>
  <si>
    <t>https://www.fool.com/investing/2020/02/16/are-elon-musks-spacex-promises-even-possible.aspx</t>
  </si>
  <si>
    <t>Original Value</t>
  </si>
  <si>
    <t>3 / day</t>
  </si>
  <si>
    <t>This assumes no changeover: just a quick PAX unload/laod</t>
  </si>
  <si>
    <t>Musk claimed a year ago that it would be $5 B. This number is incredibly low for a FAA-certified plane, let alone a spacecraft.</t>
  </si>
  <si>
    <t>The pandemic has driven interest rates down.</t>
  </si>
  <si>
    <t>Results</t>
  </si>
  <si>
    <t>Cost / Flight</t>
  </si>
  <si>
    <t>PV</t>
  </si>
  <si>
    <t>FV</t>
  </si>
  <si>
    <t>NPV</t>
  </si>
  <si>
    <t>Development Cost [$M]</t>
  </si>
  <si>
    <t>Production Rate [#/Yr]</t>
  </si>
  <si>
    <t>Cumulative Built [#]</t>
  </si>
  <si>
    <t>Mfg. Cost [$M]</t>
  </si>
  <si>
    <t>Flight Count [#/Yr]</t>
  </si>
  <si>
    <t>Flight Cost [$ M / Yr]</t>
  </si>
  <si>
    <t>LRIP Start</t>
  </si>
  <si>
    <t>That $5 M number is straight up not possible. Even Musk admits SpaceX needs at minimum 3,000 workers at a rate of 10 shipsets/mo. This is the averaged cost, as would probably be applied with program accounting.</t>
  </si>
  <si>
    <t>Flights / Spacecraft / Yr</t>
  </si>
  <si>
    <t>Relatively standard</t>
  </si>
  <si>
    <t>SpaceX Revenue</t>
  </si>
  <si>
    <t>% of US GDP</t>
  </si>
  <si>
    <t>Free Cash Flow (% of Revenue)</t>
  </si>
  <si>
    <t>Revenue [$M / Yr]</t>
  </si>
  <si>
    <t>Fval</t>
  </si>
  <si>
    <t>NPV @ 2031</t>
  </si>
  <si>
    <t>Fuel Expenses</t>
  </si>
  <si>
    <t>Objective Value</t>
  </si>
  <si>
    <t>Optimization</t>
  </si>
  <si>
    <t>Cost to AAE 450</t>
  </si>
  <si>
    <t>Days</t>
  </si>
  <si>
    <t>Payload integration</t>
  </si>
  <si>
    <t>Time in LEO refueling</t>
  </si>
  <si>
    <t>Time in transit (one-way)</t>
  </si>
  <si>
    <t>Time on Moon</t>
  </si>
  <si>
    <t>Refuelings needed in LEO</t>
  </si>
  <si>
    <t>I assumed all refueling happens in LEO.</t>
  </si>
  <si>
    <t>#</t>
  </si>
  <si>
    <t>Mfg. Cost of Tanker</t>
  </si>
  <si>
    <t>Tankers required</t>
  </si>
  <si>
    <t>This is more than the Boeing 787.</t>
  </si>
  <si>
    <t>Total # of Missions</t>
  </si>
  <si>
    <t>Over program duration, for amortizing cost of tanker</t>
  </si>
  <si>
    <t>Launch Cost</t>
  </si>
  <si>
    <t>Opportunity Cost</t>
  </si>
  <si>
    <t>Amortized Tanker Cost</t>
  </si>
  <si>
    <t>Integration cost</t>
  </si>
  <si>
    <t>This number is definitely not zero.</t>
  </si>
  <si>
    <t>Total Flight Cost</t>
  </si>
  <si>
    <t>Total cost to program</t>
  </si>
  <si>
    <t>NPV Target (2031)</t>
  </si>
  <si>
    <t>A program this large will need to have a large enough NPV</t>
  </si>
  <si>
    <t>Free Cash Flow @ 2031</t>
  </si>
  <si>
    <t>Solution Type</t>
  </si>
  <si>
    <t>Message</t>
  </si>
  <si>
    <t xml:space="preserve">We're assuming all the things that Musk is saying, and still the cost of a Starship ticket would be almost $23k. This is competitive with the most extremely premium first class on airlines - some people can spend this money to travel but they are few and far between.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</si>
</sst>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2" applyNumberFormat="0" applyAlignment="0" applyProtection="0"/>
    <xf numFmtId="0" fontId="6" fillId="3" borderId="3" applyNumberFormat="0" applyAlignment="0" applyProtection="0"/>
    <xf numFmtId="0" fontId="7" fillId="3" borderId="2" applyNumberFormat="0" applyAlignment="0" applyProtection="0"/>
    <xf numFmtId="0" fontId="1" fillId="4" borderId="4" applyNumberFormat="0" applyFont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0" fontId="4" fillId="0" borderId="0" xfId="5"/>
    <xf numFmtId="164" fontId="0" fillId="0" borderId="0" xfId="0" applyNumberFormat="1"/>
    <xf numFmtId="9" fontId="0" fillId="0" borderId="0" xfId="2" applyFont="1"/>
    <xf numFmtId="10" fontId="7" fillId="3" borderId="2" xfId="8" applyNumberFormat="1"/>
    <xf numFmtId="164" fontId="7" fillId="3" borderId="2" xfId="8" applyNumberFormat="1"/>
    <xf numFmtId="9" fontId="5" fillId="2" borderId="2" xfId="6" applyNumberFormat="1"/>
    <xf numFmtId="1" fontId="5" fillId="2" borderId="2" xfId="6" applyNumberFormat="1"/>
    <xf numFmtId="165" fontId="5" fillId="2" borderId="2" xfId="6" applyNumberFormat="1"/>
    <xf numFmtId="164" fontId="5" fillId="2" borderId="2" xfId="6" applyNumberFormat="1"/>
    <xf numFmtId="0" fontId="5" fillId="2" borderId="2" xfId="6"/>
    <xf numFmtId="0" fontId="8" fillId="0" borderId="0" xfId="3" applyFont="1"/>
    <xf numFmtId="166" fontId="7" fillId="3" borderId="2" xfId="1" applyNumberFormat="1" applyFont="1" applyFill="1" applyBorder="1"/>
    <xf numFmtId="44" fontId="7" fillId="3" borderId="2" xfId="8" applyNumberFormat="1"/>
    <xf numFmtId="44" fontId="5" fillId="2" borderId="2" xfId="6" applyNumberFormat="1"/>
    <xf numFmtId="44" fontId="6" fillId="3" borderId="3" xfId="7" applyNumberFormat="1"/>
    <xf numFmtId="164" fontId="5" fillId="2" borderId="2" xfId="1" applyNumberFormat="1" applyFont="1" applyFill="1" applyBorder="1"/>
    <xf numFmtId="10" fontId="7" fillId="3" borderId="2" xfId="2" applyNumberFormat="1" applyFont="1" applyFill="1" applyBorder="1"/>
    <xf numFmtId="0" fontId="0" fillId="4" borderId="4" xfId="9" applyFont="1"/>
    <xf numFmtId="0" fontId="9" fillId="0" borderId="0" xfId="10"/>
    <xf numFmtId="0" fontId="3" fillId="0" borderId="1" xfId="4" applyAlignment="1">
      <alignment horizontal="center"/>
    </xf>
  </cellXfs>
  <cellStyles count="11">
    <cellStyle name="Calculation" xfId="8" builtinId="22"/>
    <cellStyle name="Currency" xfId="1" builtinId="4"/>
    <cellStyle name="Heading 2" xfId="4" builtinId="17"/>
    <cellStyle name="Heading 4" xfId="5" builtinId="19"/>
    <cellStyle name="Hyperlink" xfId="10" builtinId="8"/>
    <cellStyle name="Input" xfId="6" builtinId="20"/>
    <cellStyle name="Normal" xfId="0" builtinId="0"/>
    <cellStyle name="Note" xfId="9" builtinId="10"/>
    <cellStyle name="Output" xfId="7" builtinId="21"/>
    <cellStyle name="Percent" xfId="2" builtinId="5"/>
    <cellStyle name="Title" xfId="3" builtinId="15"/>
  </cellStyles>
  <dxfs count="3">
    <dxf>
      <fill>
        <patternFill>
          <bgColor theme="4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ol.com/investing/2020/02/16/are-elon-musks-spacex-promises-even-possible.aspx" TargetMode="External"/><Relationship Id="rId1" Type="http://schemas.openxmlformats.org/officeDocument/2006/relationships/hyperlink" Target="https://www.fool.com/investing/2020/02/16/are-elon-musks-spacex-promises-even-possibl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BCC0-9781-4101-AEC5-FCCA8B77ABD0}">
  <dimension ref="C3:I55"/>
  <sheetViews>
    <sheetView tabSelected="1" workbookViewId="0">
      <selection activeCell="D23" sqref="D23"/>
    </sheetView>
  </sheetViews>
  <sheetFormatPr defaultRowHeight="15" x14ac:dyDescent="0.25"/>
  <cols>
    <col min="3" max="3" width="23.7109375" bestFit="1" customWidth="1"/>
    <col min="4" max="4" width="12" bestFit="1" customWidth="1"/>
    <col min="5" max="5" width="21.5703125" bestFit="1" customWidth="1"/>
    <col min="7" max="7" width="13.7109375" bestFit="1" customWidth="1"/>
    <col min="9" max="9" width="195.42578125" bestFit="1" customWidth="1"/>
  </cols>
  <sheetData>
    <row r="3" spans="3:9" ht="18" thickBot="1" x14ac:dyDescent="0.35">
      <c r="C3" s="22" t="s">
        <v>24</v>
      </c>
      <c r="D3" s="22"/>
      <c r="E3" s="22"/>
    </row>
    <row r="4" spans="3:9" ht="15.75" thickTop="1" x14ac:dyDescent="0.25">
      <c r="C4" s="3" t="s">
        <v>11</v>
      </c>
      <c r="D4" s="3" t="s">
        <v>10</v>
      </c>
      <c r="E4" s="3" t="s">
        <v>12</v>
      </c>
      <c r="G4" s="3" t="s">
        <v>29</v>
      </c>
      <c r="H4" s="3" t="s">
        <v>25</v>
      </c>
      <c r="I4" s="3" t="s">
        <v>27</v>
      </c>
    </row>
    <row r="5" spans="3:9" x14ac:dyDescent="0.25">
      <c r="C5" t="s">
        <v>1</v>
      </c>
      <c r="D5" s="11">
        <v>10000</v>
      </c>
      <c r="E5" t="s">
        <v>5</v>
      </c>
      <c r="G5" s="2">
        <v>10000</v>
      </c>
      <c r="H5" t="s">
        <v>28</v>
      </c>
      <c r="I5" t="s">
        <v>32</v>
      </c>
    </row>
    <row r="6" spans="3:9" x14ac:dyDescent="0.25">
      <c r="C6" t="s">
        <v>2</v>
      </c>
      <c r="D6" s="8">
        <v>0.06</v>
      </c>
      <c r="E6" t="s">
        <v>7</v>
      </c>
      <c r="G6" s="1">
        <v>0.06</v>
      </c>
      <c r="I6" t="s">
        <v>33</v>
      </c>
    </row>
    <row r="7" spans="3:9" x14ac:dyDescent="0.25">
      <c r="C7" t="s">
        <v>3</v>
      </c>
      <c r="D7" s="8">
        <v>0.1</v>
      </c>
      <c r="E7" t="s">
        <v>4</v>
      </c>
      <c r="G7" s="1">
        <v>0.1</v>
      </c>
      <c r="I7" t="s">
        <v>48</v>
      </c>
    </row>
    <row r="8" spans="3:9" x14ac:dyDescent="0.25">
      <c r="C8" t="s">
        <v>79</v>
      </c>
      <c r="D8" s="18">
        <v>100000</v>
      </c>
      <c r="E8" t="s">
        <v>5</v>
      </c>
      <c r="G8" s="2">
        <v>100000</v>
      </c>
      <c r="I8" t="s">
        <v>80</v>
      </c>
    </row>
    <row r="10" spans="3:9" ht="18" thickBot="1" x14ac:dyDescent="0.35">
      <c r="C10" s="22" t="s">
        <v>21</v>
      </c>
      <c r="D10" s="22"/>
      <c r="E10" s="22"/>
    </row>
    <row r="11" spans="3:9" ht="15.75" thickTop="1" x14ac:dyDescent="0.25">
      <c r="C11" s="3" t="s">
        <v>11</v>
      </c>
      <c r="D11" s="3" t="s">
        <v>10</v>
      </c>
      <c r="E11" s="3" t="s">
        <v>12</v>
      </c>
      <c r="G11" s="3" t="s">
        <v>29</v>
      </c>
      <c r="H11" s="3" t="s">
        <v>25</v>
      </c>
      <c r="I11" s="3" t="s">
        <v>27</v>
      </c>
    </row>
    <row r="12" spans="3:9" x14ac:dyDescent="0.25">
      <c r="C12" t="s">
        <v>0</v>
      </c>
      <c r="D12" s="11">
        <v>250</v>
      </c>
      <c r="E12" t="s">
        <v>8</v>
      </c>
      <c r="G12">
        <v>250</v>
      </c>
      <c r="H12" s="21" t="s">
        <v>28</v>
      </c>
      <c r="I12" t="s">
        <v>46</v>
      </c>
    </row>
    <row r="13" spans="3:9" x14ac:dyDescent="0.25">
      <c r="C13" t="s">
        <v>45</v>
      </c>
      <c r="D13" s="9">
        <v>2023</v>
      </c>
      <c r="G13">
        <v>2023</v>
      </c>
    </row>
    <row r="14" spans="3:9" x14ac:dyDescent="0.25">
      <c r="C14" t="s">
        <v>15</v>
      </c>
      <c r="D14" s="12">
        <v>1</v>
      </c>
      <c r="E14" t="s">
        <v>16</v>
      </c>
      <c r="G14">
        <v>1</v>
      </c>
    </row>
    <row r="15" spans="3:9" x14ac:dyDescent="0.25">
      <c r="C15" t="s">
        <v>17</v>
      </c>
      <c r="D15" s="12">
        <v>1</v>
      </c>
      <c r="E15" t="s">
        <v>19</v>
      </c>
      <c r="G15">
        <v>1</v>
      </c>
    </row>
    <row r="16" spans="3:9" x14ac:dyDescent="0.25">
      <c r="C16" t="s">
        <v>20</v>
      </c>
      <c r="D16" s="12">
        <v>10</v>
      </c>
      <c r="E16" t="s">
        <v>16</v>
      </c>
      <c r="G16">
        <v>10</v>
      </c>
      <c r="H16" t="s">
        <v>26</v>
      </c>
      <c r="I16" t="s">
        <v>69</v>
      </c>
    </row>
    <row r="17" spans="3:9" x14ac:dyDescent="0.25">
      <c r="C17" t="s">
        <v>22</v>
      </c>
      <c r="D17" s="12">
        <v>4</v>
      </c>
      <c r="E17" t="s">
        <v>19</v>
      </c>
      <c r="G17">
        <v>4</v>
      </c>
    </row>
    <row r="19" spans="3:9" ht="18" thickBot="1" x14ac:dyDescent="0.35">
      <c r="C19" s="22" t="s">
        <v>23</v>
      </c>
      <c r="D19" s="22"/>
      <c r="E19" s="22"/>
    </row>
    <row r="20" spans="3:9" ht="15.75" thickTop="1" x14ac:dyDescent="0.25">
      <c r="C20" s="3" t="s">
        <v>11</v>
      </c>
      <c r="D20" s="3" t="s">
        <v>10</v>
      </c>
      <c r="E20" s="3" t="s">
        <v>12</v>
      </c>
      <c r="G20" s="3" t="s">
        <v>29</v>
      </c>
      <c r="H20" s="3" t="s">
        <v>25</v>
      </c>
      <c r="I20" s="3" t="s">
        <v>27</v>
      </c>
    </row>
    <row r="21" spans="3:9" x14ac:dyDescent="0.25">
      <c r="C21" t="s">
        <v>9</v>
      </c>
      <c r="D21" s="8">
        <v>0.95</v>
      </c>
      <c r="E21" t="s">
        <v>6</v>
      </c>
      <c r="G21" s="1">
        <v>0.95</v>
      </c>
    </row>
    <row r="22" spans="3:9" x14ac:dyDescent="0.25">
      <c r="C22" t="s">
        <v>13</v>
      </c>
      <c r="D22" s="9">
        <v>1095</v>
      </c>
      <c r="E22" t="s">
        <v>47</v>
      </c>
      <c r="G22">
        <v>1095</v>
      </c>
      <c r="H22" t="s">
        <v>28</v>
      </c>
      <c r="I22" t="s">
        <v>30</v>
      </c>
    </row>
    <row r="23" spans="3:9" x14ac:dyDescent="0.25">
      <c r="C23" t="s">
        <v>14</v>
      </c>
      <c r="D23" s="10">
        <v>2.0219999999999998</v>
      </c>
      <c r="E23" t="s">
        <v>5</v>
      </c>
      <c r="G23">
        <v>2.0219999999999998</v>
      </c>
      <c r="H23" s="21" t="s">
        <v>28</v>
      </c>
      <c r="I23" t="s">
        <v>31</v>
      </c>
    </row>
    <row r="25" spans="3:9" ht="18" thickBot="1" x14ac:dyDescent="0.35">
      <c r="C25" s="22" t="s">
        <v>34</v>
      </c>
      <c r="D25" s="22"/>
      <c r="E25" s="22"/>
    </row>
    <row r="26" spans="3:9" ht="15.75" thickTop="1" x14ac:dyDescent="0.25">
      <c r="C26" s="3" t="s">
        <v>11</v>
      </c>
      <c r="D26" s="3" t="s">
        <v>10</v>
      </c>
      <c r="E26" s="3" t="s">
        <v>12</v>
      </c>
    </row>
    <row r="27" spans="3:9" x14ac:dyDescent="0.25">
      <c r="C27" t="s">
        <v>35</v>
      </c>
      <c r="D27" s="14">
        <v>2.2931062401517437</v>
      </c>
      <c r="E27" t="s">
        <v>5</v>
      </c>
      <c r="I27" s="20" t="s">
        <v>84</v>
      </c>
    </row>
    <row r="28" spans="3:9" x14ac:dyDescent="0.25">
      <c r="C28" t="s">
        <v>55</v>
      </c>
      <c r="D28" s="6">
        <f>Calculations!H15/(21000000+Calculations!I15)/2</f>
        <v>3.2044082199382914E-2</v>
      </c>
      <c r="E28" t="s">
        <v>50</v>
      </c>
    </row>
    <row r="29" spans="3:9" x14ac:dyDescent="0.25">
      <c r="C29" t="s">
        <v>49</v>
      </c>
      <c r="D29" s="6">
        <f>Calculations!I15/(21000000+Calculations!I15)</f>
        <v>7.2680993918239747E-2</v>
      </c>
      <c r="E29" t="s">
        <v>50</v>
      </c>
    </row>
    <row r="30" spans="3:9" x14ac:dyDescent="0.25">
      <c r="C30" t="s">
        <v>54</v>
      </c>
      <c r="D30" s="7">
        <f>Calculations!M15</f>
        <v>304806.60741481138</v>
      </c>
      <c r="E30" t="s">
        <v>5</v>
      </c>
    </row>
    <row r="31" spans="3:9" x14ac:dyDescent="0.25">
      <c r="C31" t="s">
        <v>81</v>
      </c>
      <c r="D31" s="19">
        <f>Calculations!O15</f>
        <v>9.9999844393848986E-2</v>
      </c>
      <c r="E31" t="s">
        <v>4</v>
      </c>
    </row>
    <row r="33" spans="3:9" ht="18" thickBot="1" x14ac:dyDescent="0.35">
      <c r="C33" s="22" t="s">
        <v>57</v>
      </c>
      <c r="D33" s="22"/>
      <c r="E33" s="22"/>
    </row>
    <row r="34" spans="3:9" ht="15.75" thickTop="1" x14ac:dyDescent="0.25">
      <c r="C34" s="3" t="s">
        <v>11</v>
      </c>
      <c r="D34" s="3" t="s">
        <v>10</v>
      </c>
      <c r="E34" s="3" t="s">
        <v>12</v>
      </c>
    </row>
    <row r="35" spans="3:9" ht="23.25" x14ac:dyDescent="0.35">
      <c r="C35" t="s">
        <v>53</v>
      </c>
      <c r="D35">
        <f>(D8/D8-D30/D8)^2</f>
        <v>4.1945746440764671</v>
      </c>
      <c r="E35" t="s">
        <v>56</v>
      </c>
      <c r="I35" s="13" t="str">
        <f>IF(D36&lt;&gt;0,IF(D36=2,"Solution found, constraints active", "Scenario changed, run optimzier again"), "Solution found")</f>
        <v>Solution found, constraints active</v>
      </c>
    </row>
    <row r="36" spans="3:9" ht="23.25" x14ac:dyDescent="0.35">
      <c r="C36" t="s">
        <v>82</v>
      </c>
      <c r="D36">
        <f>IF(D35&gt;0.000001,IF(ABS(D31-D7)&lt;0.000001,2, 1), 0)</f>
        <v>2</v>
      </c>
      <c r="E36" t="s">
        <v>83</v>
      </c>
      <c r="I36" s="13"/>
    </row>
    <row r="38" spans="3:9" ht="18" thickBot="1" x14ac:dyDescent="0.35">
      <c r="C38" s="22" t="s">
        <v>58</v>
      </c>
      <c r="D38" s="22"/>
      <c r="E38" s="22"/>
    </row>
    <row r="39" spans="3:9" ht="15.75" thickTop="1" x14ac:dyDescent="0.25">
      <c r="C39" s="3" t="s">
        <v>11</v>
      </c>
      <c r="D39" s="3" t="s">
        <v>10</v>
      </c>
      <c r="E39" s="3" t="s">
        <v>12</v>
      </c>
    </row>
    <row r="40" spans="3:9" x14ac:dyDescent="0.25">
      <c r="C40" t="s">
        <v>60</v>
      </c>
      <c r="D40" s="12">
        <v>5</v>
      </c>
      <c r="E40" t="s">
        <v>59</v>
      </c>
    </row>
    <row r="41" spans="3:9" x14ac:dyDescent="0.25">
      <c r="C41" t="s">
        <v>75</v>
      </c>
      <c r="D41" s="16">
        <v>0</v>
      </c>
      <c r="E41" t="s">
        <v>5</v>
      </c>
      <c r="I41" t="s">
        <v>76</v>
      </c>
    </row>
    <row r="42" spans="3:9" x14ac:dyDescent="0.25">
      <c r="C42" t="s">
        <v>61</v>
      </c>
      <c r="D42" s="12">
        <v>1</v>
      </c>
      <c r="E42" t="s">
        <v>59</v>
      </c>
    </row>
    <row r="43" spans="3:9" x14ac:dyDescent="0.25">
      <c r="C43" t="s">
        <v>62</v>
      </c>
      <c r="D43" s="12">
        <v>3</v>
      </c>
      <c r="E43" t="s">
        <v>59</v>
      </c>
    </row>
    <row r="44" spans="3:9" x14ac:dyDescent="0.25">
      <c r="C44" t="s">
        <v>63</v>
      </c>
      <c r="D44" s="12">
        <v>5</v>
      </c>
      <c r="E44" t="s">
        <v>59</v>
      </c>
    </row>
    <row r="45" spans="3:9" x14ac:dyDescent="0.25">
      <c r="C45" t="s">
        <v>64</v>
      </c>
      <c r="D45" s="12">
        <v>7</v>
      </c>
      <c r="E45" t="s">
        <v>66</v>
      </c>
      <c r="I45" t="s">
        <v>65</v>
      </c>
    </row>
    <row r="46" spans="3:9" x14ac:dyDescent="0.25">
      <c r="C46" t="s">
        <v>67</v>
      </c>
      <c r="D46" s="16">
        <v>100</v>
      </c>
      <c r="E46" t="s">
        <v>5</v>
      </c>
    </row>
    <row r="47" spans="3:9" x14ac:dyDescent="0.25">
      <c r="C47" t="s">
        <v>68</v>
      </c>
      <c r="D47" s="12">
        <v>2</v>
      </c>
      <c r="E47" t="s">
        <v>66</v>
      </c>
    </row>
    <row r="48" spans="3:9" x14ac:dyDescent="0.25">
      <c r="C48" t="s">
        <v>70</v>
      </c>
      <c r="D48" s="12">
        <v>20</v>
      </c>
      <c r="E48" t="s">
        <v>66</v>
      </c>
      <c r="I48" t="s">
        <v>71</v>
      </c>
    </row>
    <row r="50" spans="3:5" x14ac:dyDescent="0.25">
      <c r="C50" t="s">
        <v>72</v>
      </c>
      <c r="D50" s="15">
        <f>(D45+1)*D27</f>
        <v>18.34484992121395</v>
      </c>
      <c r="E50" t="s">
        <v>5</v>
      </c>
    </row>
    <row r="51" spans="3:5" x14ac:dyDescent="0.25">
      <c r="C51" t="s">
        <v>73</v>
      </c>
      <c r="D51" s="15">
        <f>(D40+D42+D42*D47+2*D43+D44)*(D27-D23)*D22/365</f>
        <v>15.453055688649403</v>
      </c>
      <c r="E51" t="s">
        <v>5</v>
      </c>
    </row>
    <row r="52" spans="3:5" x14ac:dyDescent="0.25">
      <c r="C52" t="s">
        <v>74</v>
      </c>
      <c r="D52" s="15">
        <f>D46*D47/D48</f>
        <v>10</v>
      </c>
      <c r="E52" t="s">
        <v>5</v>
      </c>
    </row>
    <row r="54" spans="3:5" x14ac:dyDescent="0.25">
      <c r="C54" t="s">
        <v>77</v>
      </c>
      <c r="D54" s="17">
        <f>D52+D51+D50</f>
        <v>43.797905609863349</v>
      </c>
      <c r="E54" t="s">
        <v>5</v>
      </c>
    </row>
    <row r="55" spans="3:5" x14ac:dyDescent="0.25">
      <c r="C55" t="s">
        <v>78</v>
      </c>
      <c r="D55" s="17">
        <f>D54*D48</f>
        <v>875.95811219726693</v>
      </c>
      <c r="E55" t="s">
        <v>5</v>
      </c>
    </row>
  </sheetData>
  <mergeCells count="6">
    <mergeCell ref="C38:E38"/>
    <mergeCell ref="C10:E10"/>
    <mergeCell ref="C19:E19"/>
    <mergeCell ref="C3:E3"/>
    <mergeCell ref="C33:E33"/>
    <mergeCell ref="C25:E25"/>
  </mergeCells>
  <conditionalFormatting sqref="D35">
    <cfRule type="expression" dxfId="2" priority="3">
      <formula>$D$36=1</formula>
    </cfRule>
    <cfRule type="expression" dxfId="1" priority="2">
      <formula>$D$36=0</formula>
    </cfRule>
    <cfRule type="expression" dxfId="0" priority="1">
      <formula>$D$36=2</formula>
    </cfRule>
  </conditionalFormatting>
  <hyperlinks>
    <hyperlink ref="H23" r:id="rId1" xr:uid="{8BF58651-2021-42CE-AD07-DCAFA554C5C8}"/>
    <hyperlink ref="H12" r:id="rId2" xr:uid="{A3C28CEF-BCA0-480F-B233-22A05A8A7634}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4B3C-3C05-43F9-8954-0ADCF07C9A18}">
  <dimension ref="B4:O15"/>
  <sheetViews>
    <sheetView workbookViewId="0">
      <selection activeCell="N15" sqref="N15"/>
    </sheetView>
  </sheetViews>
  <sheetFormatPr defaultRowHeight="15" x14ac:dyDescent="0.25"/>
  <cols>
    <col min="3" max="3" width="22.42578125" bestFit="1" customWidth="1"/>
    <col min="4" max="4" width="20.85546875" bestFit="1" customWidth="1"/>
    <col min="5" max="5" width="18.85546875" bestFit="1" customWidth="1"/>
    <col min="6" max="6" width="14" bestFit="1" customWidth="1"/>
    <col min="7" max="7" width="17.42578125" bestFit="1" customWidth="1"/>
    <col min="8" max="8" width="19" bestFit="1" customWidth="1"/>
    <col min="9" max="9" width="15.7109375" bestFit="1" customWidth="1"/>
    <col min="11" max="11" width="10" bestFit="1" customWidth="1"/>
    <col min="12" max="12" width="9.7109375" bestFit="1" customWidth="1"/>
    <col min="13" max="13" width="10.7109375" bestFit="1" customWidth="1"/>
    <col min="15" max="15" width="28.85546875" bestFit="1" customWidth="1"/>
  </cols>
  <sheetData>
    <row r="4" spans="2:15" x14ac:dyDescent="0.25">
      <c r="B4" t="s">
        <v>18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52</v>
      </c>
      <c r="K4" t="s">
        <v>37</v>
      </c>
      <c r="L4" t="s">
        <v>36</v>
      </c>
      <c r="M4" t="s">
        <v>38</v>
      </c>
      <c r="O4" t="s">
        <v>51</v>
      </c>
    </row>
    <row r="5" spans="2:15" x14ac:dyDescent="0.25">
      <c r="B5">
        <v>2021</v>
      </c>
      <c r="C5">
        <f>Parameters!$D$5*0.1</f>
        <v>1000</v>
      </c>
      <c r="D5">
        <f>IF(B5&gt;Parameters!$D$13+Parameters!$D$15,MIN(Parameters!$D$14+(Parameters!$D$16-Parameters!$D$14)/Parameters!$D$17*(B5-Parameters!$D$15-Parameters!$D$13),Parameters!$D$16),IF(B5&gt;Parameters!$D$13,Parameters!$D$14,0))*12</f>
        <v>0</v>
      </c>
      <c r="E5">
        <f>SUM($D$5:D5)</f>
        <v>0</v>
      </c>
      <c r="F5" s="2">
        <f>D5*Parameters!$D$12</f>
        <v>0</v>
      </c>
      <c r="G5">
        <f>E5*Parameters!$D$22*Parameters!$D$21</f>
        <v>0</v>
      </c>
      <c r="H5" s="2">
        <f>G5*Parameters!$D$23</f>
        <v>0</v>
      </c>
      <c r="I5" s="2">
        <f>G5*Parameters!$D$27</f>
        <v>0</v>
      </c>
      <c r="K5" s="4">
        <f>I5-SUM(C5,F5,H5)</f>
        <v>-1000</v>
      </c>
      <c r="L5" s="4">
        <f>K5/(1+Parameters!$D$6)^(B5-$B$5)</f>
        <v>-1000</v>
      </c>
      <c r="M5" s="4">
        <f>SUM($L$5:L5)</f>
        <v>-1000</v>
      </c>
      <c r="O5" s="5">
        <f>IF(I5&lt;&gt;0,K5/I5,0)</f>
        <v>0</v>
      </c>
    </row>
    <row r="6" spans="2:15" x14ac:dyDescent="0.25">
      <c r="B6">
        <v>2022</v>
      </c>
      <c r="C6">
        <f>Parameters!$D$5*0.2</f>
        <v>2000</v>
      </c>
      <c r="D6">
        <f>IF(B6&gt;Parameters!$D$13+Parameters!$D$15,MIN(Parameters!$D$14+(Parameters!$D$16-Parameters!$D$14)/Parameters!$D$17*(B6-Parameters!$D$15-Parameters!$D$13),Parameters!$D$16),IF(B6&gt;Parameters!$D$13,Parameters!$D$14,0))*12</f>
        <v>0</v>
      </c>
      <c r="E6">
        <f>SUM($D$5:D6)</f>
        <v>0</v>
      </c>
      <c r="F6" s="2">
        <f>D6*Parameters!$D$12</f>
        <v>0</v>
      </c>
      <c r="G6">
        <f>E6*Parameters!$D$22*Parameters!$D$21</f>
        <v>0</v>
      </c>
      <c r="H6" s="2">
        <f>G6*Parameters!$D$23</f>
        <v>0</v>
      </c>
      <c r="I6" s="2">
        <f>G6*Parameters!$D$27</f>
        <v>0</v>
      </c>
      <c r="K6" s="4">
        <f t="shared" ref="K6:K15" si="0">I6-SUM(C6,F6,H6)</f>
        <v>-2000</v>
      </c>
      <c r="L6" s="4">
        <f>K6/(1+Parameters!$D$6)^(B6-$B$5)</f>
        <v>-1886.7924528301885</v>
      </c>
      <c r="M6" s="4">
        <f>SUM($L$5:L6)</f>
        <v>-2886.7924528301883</v>
      </c>
      <c r="O6" s="5">
        <f t="shared" ref="O6:O15" si="1">IF(I6&lt;&gt;0,K6/I6,0)</f>
        <v>0</v>
      </c>
    </row>
    <row r="7" spans="2:15" x14ac:dyDescent="0.25">
      <c r="B7">
        <v>2023</v>
      </c>
      <c r="C7">
        <f>Parameters!$D$5*0.3</f>
        <v>3000</v>
      </c>
      <c r="D7">
        <f>IF(B7&gt;Parameters!$D$13+Parameters!$D$15,MIN(Parameters!$D$14+(Parameters!$D$16-Parameters!$D$14)/Parameters!$D$17*(B7-Parameters!$D$15-Parameters!$D$13),Parameters!$D$16),IF(B7&gt;Parameters!$D$13,Parameters!$D$14,0))*12</f>
        <v>0</v>
      </c>
      <c r="E7">
        <f>SUM($D$5:D7)</f>
        <v>0</v>
      </c>
      <c r="F7" s="2">
        <f>D7*Parameters!$D$12</f>
        <v>0</v>
      </c>
      <c r="G7">
        <f>E7*Parameters!$D$22*Parameters!$D$21</f>
        <v>0</v>
      </c>
      <c r="H7" s="2">
        <f>G7*Parameters!$D$23</f>
        <v>0</v>
      </c>
      <c r="I7" s="2">
        <f>G7*Parameters!$D$27</f>
        <v>0</v>
      </c>
      <c r="K7" s="4">
        <f t="shared" si="0"/>
        <v>-3000</v>
      </c>
      <c r="L7" s="4">
        <f>K7/(1+Parameters!$D$6)^(B7-$B$5)</f>
        <v>-2669.9893200427196</v>
      </c>
      <c r="M7" s="4">
        <f>SUM($L$5:L7)</f>
        <v>-5556.7817728729078</v>
      </c>
      <c r="O7" s="5">
        <f t="shared" si="1"/>
        <v>0</v>
      </c>
    </row>
    <row r="8" spans="2:15" x14ac:dyDescent="0.25">
      <c r="B8">
        <v>2024</v>
      </c>
      <c r="C8">
        <f>Parameters!$D$5*0.4</f>
        <v>4000</v>
      </c>
      <c r="D8">
        <f>IF(B8&gt;Parameters!$D$13+Parameters!$D$15,MIN(Parameters!$D$14+(Parameters!$D$16-Parameters!$D$14)/Parameters!$D$17*(B8-Parameters!$D$15-Parameters!$D$13),Parameters!$D$16),IF(B8&gt;Parameters!$D$13,Parameters!$D$14,0))*12</f>
        <v>12</v>
      </c>
      <c r="E8">
        <f>SUM($D$5:D8)</f>
        <v>12</v>
      </c>
      <c r="F8" s="2">
        <f>D8*Parameters!$D$12</f>
        <v>3000</v>
      </c>
      <c r="G8">
        <f>E8*Parameters!$D$22*Parameters!$D$21</f>
        <v>12483</v>
      </c>
      <c r="H8" s="2">
        <f>G8*Parameters!$D$23</f>
        <v>25240.625999999997</v>
      </c>
      <c r="I8" s="2">
        <f>G8*Parameters!$D$27</f>
        <v>28624.845195814218</v>
      </c>
      <c r="K8" s="4">
        <f t="shared" si="0"/>
        <v>-3615.7808041857788</v>
      </c>
      <c r="L8" s="4">
        <f>K8/(1+Parameters!$D$6)^(B8-$B$5)</f>
        <v>-3035.8792864124225</v>
      </c>
      <c r="M8" s="4">
        <f>SUM($L$5:L8)</f>
        <v>-8592.6610592853303</v>
      </c>
      <c r="O8" s="5">
        <f t="shared" si="1"/>
        <v>-0.12631616972777587</v>
      </c>
    </row>
    <row r="9" spans="2:15" x14ac:dyDescent="0.25">
      <c r="B9">
        <v>2025</v>
      </c>
      <c r="C9">
        <v>0</v>
      </c>
      <c r="D9">
        <f>IF(B9&gt;Parameters!$D$13+Parameters!$D$15,MIN(Parameters!$D$14+(Parameters!$D$16-Parameters!$D$14)/Parameters!$D$17*(B9-Parameters!$D$15-Parameters!$D$13),Parameters!$D$16),IF(B9&gt;Parameters!$D$13,Parameters!$D$14,0))*12</f>
        <v>39</v>
      </c>
      <c r="E9">
        <f>SUM($D$5:D9)</f>
        <v>51</v>
      </c>
      <c r="F9" s="2">
        <f>D9*Parameters!$D$12</f>
        <v>9750</v>
      </c>
      <c r="G9">
        <f>E9*Parameters!$D$22*Parameters!$D$21</f>
        <v>53052.75</v>
      </c>
      <c r="H9" s="2">
        <f>G9*Parameters!$D$23</f>
        <v>107272.66049999998</v>
      </c>
      <c r="I9" s="2">
        <f>G9*Parameters!$D$27</f>
        <v>121655.59208221042</v>
      </c>
      <c r="K9" s="4">
        <f t="shared" si="0"/>
        <v>4632.93158221044</v>
      </c>
      <c r="L9" s="4">
        <f>K9/(1+Parameters!$D$6)^(B9-$B$5)</f>
        <v>3669.715748484185</v>
      </c>
      <c r="M9" s="4">
        <f>SUM($L$5:L9)</f>
        <v>-4922.9453108011458</v>
      </c>
      <c r="O9" s="5">
        <f t="shared" si="1"/>
        <v>3.8082356124490138E-2</v>
      </c>
    </row>
    <row r="10" spans="2:15" x14ac:dyDescent="0.25">
      <c r="B10">
        <v>2026</v>
      </c>
      <c r="C10">
        <v>0</v>
      </c>
      <c r="D10">
        <f>IF(B10&gt;Parameters!$D$13+Parameters!$D$15,MIN(Parameters!$D$14+(Parameters!$D$16-Parameters!$D$14)/Parameters!$D$17*(B10-Parameters!$D$15-Parameters!$D$13),Parameters!$D$16),IF(B10&gt;Parameters!$D$13,Parameters!$D$14,0))*12</f>
        <v>66</v>
      </c>
      <c r="E10">
        <f>SUM($D$5:D10)</f>
        <v>117</v>
      </c>
      <c r="F10" s="2">
        <f>D10*Parameters!$D$12</f>
        <v>16500</v>
      </c>
      <c r="G10">
        <f>E10*Parameters!$D$22*Parameters!$D$21</f>
        <v>121709.25</v>
      </c>
      <c r="H10" s="2">
        <f>G10*Parameters!$D$23</f>
        <v>246096.10349999997</v>
      </c>
      <c r="I10" s="2">
        <f>G10*Parameters!$D$27</f>
        <v>279092.2406591886</v>
      </c>
      <c r="K10" s="4">
        <f t="shared" si="0"/>
        <v>16496.137159188627</v>
      </c>
      <c r="L10" s="4">
        <f>K10/(1+Parameters!$D$6)^(B10-$B$5)</f>
        <v>12326.87331292316</v>
      </c>
      <c r="M10" s="4">
        <f>SUM($L$5:L10)</f>
        <v>7403.9280021220147</v>
      </c>
      <c r="O10" s="5">
        <f t="shared" si="1"/>
        <v>5.910639837290483E-2</v>
      </c>
    </row>
    <row r="11" spans="2:15" x14ac:dyDescent="0.25">
      <c r="B11">
        <v>2027</v>
      </c>
      <c r="C11">
        <v>0</v>
      </c>
      <c r="D11">
        <f>IF(B11&gt;Parameters!$D$13+Parameters!$D$15,MIN(Parameters!$D$14+(Parameters!$D$16-Parameters!$D$14)/Parameters!$D$17*(B11-Parameters!$D$15-Parameters!$D$13),Parameters!$D$16),IF(B11&gt;Parameters!$D$13,Parameters!$D$14,0))*12</f>
        <v>93</v>
      </c>
      <c r="E11">
        <f>SUM($D$5:D11)</f>
        <v>210</v>
      </c>
      <c r="F11" s="2">
        <f>D11*Parameters!$D$12</f>
        <v>23250</v>
      </c>
      <c r="G11">
        <f>E11*Parameters!$D$22*Parameters!$D$21</f>
        <v>218452.5</v>
      </c>
      <c r="H11" s="2">
        <f>G11*Parameters!$D$23</f>
        <v>441710.95499999996</v>
      </c>
      <c r="I11" s="2">
        <f>G11*Parameters!$D$27</f>
        <v>500934.79092674877</v>
      </c>
      <c r="K11" s="4">
        <f t="shared" si="0"/>
        <v>35973.835926748812</v>
      </c>
      <c r="L11" s="4">
        <f>K11/(1+Parameters!$D$6)^(B11-$B$5)</f>
        <v>25360.134816609087</v>
      </c>
      <c r="M11" s="4">
        <f>SUM($L$5:L11)</f>
        <v>32764.062818731101</v>
      </c>
      <c r="O11" s="5">
        <f t="shared" si="1"/>
        <v>7.1813410803821032E-2</v>
      </c>
    </row>
    <row r="12" spans="2:15" x14ac:dyDescent="0.25">
      <c r="B12">
        <v>2028</v>
      </c>
      <c r="C12">
        <v>0</v>
      </c>
      <c r="D12">
        <f>IF(B12&gt;Parameters!$D$13+Parameters!$D$15,MIN(Parameters!$D$14+(Parameters!$D$16-Parameters!$D$14)/Parameters!$D$17*(B12-Parameters!$D$15-Parameters!$D$13),Parameters!$D$16),IF(B12&gt;Parameters!$D$13,Parameters!$D$14,0))*12</f>
        <v>120</v>
      </c>
      <c r="E12">
        <f>SUM($D$5:D12)</f>
        <v>330</v>
      </c>
      <c r="F12" s="2">
        <f>D12*Parameters!$D$12</f>
        <v>30000</v>
      </c>
      <c r="G12">
        <f>E12*Parameters!$D$22*Parameters!$D$21</f>
        <v>343282.5</v>
      </c>
      <c r="H12" s="2">
        <f>G12*Parameters!$D$23</f>
        <v>694117.21499999997</v>
      </c>
      <c r="I12" s="2">
        <f>G12*Parameters!$D$27</f>
        <v>787183.24288489099</v>
      </c>
      <c r="K12" s="4">
        <f t="shared" si="0"/>
        <v>63066.027884891024</v>
      </c>
      <c r="L12" s="4">
        <f>K12/(1+Parameters!$D$6)^(B12-$B$5)</f>
        <v>41942.510472751383</v>
      </c>
      <c r="M12" s="4">
        <f>SUM($L$5:L12)</f>
        <v>74706.573291482491</v>
      </c>
      <c r="O12" s="5">
        <f t="shared" si="1"/>
        <v>8.0116070120808083E-2</v>
      </c>
    </row>
    <row r="13" spans="2:15" x14ac:dyDescent="0.25">
      <c r="B13">
        <v>2029</v>
      </c>
      <c r="C13">
        <v>0</v>
      </c>
      <c r="D13">
        <f>IF(B13&gt;Parameters!$D$13+Parameters!$D$15,MIN(Parameters!$D$14+(Parameters!$D$16-Parameters!$D$14)/Parameters!$D$17*(B13-Parameters!$D$15-Parameters!$D$13),Parameters!$D$16),IF(B13&gt;Parameters!$D$13,Parameters!$D$14,0))*12</f>
        <v>120</v>
      </c>
      <c r="E13">
        <f>SUM($D$5:D13)</f>
        <v>450</v>
      </c>
      <c r="F13" s="2">
        <f>D13*Parameters!$D$12</f>
        <v>30000</v>
      </c>
      <c r="G13">
        <f>E13*Parameters!$D$22*Parameters!$D$21</f>
        <v>468112.5</v>
      </c>
      <c r="H13" s="2">
        <f>G13*Parameters!$D$23</f>
        <v>946523.47499999986</v>
      </c>
      <c r="I13" s="2">
        <f>G13*Parameters!$D$27</f>
        <v>1073431.6948430331</v>
      </c>
      <c r="K13" s="4">
        <f t="shared" si="0"/>
        <v>96908.219843033236</v>
      </c>
      <c r="L13" s="4">
        <f>K13/(1+Parameters!$D$6)^(B13-$B$5)</f>
        <v>60801.416014232527</v>
      </c>
      <c r="M13" s="4">
        <f>SUM($L$5:L13)</f>
        <v>135507.98930571502</v>
      </c>
      <c r="O13" s="5">
        <f t="shared" si="1"/>
        <v>9.0278888082584552E-2</v>
      </c>
    </row>
    <row r="14" spans="2:15" x14ac:dyDescent="0.25">
      <c r="B14">
        <v>2030</v>
      </c>
      <c r="C14">
        <v>0</v>
      </c>
      <c r="D14">
        <f>IF(B14&gt;Parameters!$D$13+Parameters!$D$15,MIN(Parameters!$D$14+(Parameters!$D$16-Parameters!$D$14)/Parameters!$D$17*(B14-Parameters!$D$15-Parameters!$D$13),Parameters!$D$16),IF(B14&gt;Parameters!$D$13,Parameters!$D$14,0))*12</f>
        <v>120</v>
      </c>
      <c r="E14">
        <f>SUM($D$5:D14)</f>
        <v>570</v>
      </c>
      <c r="F14" s="2">
        <f>D14*Parameters!$D$12</f>
        <v>30000</v>
      </c>
      <c r="G14">
        <f>E14*Parameters!$D$22*Parameters!$D$21</f>
        <v>592942.5</v>
      </c>
      <c r="H14" s="2">
        <f>G14*Parameters!$D$23</f>
        <v>1198929.7349999999</v>
      </c>
      <c r="I14" s="2">
        <f>G14*Parameters!$D$27</f>
        <v>1359680.1468011753</v>
      </c>
      <c r="K14" s="4">
        <f t="shared" si="0"/>
        <v>130750.41180117545</v>
      </c>
      <c r="L14" s="4">
        <f>K14/(1+Parameters!$D$6)^(B14-$B$5)</f>
        <v>77390.967851033798</v>
      </c>
      <c r="M14" s="4">
        <f>SUM($L$5:L14)</f>
        <v>212898.9571567488</v>
      </c>
      <c r="O14" s="5">
        <f t="shared" si="1"/>
        <v>9.616262479729723E-2</v>
      </c>
    </row>
    <row r="15" spans="2:15" x14ac:dyDescent="0.25">
      <c r="B15">
        <v>2031</v>
      </c>
      <c r="C15">
        <v>0</v>
      </c>
      <c r="D15">
        <f>IF(B15&gt;Parameters!$D$13+Parameters!$D$15,MIN(Parameters!$D$14+(Parameters!$D$16-Parameters!$D$14)/Parameters!$D$17*(B15-Parameters!$D$15-Parameters!$D$13),Parameters!$D$16),IF(B15&gt;Parameters!$D$13,Parameters!$D$14,0))*12</f>
        <v>120</v>
      </c>
      <c r="E15">
        <f>SUM($D$5:D15)</f>
        <v>690</v>
      </c>
      <c r="F15" s="2">
        <f>D15*Parameters!$D$12</f>
        <v>30000</v>
      </c>
      <c r="G15">
        <f>E15*Parameters!$D$22*Parameters!$D$21</f>
        <v>717772.5</v>
      </c>
      <c r="H15" s="2">
        <f>G15*Parameters!$D$23</f>
        <v>1451335.9949999999</v>
      </c>
      <c r="I15" s="2">
        <f>G15*Parameters!$D$27</f>
        <v>1645928.5987593175</v>
      </c>
      <c r="K15" s="4">
        <f t="shared" si="0"/>
        <v>164592.60375931766</v>
      </c>
      <c r="L15" s="4">
        <f>K15/(1+Parameters!$D$6)^(B15-$B$5)</f>
        <v>91907.650258062582</v>
      </c>
      <c r="M15" s="4">
        <f>SUM($L$5:L15)</f>
        <v>304806.60741481138</v>
      </c>
      <c r="O15" s="5">
        <f t="shared" si="1"/>
        <v>9.9999844393848986E-2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Stockwell</dc:creator>
  <cp:lastModifiedBy>Noah Stockwell</cp:lastModifiedBy>
  <dcterms:created xsi:type="dcterms:W3CDTF">2021-03-14T15:27:51Z</dcterms:created>
  <dcterms:modified xsi:type="dcterms:W3CDTF">2021-03-31T20:45:42Z</dcterms:modified>
</cp:coreProperties>
</file>